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enus.mml.liberec.cz\Dokumenty\Odb_MS\Odd_MSTS\!Sdileny\MSSO\VEŘEJNÉ ZAKÁZKY\VZ - ZŠ Kaplického - stavba\Příloha č. 5 rozpočty\"/>
    </mc:Choice>
  </mc:AlternateContent>
  <bookViews>
    <workbookView xWindow="0" yWindow="0" windowWidth="28800" windowHeight="12624"/>
  </bookViews>
  <sheets>
    <sheet name="Krycí list rozpočtu" sheetId="4" r:id="rId1"/>
    <sheet name="Stavební rozpočet - součet" sheetId="2" r:id="rId2"/>
    <sheet name="Stavební rozpočet" sheetId="1" r:id="rId3"/>
    <sheet name="Výkaz výměr" sheetId="3" r:id="rId4"/>
  </sheets>
  <calcPr calcId="152511"/>
</workbook>
</file>

<file path=xl/calcChain.xml><?xml version="1.0" encoding="utf-8"?>
<calcChain xmlns="http://schemas.openxmlformats.org/spreadsheetml/2006/main">
  <c r="F2" i="4" l="1"/>
  <c r="C4" i="4"/>
  <c r="F4" i="4"/>
  <c r="C6" i="4"/>
  <c r="F6" i="4"/>
  <c r="C10" i="4"/>
  <c r="F10" i="4"/>
  <c r="I22" i="4"/>
  <c r="L14" i="1"/>
  <c r="L13" i="1" s="1"/>
  <c r="Z14" i="1"/>
  <c r="AD14" i="1"/>
  <c r="AE14" i="1"/>
  <c r="AF14" i="1"/>
  <c r="AG14" i="1"/>
  <c r="AH14" i="1"/>
  <c r="AJ14" i="1"/>
  <c r="AK14" i="1"/>
  <c r="AO14" i="1"/>
  <c r="AW14" i="1" s="1"/>
  <c r="AP14" i="1"/>
  <c r="BD14" i="1"/>
  <c r="BF14" i="1"/>
  <c r="BH14" i="1"/>
  <c r="AB14" i="1" s="1"/>
  <c r="BJ14" i="1"/>
  <c r="J16" i="1"/>
  <c r="L16" i="1"/>
  <c r="AB16" i="1"/>
  <c r="AC16" i="1"/>
  <c r="AD16" i="1"/>
  <c r="AE16" i="1"/>
  <c r="AF16" i="1"/>
  <c r="AG16" i="1"/>
  <c r="AH16" i="1"/>
  <c r="AJ16" i="1"/>
  <c r="AS15" i="1" s="1"/>
  <c r="AK16" i="1"/>
  <c r="AT15" i="1" s="1"/>
  <c r="AL16" i="1"/>
  <c r="AO16" i="1"/>
  <c r="AP16" i="1"/>
  <c r="AX16" i="1" s="1"/>
  <c r="BC16" i="1" s="1"/>
  <c r="AW16" i="1"/>
  <c r="BD16" i="1"/>
  <c r="BF16" i="1"/>
  <c r="BH16" i="1"/>
  <c r="BI16" i="1"/>
  <c r="BJ16" i="1"/>
  <c r="Z16" i="1" s="1"/>
  <c r="L17" i="1"/>
  <c r="Z17" i="1"/>
  <c r="AB17" i="1"/>
  <c r="AC17" i="1"/>
  <c r="AD17" i="1"/>
  <c r="AE17" i="1"/>
  <c r="AF17" i="1"/>
  <c r="AG17" i="1"/>
  <c r="AH17" i="1"/>
  <c r="AJ17" i="1"/>
  <c r="AK17" i="1"/>
  <c r="AO17" i="1"/>
  <c r="AW17" i="1" s="1"/>
  <c r="AP17" i="1"/>
  <c r="BD17" i="1"/>
  <c r="BF17" i="1"/>
  <c r="BH17" i="1"/>
  <c r="BJ17" i="1"/>
  <c r="K18" i="1"/>
  <c r="L18" i="1"/>
  <c r="AL18" i="1" s="1"/>
  <c r="Z18" i="1"/>
  <c r="AB18" i="1"/>
  <c r="AC18" i="1"/>
  <c r="AD18" i="1"/>
  <c r="AE18" i="1"/>
  <c r="AF18" i="1"/>
  <c r="AG18" i="1"/>
  <c r="AH18" i="1"/>
  <c r="AJ18" i="1"/>
  <c r="AK18" i="1"/>
  <c r="AO18" i="1"/>
  <c r="AP18" i="1"/>
  <c r="AX18" i="1"/>
  <c r="BD18" i="1"/>
  <c r="BF18" i="1"/>
  <c r="BI18" i="1"/>
  <c r="BJ18" i="1"/>
  <c r="J19" i="1"/>
  <c r="K19" i="1"/>
  <c r="L19" i="1"/>
  <c r="AB19" i="1"/>
  <c r="AC19" i="1"/>
  <c r="AD19" i="1"/>
  <c r="AE19" i="1"/>
  <c r="AF19" i="1"/>
  <c r="AG19" i="1"/>
  <c r="AH19" i="1"/>
  <c r="AJ19" i="1"/>
  <c r="AK19" i="1"/>
  <c r="AL19" i="1"/>
  <c r="AO19" i="1"/>
  <c r="AP19" i="1"/>
  <c r="AW19" i="1"/>
  <c r="AV19" i="1" s="1"/>
  <c r="AX19" i="1"/>
  <c r="BD19" i="1"/>
  <c r="BF19" i="1"/>
  <c r="BH19" i="1"/>
  <c r="BI19" i="1"/>
  <c r="BJ19" i="1"/>
  <c r="Z19" i="1" s="1"/>
  <c r="J20" i="1"/>
  <c r="L20" i="1"/>
  <c r="AB20" i="1"/>
  <c r="AC20" i="1"/>
  <c r="AD20" i="1"/>
  <c r="AE20" i="1"/>
  <c r="AF20" i="1"/>
  <c r="AG20" i="1"/>
  <c r="AH20" i="1"/>
  <c r="AJ20" i="1"/>
  <c r="AK20" i="1"/>
  <c r="AL20" i="1"/>
  <c r="AO20" i="1"/>
  <c r="AP20" i="1"/>
  <c r="K20" i="1" s="1"/>
  <c r="AW20" i="1"/>
  <c r="BD20" i="1"/>
  <c r="BF20" i="1"/>
  <c r="BH20" i="1"/>
  <c r="BI20" i="1"/>
  <c r="BJ20" i="1"/>
  <c r="Z20" i="1" s="1"/>
  <c r="L21" i="1"/>
  <c r="AL21" i="1" s="1"/>
  <c r="Z21" i="1"/>
  <c r="AB21" i="1"/>
  <c r="AC21" i="1"/>
  <c r="AD21" i="1"/>
  <c r="AE21" i="1"/>
  <c r="AF21" i="1"/>
  <c r="AG21" i="1"/>
  <c r="AH21" i="1"/>
  <c r="AJ21" i="1"/>
  <c r="AK21" i="1"/>
  <c r="AO21" i="1"/>
  <c r="J21" i="1" s="1"/>
  <c r="AP21" i="1"/>
  <c r="K21" i="1" s="1"/>
  <c r="BD21" i="1"/>
  <c r="BF21" i="1"/>
  <c r="BH21" i="1"/>
  <c r="BI21" i="1"/>
  <c r="BJ21" i="1"/>
  <c r="L22" i="1"/>
  <c r="AL22" i="1" s="1"/>
  <c r="AB22" i="1"/>
  <c r="AC22" i="1"/>
  <c r="AD22" i="1"/>
  <c r="AE22" i="1"/>
  <c r="AF22" i="1"/>
  <c r="AG22" i="1"/>
  <c r="AH22" i="1"/>
  <c r="AJ22" i="1"/>
  <c r="AK22" i="1"/>
  <c r="AO22" i="1"/>
  <c r="J22" i="1" s="1"/>
  <c r="AP22" i="1"/>
  <c r="K22" i="1" s="1"/>
  <c r="AX22" i="1"/>
  <c r="BD22" i="1"/>
  <c r="BF22" i="1"/>
  <c r="BH22" i="1"/>
  <c r="BI22" i="1"/>
  <c r="BJ22" i="1"/>
  <c r="Z22" i="1" s="1"/>
  <c r="K23" i="1"/>
  <c r="L23" i="1"/>
  <c r="AB23" i="1"/>
  <c r="AC23" i="1"/>
  <c r="AD23" i="1"/>
  <c r="AE23" i="1"/>
  <c r="AF23" i="1"/>
  <c r="AG23" i="1"/>
  <c r="AH23" i="1"/>
  <c r="AJ23" i="1"/>
  <c r="AK23" i="1"/>
  <c r="AL23" i="1"/>
  <c r="AO23" i="1"/>
  <c r="J23" i="1" s="1"/>
  <c r="AP23" i="1"/>
  <c r="AW23" i="1"/>
  <c r="AX23" i="1"/>
  <c r="BD23" i="1"/>
  <c r="BF23" i="1"/>
  <c r="BH23" i="1"/>
  <c r="BI23" i="1"/>
  <c r="BJ23" i="1"/>
  <c r="Z23" i="1" s="1"/>
  <c r="J24" i="1"/>
  <c r="L24" i="1"/>
  <c r="AB24" i="1"/>
  <c r="AC24" i="1"/>
  <c r="AD24" i="1"/>
  <c r="AE24" i="1"/>
  <c r="AF24" i="1"/>
  <c r="AG24" i="1"/>
  <c r="AH24" i="1"/>
  <c r="AJ24" i="1"/>
  <c r="AK24" i="1"/>
  <c r="AL24" i="1"/>
  <c r="AO24" i="1"/>
  <c r="AP24" i="1"/>
  <c r="AX24" i="1" s="1"/>
  <c r="BC24" i="1" s="1"/>
  <c r="AV24" i="1"/>
  <c r="AW24" i="1"/>
  <c r="BD24" i="1"/>
  <c r="BF24" i="1"/>
  <c r="BH24" i="1"/>
  <c r="BI24" i="1"/>
  <c r="BJ24" i="1"/>
  <c r="Z24" i="1" s="1"/>
  <c r="L25" i="1"/>
  <c r="AL25" i="1" s="1"/>
  <c r="Z25" i="1"/>
  <c r="AB25" i="1"/>
  <c r="AC25" i="1"/>
  <c r="AD25" i="1"/>
  <c r="AE25" i="1"/>
  <c r="AF25" i="1"/>
  <c r="AG25" i="1"/>
  <c r="AH25" i="1"/>
  <c r="AJ25" i="1"/>
  <c r="AK25" i="1"/>
  <c r="AO25" i="1"/>
  <c r="AW25" i="1" s="1"/>
  <c r="AP25" i="1"/>
  <c r="BD25" i="1"/>
  <c r="BF25" i="1"/>
  <c r="BH25" i="1"/>
  <c r="BJ25" i="1"/>
  <c r="J27" i="1"/>
  <c r="L27" i="1"/>
  <c r="Z27" i="1"/>
  <c r="AB27" i="1"/>
  <c r="AC27" i="1"/>
  <c r="AF27" i="1"/>
  <c r="AG27" i="1"/>
  <c r="AH27" i="1"/>
  <c r="AJ27" i="1"/>
  <c r="AK27" i="1"/>
  <c r="AL27" i="1"/>
  <c r="AO27" i="1"/>
  <c r="AP27" i="1"/>
  <c r="AX27" i="1" s="1"/>
  <c r="BC27" i="1" s="1"/>
  <c r="AV27" i="1"/>
  <c r="AW27" i="1"/>
  <c r="BD27" i="1"/>
  <c r="BF27" i="1"/>
  <c r="BH27" i="1"/>
  <c r="AD27" i="1" s="1"/>
  <c r="BI27" i="1"/>
  <c r="AE27" i="1" s="1"/>
  <c r="BJ27" i="1"/>
  <c r="L28" i="1"/>
  <c r="L26" i="1" s="1"/>
  <c r="G14" i="2" s="1"/>
  <c r="I14" i="2" s="1"/>
  <c r="Z28" i="1"/>
  <c r="AB28" i="1"/>
  <c r="AC28" i="1"/>
  <c r="AF28" i="1"/>
  <c r="AG28" i="1"/>
  <c r="AH28" i="1"/>
  <c r="AJ28" i="1"/>
  <c r="AK28" i="1"/>
  <c r="AO28" i="1"/>
  <c r="AW28" i="1" s="1"/>
  <c r="AP28" i="1"/>
  <c r="BD28" i="1"/>
  <c r="BF28" i="1"/>
  <c r="BH28" i="1"/>
  <c r="AD28" i="1" s="1"/>
  <c r="BI28" i="1"/>
  <c r="AE28" i="1" s="1"/>
  <c r="BJ28" i="1"/>
  <c r="K29" i="1"/>
  <c r="L29" i="1"/>
  <c r="AL29" i="1" s="1"/>
  <c r="Z29" i="1"/>
  <c r="AB29" i="1"/>
  <c r="AC29" i="1"/>
  <c r="AF29" i="1"/>
  <c r="AG29" i="1"/>
  <c r="AH29" i="1"/>
  <c r="AJ29" i="1"/>
  <c r="AK29" i="1"/>
  <c r="AO29" i="1"/>
  <c r="AP29" i="1"/>
  <c r="AX29" i="1"/>
  <c r="BD29" i="1"/>
  <c r="BF29" i="1"/>
  <c r="BH29" i="1"/>
  <c r="AD29" i="1" s="1"/>
  <c r="BI29" i="1"/>
  <c r="AE29" i="1" s="1"/>
  <c r="BJ29" i="1"/>
  <c r="J30" i="1"/>
  <c r="K30" i="1"/>
  <c r="L30" i="1"/>
  <c r="Z30" i="1"/>
  <c r="AB30" i="1"/>
  <c r="AC30" i="1"/>
  <c r="AF30" i="1"/>
  <c r="AG30" i="1"/>
  <c r="AH30" i="1"/>
  <c r="AJ30" i="1"/>
  <c r="AK30" i="1"/>
  <c r="AL30" i="1"/>
  <c r="AO30" i="1"/>
  <c r="AP30" i="1"/>
  <c r="AX30" i="1" s="1"/>
  <c r="AW30" i="1"/>
  <c r="BD30" i="1"/>
  <c r="BF30" i="1"/>
  <c r="BH30" i="1"/>
  <c r="AD30" i="1" s="1"/>
  <c r="BI30" i="1"/>
  <c r="AE30" i="1" s="1"/>
  <c r="BJ30" i="1"/>
  <c r="J31" i="1"/>
  <c r="L31" i="1"/>
  <c r="Z31" i="1"/>
  <c r="AB31" i="1"/>
  <c r="AC31" i="1"/>
  <c r="AF31" i="1"/>
  <c r="AG31" i="1"/>
  <c r="AH31" i="1"/>
  <c r="AJ31" i="1"/>
  <c r="AK31" i="1"/>
  <c r="AL31" i="1"/>
  <c r="AO31" i="1"/>
  <c r="AW31" i="1" s="1"/>
  <c r="AP31" i="1"/>
  <c r="K31" i="1" s="1"/>
  <c r="BD31" i="1"/>
  <c r="BF31" i="1"/>
  <c r="BH31" i="1"/>
  <c r="AD31" i="1" s="1"/>
  <c r="BI31" i="1"/>
  <c r="AE31" i="1" s="1"/>
  <c r="BJ31" i="1"/>
  <c r="L32" i="1"/>
  <c r="Z32" i="1"/>
  <c r="AB32" i="1"/>
  <c r="AC32" i="1"/>
  <c r="AF32" i="1"/>
  <c r="AG32" i="1"/>
  <c r="AH32" i="1"/>
  <c r="AJ32" i="1"/>
  <c r="AK32" i="1"/>
  <c r="AL32" i="1"/>
  <c r="AO32" i="1"/>
  <c r="J32" i="1" s="1"/>
  <c r="AP32" i="1"/>
  <c r="K32" i="1" s="1"/>
  <c r="BD32" i="1"/>
  <c r="BF32" i="1"/>
  <c r="BH32" i="1"/>
  <c r="AD32" i="1" s="1"/>
  <c r="BI32" i="1"/>
  <c r="AE32" i="1" s="1"/>
  <c r="BJ32" i="1"/>
  <c r="K33" i="1"/>
  <c r="L33" i="1"/>
  <c r="AL33" i="1" s="1"/>
  <c r="Z33" i="1"/>
  <c r="AB33" i="1"/>
  <c r="AC33" i="1"/>
  <c r="AF33" i="1"/>
  <c r="AG33" i="1"/>
  <c r="AH33" i="1"/>
  <c r="AJ33" i="1"/>
  <c r="AK33" i="1"/>
  <c r="AO33" i="1"/>
  <c r="J33" i="1" s="1"/>
  <c r="AP33" i="1"/>
  <c r="AX33" i="1"/>
  <c r="BD33" i="1"/>
  <c r="BF33" i="1"/>
  <c r="BH33" i="1"/>
  <c r="AD33" i="1" s="1"/>
  <c r="BI33" i="1"/>
  <c r="AE33" i="1" s="1"/>
  <c r="BJ33" i="1"/>
  <c r="J34" i="1"/>
  <c r="K34" i="1"/>
  <c r="L34" i="1"/>
  <c r="Z34" i="1"/>
  <c r="AB34" i="1"/>
  <c r="AC34" i="1"/>
  <c r="AF34" i="1"/>
  <c r="AG34" i="1"/>
  <c r="AH34" i="1"/>
  <c r="AJ34" i="1"/>
  <c r="AK34" i="1"/>
  <c r="AL34" i="1"/>
  <c r="AO34" i="1"/>
  <c r="AP34" i="1"/>
  <c r="AW34" i="1"/>
  <c r="AX34" i="1"/>
  <c r="BD34" i="1"/>
  <c r="BF34" i="1"/>
  <c r="BH34" i="1"/>
  <c r="AD34" i="1" s="1"/>
  <c r="BI34" i="1"/>
  <c r="AE34" i="1" s="1"/>
  <c r="BJ34" i="1"/>
  <c r="J35" i="1"/>
  <c r="L35" i="1"/>
  <c r="AL35" i="1" s="1"/>
  <c r="AB35" i="1"/>
  <c r="AC35" i="1"/>
  <c r="AD35" i="1"/>
  <c r="AE35" i="1"/>
  <c r="AF35" i="1"/>
  <c r="AG35" i="1"/>
  <c r="AH35" i="1"/>
  <c r="AJ35" i="1"/>
  <c r="AK35" i="1"/>
  <c r="AO35" i="1"/>
  <c r="AP35" i="1"/>
  <c r="AX35" i="1" s="1"/>
  <c r="BC35" i="1" s="1"/>
  <c r="AW35" i="1"/>
  <c r="BD35" i="1"/>
  <c r="BF35" i="1"/>
  <c r="BH35" i="1"/>
  <c r="BI35" i="1"/>
  <c r="BJ35" i="1"/>
  <c r="Z35" i="1" s="1"/>
  <c r="J37" i="1"/>
  <c r="K37" i="1"/>
  <c r="L37" i="1"/>
  <c r="Z37" i="1"/>
  <c r="AB37" i="1"/>
  <c r="AC37" i="1"/>
  <c r="AF37" i="1"/>
  <c r="AG37" i="1"/>
  <c r="AH37" i="1"/>
  <c r="AJ37" i="1"/>
  <c r="AK37" i="1"/>
  <c r="AT36" i="1" s="1"/>
  <c r="AL37" i="1"/>
  <c r="AO37" i="1"/>
  <c r="AP37" i="1"/>
  <c r="AW37" i="1"/>
  <c r="AX37" i="1"/>
  <c r="BD37" i="1"/>
  <c r="BF37" i="1"/>
  <c r="BH37" i="1"/>
  <c r="AD37" i="1" s="1"/>
  <c r="BI37" i="1"/>
  <c r="AE37" i="1" s="1"/>
  <c r="BJ37" i="1"/>
  <c r="J38" i="1"/>
  <c r="L38" i="1"/>
  <c r="AL38" i="1" s="1"/>
  <c r="Z38" i="1"/>
  <c r="AB38" i="1"/>
  <c r="AC38" i="1"/>
  <c r="AF38" i="1"/>
  <c r="AG38" i="1"/>
  <c r="AH38" i="1"/>
  <c r="AJ38" i="1"/>
  <c r="AS36" i="1" s="1"/>
  <c r="AK38" i="1"/>
  <c r="AO38" i="1"/>
  <c r="AP38" i="1"/>
  <c r="AX38" i="1" s="1"/>
  <c r="BC38" i="1" s="1"/>
  <c r="AW38" i="1"/>
  <c r="BD38" i="1"/>
  <c r="BF38" i="1"/>
  <c r="BH38" i="1"/>
  <c r="AD38" i="1" s="1"/>
  <c r="BI38" i="1"/>
  <c r="AE38" i="1" s="1"/>
  <c r="BJ38" i="1"/>
  <c r="L39" i="1"/>
  <c r="L36" i="1" s="1"/>
  <c r="Z39" i="1"/>
  <c r="AB39" i="1"/>
  <c r="AC39" i="1"/>
  <c r="AF39" i="1"/>
  <c r="AG39" i="1"/>
  <c r="AH39" i="1"/>
  <c r="AJ39" i="1"/>
  <c r="AK39" i="1"/>
  <c r="AO39" i="1"/>
  <c r="AW39" i="1" s="1"/>
  <c r="AP39" i="1"/>
  <c r="BD39" i="1"/>
  <c r="BF39" i="1"/>
  <c r="BH39" i="1"/>
  <c r="AD39" i="1" s="1"/>
  <c r="BI39" i="1"/>
  <c r="AE39" i="1" s="1"/>
  <c r="BJ39" i="1"/>
  <c r="K40" i="1"/>
  <c r="L40" i="1"/>
  <c r="AL40" i="1" s="1"/>
  <c r="AB40" i="1"/>
  <c r="AC40" i="1"/>
  <c r="AD40" i="1"/>
  <c r="AE40" i="1"/>
  <c r="AF40" i="1"/>
  <c r="AG40" i="1"/>
  <c r="AH40" i="1"/>
  <c r="AJ40" i="1"/>
  <c r="AK40" i="1"/>
  <c r="AO40" i="1"/>
  <c r="AP40" i="1"/>
  <c r="AX40" i="1"/>
  <c r="BD40" i="1"/>
  <c r="BF40" i="1"/>
  <c r="BH40" i="1"/>
  <c r="BI40" i="1"/>
  <c r="BJ40" i="1"/>
  <c r="Z40" i="1" s="1"/>
  <c r="L42" i="1"/>
  <c r="L41" i="1" s="1"/>
  <c r="Z42" i="1"/>
  <c r="AB42" i="1"/>
  <c r="AC42" i="1"/>
  <c r="AF42" i="1"/>
  <c r="AG42" i="1"/>
  <c r="AH42" i="1"/>
  <c r="AJ42" i="1"/>
  <c r="AS41" i="1" s="1"/>
  <c r="AK42" i="1"/>
  <c r="AO42" i="1"/>
  <c r="AW42" i="1" s="1"/>
  <c r="AP42" i="1"/>
  <c r="BD42" i="1"/>
  <c r="BF42" i="1"/>
  <c r="BH42" i="1"/>
  <c r="AD42" i="1" s="1"/>
  <c r="BJ42" i="1"/>
  <c r="K43" i="1"/>
  <c r="L43" i="1"/>
  <c r="AL43" i="1" s="1"/>
  <c r="Z43" i="1"/>
  <c r="AB43" i="1"/>
  <c r="AC43" i="1"/>
  <c r="AF43" i="1"/>
  <c r="AG43" i="1"/>
  <c r="AH43" i="1"/>
  <c r="AJ43" i="1"/>
  <c r="AK43" i="1"/>
  <c r="AT41" i="1" s="1"/>
  <c r="AO43" i="1"/>
  <c r="AP43" i="1"/>
  <c r="AX43" i="1"/>
  <c r="BD43" i="1"/>
  <c r="BF43" i="1"/>
  <c r="BI43" i="1"/>
  <c r="AE43" i="1" s="1"/>
  <c r="BJ43" i="1"/>
  <c r="J44" i="1"/>
  <c r="K44" i="1"/>
  <c r="L44" i="1"/>
  <c r="AB44" i="1"/>
  <c r="AC44" i="1"/>
  <c r="AD44" i="1"/>
  <c r="AE44" i="1"/>
  <c r="AF44" i="1"/>
  <c r="AG44" i="1"/>
  <c r="AH44" i="1"/>
  <c r="AJ44" i="1"/>
  <c r="AK44" i="1"/>
  <c r="AL44" i="1"/>
  <c r="AO44" i="1"/>
  <c r="AP44" i="1"/>
  <c r="AX44" i="1" s="1"/>
  <c r="AW44" i="1"/>
  <c r="AV44" i="1" s="1"/>
  <c r="BD44" i="1"/>
  <c r="BF44" i="1"/>
  <c r="BH44" i="1"/>
  <c r="BI44" i="1"/>
  <c r="BJ44" i="1"/>
  <c r="Z44" i="1" s="1"/>
  <c r="K46" i="1"/>
  <c r="L46" i="1"/>
  <c r="L45" i="1" s="1"/>
  <c r="Z46" i="1"/>
  <c r="AC46" i="1"/>
  <c r="AD46" i="1"/>
  <c r="AE46" i="1"/>
  <c r="AF46" i="1"/>
  <c r="AG46" i="1"/>
  <c r="AH46" i="1"/>
  <c r="AJ46" i="1"/>
  <c r="AK46" i="1"/>
  <c r="AO46" i="1"/>
  <c r="AP46" i="1"/>
  <c r="AX46" i="1"/>
  <c r="BD46" i="1"/>
  <c r="BF46" i="1"/>
  <c r="BI46" i="1"/>
  <c r="BJ46" i="1"/>
  <c r="J47" i="1"/>
  <c r="K47" i="1"/>
  <c r="L47" i="1"/>
  <c r="Z47" i="1"/>
  <c r="AB47" i="1"/>
  <c r="AC47" i="1"/>
  <c r="AD47" i="1"/>
  <c r="AE47" i="1"/>
  <c r="AF47" i="1"/>
  <c r="AG47" i="1"/>
  <c r="AH47" i="1"/>
  <c r="AJ47" i="1"/>
  <c r="AK47" i="1"/>
  <c r="AL47" i="1"/>
  <c r="AO47" i="1"/>
  <c r="AP47" i="1"/>
  <c r="AX47" i="1" s="1"/>
  <c r="AW47" i="1"/>
  <c r="BD47" i="1"/>
  <c r="BF47" i="1"/>
  <c r="BH47" i="1"/>
  <c r="BI47" i="1"/>
  <c r="BJ47" i="1"/>
  <c r="J48" i="1"/>
  <c r="L48" i="1"/>
  <c r="Z48" i="1"/>
  <c r="AB48" i="1"/>
  <c r="AD48" i="1"/>
  <c r="AE48" i="1"/>
  <c r="AF48" i="1"/>
  <c r="AG48" i="1"/>
  <c r="AH48" i="1"/>
  <c r="AJ48" i="1"/>
  <c r="AS45" i="1" s="1"/>
  <c r="AK48" i="1"/>
  <c r="AL48" i="1"/>
  <c r="AO48" i="1"/>
  <c r="AW48" i="1" s="1"/>
  <c r="AP48" i="1"/>
  <c r="K48" i="1" s="1"/>
  <c r="BD48" i="1"/>
  <c r="BF48" i="1"/>
  <c r="BH48" i="1"/>
  <c r="BI48" i="1"/>
  <c r="AC48" i="1" s="1"/>
  <c r="BJ48" i="1"/>
  <c r="L49" i="1"/>
  <c r="AL49" i="1" s="1"/>
  <c r="Z49" i="1"/>
  <c r="AD49" i="1"/>
  <c r="AE49" i="1"/>
  <c r="AF49" i="1"/>
  <c r="AG49" i="1"/>
  <c r="AH49" i="1"/>
  <c r="AJ49" i="1"/>
  <c r="AK49" i="1"/>
  <c r="AO49" i="1"/>
  <c r="J49" i="1" s="1"/>
  <c r="AP49" i="1"/>
  <c r="K49" i="1" s="1"/>
  <c r="BD49" i="1"/>
  <c r="BF49" i="1"/>
  <c r="BH49" i="1"/>
  <c r="AB49" i="1" s="1"/>
  <c r="BI49" i="1"/>
  <c r="AC49" i="1" s="1"/>
  <c r="BJ49" i="1"/>
  <c r="K50" i="1"/>
  <c r="L50" i="1"/>
  <c r="AL50" i="1" s="1"/>
  <c r="Z50" i="1"/>
  <c r="AC50" i="1"/>
  <c r="AD50" i="1"/>
  <c r="AE50" i="1"/>
  <c r="AF50" i="1"/>
  <c r="AG50" i="1"/>
  <c r="AH50" i="1"/>
  <c r="AJ50" i="1"/>
  <c r="AK50" i="1"/>
  <c r="AO50" i="1"/>
  <c r="J50" i="1" s="1"/>
  <c r="AP50" i="1"/>
  <c r="AX50" i="1"/>
  <c r="BD50" i="1"/>
  <c r="BF50" i="1"/>
  <c r="BH50" i="1"/>
  <c r="AB50" i="1" s="1"/>
  <c r="BI50" i="1"/>
  <c r="BJ50" i="1"/>
  <c r="J51" i="1"/>
  <c r="K51" i="1"/>
  <c r="L51" i="1"/>
  <c r="Z51" i="1"/>
  <c r="AB51" i="1"/>
  <c r="AC51" i="1"/>
  <c r="AD51" i="1"/>
  <c r="AE51" i="1"/>
  <c r="AF51" i="1"/>
  <c r="AG51" i="1"/>
  <c r="AH51" i="1"/>
  <c r="AJ51" i="1"/>
  <c r="AK51" i="1"/>
  <c r="AL51" i="1"/>
  <c r="AO51" i="1"/>
  <c r="AP51" i="1"/>
  <c r="AW51" i="1"/>
  <c r="AX51" i="1"/>
  <c r="BD51" i="1"/>
  <c r="BF51" i="1"/>
  <c r="BH51" i="1"/>
  <c r="BI51" i="1"/>
  <c r="BJ51" i="1"/>
  <c r="J52" i="1"/>
  <c r="L52" i="1"/>
  <c r="AL52" i="1" s="1"/>
  <c r="Z52" i="1"/>
  <c r="AB52" i="1"/>
  <c r="AD52" i="1"/>
  <c r="AE52" i="1"/>
  <c r="AF52" i="1"/>
  <c r="AG52" i="1"/>
  <c r="AH52" i="1"/>
  <c r="AJ52" i="1"/>
  <c r="AK52" i="1"/>
  <c r="AO52" i="1"/>
  <c r="AP52" i="1"/>
  <c r="AX52" i="1" s="1"/>
  <c r="AW52" i="1"/>
  <c r="BD52" i="1"/>
  <c r="BF52" i="1"/>
  <c r="BH52" i="1"/>
  <c r="BI52" i="1"/>
  <c r="AC52" i="1" s="1"/>
  <c r="BJ52" i="1"/>
  <c r="L53" i="1"/>
  <c r="AL53" i="1" s="1"/>
  <c r="Z53" i="1"/>
  <c r="AD53" i="1"/>
  <c r="AE53" i="1"/>
  <c r="AF53" i="1"/>
  <c r="AG53" i="1"/>
  <c r="AH53" i="1"/>
  <c r="AJ53" i="1"/>
  <c r="AK53" i="1"/>
  <c r="AO53" i="1"/>
  <c r="AW53" i="1" s="1"/>
  <c r="AP53" i="1"/>
  <c r="BD53" i="1"/>
  <c r="BF53" i="1"/>
  <c r="BH53" i="1"/>
  <c r="AB53" i="1" s="1"/>
  <c r="BI53" i="1"/>
  <c r="AC53" i="1" s="1"/>
  <c r="BJ53" i="1"/>
  <c r="K54" i="1"/>
  <c r="L54" i="1"/>
  <c r="Z54" i="1"/>
  <c r="AC54" i="1"/>
  <c r="AD54" i="1"/>
  <c r="AE54" i="1"/>
  <c r="AF54" i="1"/>
  <c r="AG54" i="1"/>
  <c r="AH54" i="1"/>
  <c r="AJ54" i="1"/>
  <c r="AK54" i="1"/>
  <c r="AL54" i="1"/>
  <c r="AO54" i="1"/>
  <c r="AP54" i="1"/>
  <c r="AX54" i="1"/>
  <c r="BD54" i="1"/>
  <c r="BF54" i="1"/>
  <c r="BI54" i="1"/>
  <c r="BJ54" i="1"/>
  <c r="J55" i="1"/>
  <c r="K55" i="1"/>
  <c r="L55" i="1"/>
  <c r="Z55" i="1"/>
  <c r="AB55" i="1"/>
  <c r="AC55" i="1"/>
  <c r="AD55" i="1"/>
  <c r="AE55" i="1"/>
  <c r="AF55" i="1"/>
  <c r="AG55" i="1"/>
  <c r="AH55" i="1"/>
  <c r="AJ55" i="1"/>
  <c r="AK55" i="1"/>
  <c r="AL55" i="1"/>
  <c r="AO55" i="1"/>
  <c r="AP55" i="1"/>
  <c r="AX55" i="1" s="1"/>
  <c r="AW55" i="1"/>
  <c r="AV55" i="1" s="1"/>
  <c r="BD55" i="1"/>
  <c r="BF55" i="1"/>
  <c r="BH55" i="1"/>
  <c r="BI55" i="1"/>
  <c r="BJ55" i="1"/>
  <c r="J56" i="1"/>
  <c r="L56" i="1"/>
  <c r="Z56" i="1"/>
  <c r="AB56" i="1"/>
  <c r="AD56" i="1"/>
  <c r="AE56" i="1"/>
  <c r="AF56" i="1"/>
  <c r="AG56" i="1"/>
  <c r="AH56" i="1"/>
  <c r="AJ56" i="1"/>
  <c r="AK56" i="1"/>
  <c r="AL56" i="1"/>
  <c r="AO56" i="1"/>
  <c r="AW56" i="1" s="1"/>
  <c r="AP56" i="1"/>
  <c r="K56" i="1" s="1"/>
  <c r="BD56" i="1"/>
  <c r="BF56" i="1"/>
  <c r="BH56" i="1"/>
  <c r="BI56" i="1"/>
  <c r="AC56" i="1" s="1"/>
  <c r="BJ56" i="1"/>
  <c r="L57" i="1"/>
  <c r="AL57" i="1" s="1"/>
  <c r="Z57" i="1"/>
  <c r="AD57" i="1"/>
  <c r="AE57" i="1"/>
  <c r="AF57" i="1"/>
  <c r="AG57" i="1"/>
  <c r="AH57" i="1"/>
  <c r="AJ57" i="1"/>
  <c r="AK57" i="1"/>
  <c r="AO57" i="1"/>
  <c r="J57" i="1" s="1"/>
  <c r="AP57" i="1"/>
  <c r="K57" i="1" s="1"/>
  <c r="BD57" i="1"/>
  <c r="BF57" i="1"/>
  <c r="BH57" i="1"/>
  <c r="AB57" i="1" s="1"/>
  <c r="BI57" i="1"/>
  <c r="AC57" i="1" s="1"/>
  <c r="BJ57" i="1"/>
  <c r="K58" i="1"/>
  <c r="L58" i="1"/>
  <c r="AL58" i="1" s="1"/>
  <c r="Z58" i="1"/>
  <c r="AC58" i="1"/>
  <c r="AD58" i="1"/>
  <c r="AE58" i="1"/>
  <c r="AF58" i="1"/>
  <c r="AG58" i="1"/>
  <c r="AH58" i="1"/>
  <c r="AJ58" i="1"/>
  <c r="AK58" i="1"/>
  <c r="AO58" i="1"/>
  <c r="J58" i="1" s="1"/>
  <c r="AP58" i="1"/>
  <c r="AX58" i="1"/>
  <c r="BD58" i="1"/>
  <c r="BF58" i="1"/>
  <c r="BH58" i="1"/>
  <c r="AB58" i="1" s="1"/>
  <c r="BI58" i="1"/>
  <c r="BJ58" i="1"/>
  <c r="J59" i="1"/>
  <c r="K59" i="1"/>
  <c r="L59" i="1"/>
  <c r="Z59" i="1"/>
  <c r="AB59" i="1"/>
  <c r="AC59" i="1"/>
  <c r="AD59" i="1"/>
  <c r="AE59" i="1"/>
  <c r="AF59" i="1"/>
  <c r="AG59" i="1"/>
  <c r="AH59" i="1"/>
  <c r="AJ59" i="1"/>
  <c r="AK59" i="1"/>
  <c r="AL59" i="1"/>
  <c r="AO59" i="1"/>
  <c r="AP59" i="1"/>
  <c r="AW59" i="1"/>
  <c r="AX59" i="1"/>
  <c r="BD59" i="1"/>
  <c r="BF59" i="1"/>
  <c r="BH59" i="1"/>
  <c r="BI59" i="1"/>
  <c r="BJ59" i="1"/>
  <c r="J60" i="1"/>
  <c r="L60" i="1"/>
  <c r="AL60" i="1" s="1"/>
  <c r="Z60" i="1"/>
  <c r="AB60" i="1"/>
  <c r="AD60" i="1"/>
  <c r="AE60" i="1"/>
  <c r="AF60" i="1"/>
  <c r="AG60" i="1"/>
  <c r="AH60" i="1"/>
  <c r="AJ60" i="1"/>
  <c r="AK60" i="1"/>
  <c r="AO60" i="1"/>
  <c r="AP60" i="1"/>
  <c r="AX60" i="1" s="1"/>
  <c r="BC60" i="1" s="1"/>
  <c r="AV60" i="1"/>
  <c r="AW60" i="1"/>
  <c r="BD60" i="1"/>
  <c r="BF60" i="1"/>
  <c r="BH60" i="1"/>
  <c r="BI60" i="1"/>
  <c r="AC60" i="1" s="1"/>
  <c r="BJ60" i="1"/>
  <c r="L61" i="1"/>
  <c r="AL61" i="1" s="1"/>
  <c r="Z61" i="1"/>
  <c r="AD61" i="1"/>
  <c r="AE61" i="1"/>
  <c r="AF61" i="1"/>
  <c r="AG61" i="1"/>
  <c r="AH61" i="1"/>
  <c r="AJ61" i="1"/>
  <c r="AK61" i="1"/>
  <c r="AO61" i="1"/>
  <c r="AW61" i="1" s="1"/>
  <c r="AP61" i="1"/>
  <c r="BD61" i="1"/>
  <c r="BF61" i="1"/>
  <c r="BH61" i="1"/>
  <c r="AB61" i="1" s="1"/>
  <c r="BJ61" i="1"/>
  <c r="K62" i="1"/>
  <c r="L62" i="1"/>
  <c r="Z62" i="1"/>
  <c r="AC62" i="1"/>
  <c r="AD62" i="1"/>
  <c r="AE62" i="1"/>
  <c r="AF62" i="1"/>
  <c r="AG62" i="1"/>
  <c r="AH62" i="1"/>
  <c r="AJ62" i="1"/>
  <c r="AK62" i="1"/>
  <c r="AL62" i="1"/>
  <c r="AO62" i="1"/>
  <c r="AP62" i="1"/>
  <c r="AX62" i="1"/>
  <c r="BD62" i="1"/>
  <c r="BF62" i="1"/>
  <c r="BI62" i="1"/>
  <c r="BJ62" i="1"/>
  <c r="J63" i="1"/>
  <c r="K63" i="1"/>
  <c r="L63" i="1"/>
  <c r="Z63" i="1"/>
  <c r="AB63" i="1"/>
  <c r="AC63" i="1"/>
  <c r="AD63" i="1"/>
  <c r="AE63" i="1"/>
  <c r="AF63" i="1"/>
  <c r="AG63" i="1"/>
  <c r="AH63" i="1"/>
  <c r="AJ63" i="1"/>
  <c r="AK63" i="1"/>
  <c r="AL63" i="1"/>
  <c r="AO63" i="1"/>
  <c r="AP63" i="1"/>
  <c r="AX63" i="1" s="1"/>
  <c r="AW63" i="1"/>
  <c r="BD63" i="1"/>
  <c r="BF63" i="1"/>
  <c r="BH63" i="1"/>
  <c r="BI63" i="1"/>
  <c r="BJ63" i="1"/>
  <c r="J64" i="1"/>
  <c r="L64" i="1"/>
  <c r="Z64" i="1"/>
  <c r="AB64" i="1"/>
  <c r="AD64" i="1"/>
  <c r="AE64" i="1"/>
  <c r="AF64" i="1"/>
  <c r="AG64" i="1"/>
  <c r="AH64" i="1"/>
  <c r="AJ64" i="1"/>
  <c r="AK64" i="1"/>
  <c r="AL64" i="1"/>
  <c r="AO64" i="1"/>
  <c r="AW64" i="1" s="1"/>
  <c r="AP64" i="1"/>
  <c r="K64" i="1" s="1"/>
  <c r="BD64" i="1"/>
  <c r="BF64" i="1"/>
  <c r="BH64" i="1"/>
  <c r="BI64" i="1"/>
  <c r="AC64" i="1" s="1"/>
  <c r="BJ64" i="1"/>
  <c r="L65" i="1"/>
  <c r="AL65" i="1" s="1"/>
  <c r="Z65" i="1"/>
  <c r="AD65" i="1"/>
  <c r="AE65" i="1"/>
  <c r="AF65" i="1"/>
  <c r="AG65" i="1"/>
  <c r="AH65" i="1"/>
  <c r="AJ65" i="1"/>
  <c r="AK65" i="1"/>
  <c r="AO65" i="1"/>
  <c r="J65" i="1" s="1"/>
  <c r="AP65" i="1"/>
  <c r="K65" i="1" s="1"/>
  <c r="BD65" i="1"/>
  <c r="BF65" i="1"/>
  <c r="BH65" i="1"/>
  <c r="AB65" i="1" s="1"/>
  <c r="BI65" i="1"/>
  <c r="AC65" i="1" s="1"/>
  <c r="BJ65" i="1"/>
  <c r="K66" i="1"/>
  <c r="L66" i="1"/>
  <c r="AL66" i="1" s="1"/>
  <c r="Z66" i="1"/>
  <c r="AC66" i="1"/>
  <c r="AD66" i="1"/>
  <c r="AE66" i="1"/>
  <c r="AF66" i="1"/>
  <c r="AG66" i="1"/>
  <c r="AH66" i="1"/>
  <c r="AJ66" i="1"/>
  <c r="AK66" i="1"/>
  <c r="AO66" i="1"/>
  <c r="J66" i="1" s="1"/>
  <c r="AP66" i="1"/>
  <c r="AX66" i="1"/>
  <c r="BD66" i="1"/>
  <c r="BF66" i="1"/>
  <c r="BH66" i="1"/>
  <c r="AB66" i="1" s="1"/>
  <c r="BI66" i="1"/>
  <c r="BJ66" i="1"/>
  <c r="J67" i="1"/>
  <c r="K67" i="1"/>
  <c r="L67" i="1"/>
  <c r="Z67" i="1"/>
  <c r="AB67" i="1"/>
  <c r="AC67" i="1"/>
  <c r="AD67" i="1"/>
  <c r="AE67" i="1"/>
  <c r="AF67" i="1"/>
  <c r="AG67" i="1"/>
  <c r="AH67" i="1"/>
  <c r="AJ67" i="1"/>
  <c r="AK67" i="1"/>
  <c r="AL67" i="1"/>
  <c r="AO67" i="1"/>
  <c r="AP67" i="1"/>
  <c r="AX67" i="1" s="1"/>
  <c r="AW67" i="1"/>
  <c r="BD67" i="1"/>
  <c r="BF67" i="1"/>
  <c r="BH67" i="1"/>
  <c r="BI67" i="1"/>
  <c r="BJ67" i="1"/>
  <c r="J68" i="1"/>
  <c r="L68" i="1"/>
  <c r="AL68" i="1" s="1"/>
  <c r="Z68" i="1"/>
  <c r="AB68" i="1"/>
  <c r="AD68" i="1"/>
  <c r="AE68" i="1"/>
  <c r="AF68" i="1"/>
  <c r="AG68" i="1"/>
  <c r="AH68" i="1"/>
  <c r="AJ68" i="1"/>
  <c r="AK68" i="1"/>
  <c r="AO68" i="1"/>
  <c r="AP68" i="1"/>
  <c r="AX68" i="1" s="1"/>
  <c r="BC68" i="1" s="1"/>
  <c r="AV68" i="1"/>
  <c r="AW68" i="1"/>
  <c r="BD68" i="1"/>
  <c r="BF68" i="1"/>
  <c r="BH68" i="1"/>
  <c r="BI68" i="1"/>
  <c r="AC68" i="1" s="1"/>
  <c r="BJ68" i="1"/>
  <c r="L69" i="1"/>
  <c r="Z69" i="1"/>
  <c r="AD69" i="1"/>
  <c r="AE69" i="1"/>
  <c r="AF69" i="1"/>
  <c r="AG69" i="1"/>
  <c r="AH69" i="1"/>
  <c r="AJ69" i="1"/>
  <c r="AK69" i="1"/>
  <c r="AL69" i="1"/>
  <c r="AO69" i="1"/>
  <c r="AW69" i="1" s="1"/>
  <c r="AP69" i="1"/>
  <c r="BD69" i="1"/>
  <c r="BF69" i="1"/>
  <c r="BH69" i="1"/>
  <c r="AB69" i="1" s="1"/>
  <c r="BI69" i="1"/>
  <c r="AC69" i="1" s="1"/>
  <c r="BJ69" i="1"/>
  <c r="L70" i="1"/>
  <c r="AL70" i="1" s="1"/>
  <c r="Z70" i="1"/>
  <c r="AC70" i="1"/>
  <c r="AD70" i="1"/>
  <c r="AE70" i="1"/>
  <c r="AF70" i="1"/>
  <c r="AG70" i="1"/>
  <c r="AH70" i="1"/>
  <c r="AJ70" i="1"/>
  <c r="AK70" i="1"/>
  <c r="AO70" i="1"/>
  <c r="AP70" i="1"/>
  <c r="K70" i="1" s="1"/>
  <c r="AX70" i="1"/>
  <c r="BD70" i="1"/>
  <c r="BF70" i="1"/>
  <c r="BH70" i="1"/>
  <c r="AB70" i="1" s="1"/>
  <c r="BI70" i="1"/>
  <c r="BJ70" i="1"/>
  <c r="K71" i="1"/>
  <c r="L71" i="1"/>
  <c r="Z71" i="1"/>
  <c r="AB71" i="1"/>
  <c r="AC71" i="1"/>
  <c r="AD71" i="1"/>
  <c r="AE71" i="1"/>
  <c r="AF71" i="1"/>
  <c r="AG71" i="1"/>
  <c r="AH71" i="1"/>
  <c r="AJ71" i="1"/>
  <c r="AK71" i="1"/>
  <c r="AL71" i="1"/>
  <c r="AO71" i="1"/>
  <c r="J71" i="1" s="1"/>
  <c r="AP71" i="1"/>
  <c r="AX71" i="1" s="1"/>
  <c r="AW71" i="1"/>
  <c r="BD71" i="1"/>
  <c r="BF71" i="1"/>
  <c r="BH71" i="1"/>
  <c r="BI71" i="1"/>
  <c r="BJ71" i="1"/>
  <c r="J72" i="1"/>
  <c r="L72" i="1"/>
  <c r="Z72" i="1"/>
  <c r="AB72" i="1"/>
  <c r="AD72" i="1"/>
  <c r="AE72" i="1"/>
  <c r="AF72" i="1"/>
  <c r="AG72" i="1"/>
  <c r="AH72" i="1"/>
  <c r="AJ72" i="1"/>
  <c r="AK72" i="1"/>
  <c r="AL72" i="1"/>
  <c r="AO72" i="1"/>
  <c r="AW72" i="1" s="1"/>
  <c r="AP72" i="1"/>
  <c r="K72" i="1" s="1"/>
  <c r="BD72" i="1"/>
  <c r="BF72" i="1"/>
  <c r="BH72" i="1"/>
  <c r="BI72" i="1"/>
  <c r="AC72" i="1" s="1"/>
  <c r="BJ72" i="1"/>
  <c r="L73" i="1"/>
  <c r="AL73" i="1" s="1"/>
  <c r="Z73" i="1"/>
  <c r="AD73" i="1"/>
  <c r="AE73" i="1"/>
  <c r="AF73" i="1"/>
  <c r="AG73" i="1"/>
  <c r="AH73" i="1"/>
  <c r="AJ73" i="1"/>
  <c r="AK73" i="1"/>
  <c r="AO73" i="1"/>
  <c r="J73" i="1" s="1"/>
  <c r="AP73" i="1"/>
  <c r="K73" i="1" s="1"/>
  <c r="BD73" i="1"/>
  <c r="BF73" i="1"/>
  <c r="BH73" i="1"/>
  <c r="AB73" i="1" s="1"/>
  <c r="BI73" i="1"/>
  <c r="AC73" i="1" s="1"/>
  <c r="BJ73" i="1"/>
  <c r="K74" i="1"/>
  <c r="L74" i="1"/>
  <c r="AL74" i="1" s="1"/>
  <c r="Z74" i="1"/>
  <c r="AD74" i="1"/>
  <c r="AE74" i="1"/>
  <c r="AF74" i="1"/>
  <c r="AG74" i="1"/>
  <c r="AH74" i="1"/>
  <c r="AJ74" i="1"/>
  <c r="AK74" i="1"/>
  <c r="AO74" i="1"/>
  <c r="J74" i="1" s="1"/>
  <c r="AP74" i="1"/>
  <c r="AX74" i="1"/>
  <c r="BD74" i="1"/>
  <c r="BF74" i="1"/>
  <c r="BH74" i="1"/>
  <c r="AB74" i="1" s="1"/>
  <c r="BI74" i="1"/>
  <c r="AC74" i="1" s="1"/>
  <c r="BJ74" i="1"/>
  <c r="J75" i="1"/>
  <c r="K75" i="1"/>
  <c r="L75" i="1"/>
  <c r="Z75" i="1"/>
  <c r="AC75" i="1"/>
  <c r="AD75" i="1"/>
  <c r="AE75" i="1"/>
  <c r="AF75" i="1"/>
  <c r="AG75" i="1"/>
  <c r="AH75" i="1"/>
  <c r="AJ75" i="1"/>
  <c r="AK75" i="1"/>
  <c r="AL75" i="1"/>
  <c r="AO75" i="1"/>
  <c r="AP75" i="1"/>
  <c r="AX75" i="1" s="1"/>
  <c r="AW75" i="1"/>
  <c r="BD75" i="1"/>
  <c r="BF75" i="1"/>
  <c r="BH75" i="1"/>
  <c r="AB75" i="1" s="1"/>
  <c r="BI75" i="1"/>
  <c r="BJ75" i="1"/>
  <c r="J76" i="1"/>
  <c r="L76" i="1"/>
  <c r="AL76" i="1" s="1"/>
  <c r="Z76" i="1"/>
  <c r="AB76" i="1"/>
  <c r="AD76" i="1"/>
  <c r="AE76" i="1"/>
  <c r="AF76" i="1"/>
  <c r="AG76" i="1"/>
  <c r="AH76" i="1"/>
  <c r="AJ76" i="1"/>
  <c r="AK76" i="1"/>
  <c r="AO76" i="1"/>
  <c r="AW76" i="1" s="1"/>
  <c r="AP76" i="1"/>
  <c r="AX76" i="1" s="1"/>
  <c r="AV76" i="1" s="1"/>
  <c r="BD76" i="1"/>
  <c r="BF76" i="1"/>
  <c r="BH76" i="1"/>
  <c r="BI76" i="1"/>
  <c r="AC76" i="1" s="1"/>
  <c r="BJ76" i="1"/>
  <c r="L77" i="1"/>
  <c r="Z77" i="1"/>
  <c r="AD77" i="1"/>
  <c r="AE77" i="1"/>
  <c r="AF77" i="1"/>
  <c r="AG77" i="1"/>
  <c r="AH77" i="1"/>
  <c r="AJ77" i="1"/>
  <c r="AK77" i="1"/>
  <c r="AL77" i="1"/>
  <c r="AO77" i="1"/>
  <c r="AW77" i="1" s="1"/>
  <c r="AP77" i="1"/>
  <c r="BD77" i="1"/>
  <c r="BF77" i="1"/>
  <c r="BH77" i="1"/>
  <c r="AB77" i="1" s="1"/>
  <c r="BJ77" i="1"/>
  <c r="L78" i="1"/>
  <c r="Z78" i="1"/>
  <c r="AC78" i="1"/>
  <c r="AD78" i="1"/>
  <c r="AE78" i="1"/>
  <c r="AF78" i="1"/>
  <c r="AG78" i="1"/>
  <c r="AH78" i="1"/>
  <c r="AJ78" i="1"/>
  <c r="AK78" i="1"/>
  <c r="AL78" i="1"/>
  <c r="AO78" i="1"/>
  <c r="AP78" i="1"/>
  <c r="K78" i="1" s="1"/>
  <c r="AX78" i="1"/>
  <c r="BD78" i="1"/>
  <c r="BF78" i="1"/>
  <c r="BH78" i="1"/>
  <c r="AB78" i="1" s="1"/>
  <c r="BI78" i="1"/>
  <c r="BJ78" i="1"/>
  <c r="K79" i="1"/>
  <c r="L79" i="1"/>
  <c r="Z79" i="1"/>
  <c r="AB79" i="1"/>
  <c r="AC79" i="1"/>
  <c r="AD79" i="1"/>
  <c r="AE79" i="1"/>
  <c r="AF79" i="1"/>
  <c r="AG79" i="1"/>
  <c r="AH79" i="1"/>
  <c r="AJ79" i="1"/>
  <c r="AK79" i="1"/>
  <c r="AL79" i="1"/>
  <c r="AO79" i="1"/>
  <c r="J79" i="1" s="1"/>
  <c r="AP79" i="1"/>
  <c r="AX79" i="1" s="1"/>
  <c r="AW79" i="1"/>
  <c r="BD79" i="1"/>
  <c r="BF79" i="1"/>
  <c r="BH79" i="1"/>
  <c r="BI79" i="1"/>
  <c r="BJ79" i="1"/>
  <c r="J80" i="1"/>
  <c r="L80" i="1"/>
  <c r="AL80" i="1" s="1"/>
  <c r="Z80" i="1"/>
  <c r="AB80" i="1"/>
  <c r="AD80" i="1"/>
  <c r="AE80" i="1"/>
  <c r="AF80" i="1"/>
  <c r="AG80" i="1"/>
  <c r="AH80" i="1"/>
  <c r="AJ80" i="1"/>
  <c r="AK80" i="1"/>
  <c r="AO80" i="1"/>
  <c r="AW80" i="1" s="1"/>
  <c r="AP80" i="1"/>
  <c r="K80" i="1" s="1"/>
  <c r="BD80" i="1"/>
  <c r="BF80" i="1"/>
  <c r="BH80" i="1"/>
  <c r="BI80" i="1"/>
  <c r="AC80" i="1" s="1"/>
  <c r="BJ80" i="1"/>
  <c r="K82" i="1"/>
  <c r="L82" i="1"/>
  <c r="Z82" i="1"/>
  <c r="AB82" i="1"/>
  <c r="AC82" i="1"/>
  <c r="AD82" i="1"/>
  <c r="AE82" i="1"/>
  <c r="AF82" i="1"/>
  <c r="AG82" i="1"/>
  <c r="AH82" i="1"/>
  <c r="AJ82" i="1"/>
  <c r="AK82" i="1"/>
  <c r="AL82" i="1"/>
  <c r="AO82" i="1"/>
  <c r="J82" i="1" s="1"/>
  <c r="AP82" i="1"/>
  <c r="AX82" i="1" s="1"/>
  <c r="AW82" i="1"/>
  <c r="BD82" i="1"/>
  <c r="BF82" i="1"/>
  <c r="BH82" i="1"/>
  <c r="BI82" i="1"/>
  <c r="BJ82" i="1"/>
  <c r="J83" i="1"/>
  <c r="L83" i="1"/>
  <c r="Z83" i="1"/>
  <c r="AB83" i="1"/>
  <c r="AD83" i="1"/>
  <c r="AE83" i="1"/>
  <c r="AF83" i="1"/>
  <c r="AG83" i="1"/>
  <c r="AH83" i="1"/>
  <c r="AJ83" i="1"/>
  <c r="AK83" i="1"/>
  <c r="AL83" i="1"/>
  <c r="AO83" i="1"/>
  <c r="AW83" i="1" s="1"/>
  <c r="AP83" i="1"/>
  <c r="K83" i="1" s="1"/>
  <c r="BD83" i="1"/>
  <c r="BF83" i="1"/>
  <c r="BH83" i="1"/>
  <c r="BI83" i="1"/>
  <c r="AC83" i="1" s="1"/>
  <c r="BJ83" i="1"/>
  <c r="L84" i="1"/>
  <c r="AL84" i="1" s="1"/>
  <c r="Z84" i="1"/>
  <c r="AD84" i="1"/>
  <c r="AE84" i="1"/>
  <c r="AF84" i="1"/>
  <c r="AG84" i="1"/>
  <c r="AH84" i="1"/>
  <c r="AJ84" i="1"/>
  <c r="AS81" i="1" s="1"/>
  <c r="AK84" i="1"/>
  <c r="AO84" i="1"/>
  <c r="J84" i="1" s="1"/>
  <c r="AP84" i="1"/>
  <c r="K84" i="1" s="1"/>
  <c r="AX84" i="1"/>
  <c r="BD84" i="1"/>
  <c r="BF84" i="1"/>
  <c r="BH84" i="1"/>
  <c r="AB84" i="1" s="1"/>
  <c r="BI84" i="1"/>
  <c r="AC84" i="1" s="1"/>
  <c r="BJ84" i="1"/>
  <c r="K85" i="1"/>
  <c r="L85" i="1"/>
  <c r="AL85" i="1" s="1"/>
  <c r="Z85" i="1"/>
  <c r="AC85" i="1"/>
  <c r="AD85" i="1"/>
  <c r="AE85" i="1"/>
  <c r="AF85" i="1"/>
  <c r="AG85" i="1"/>
  <c r="AH85" i="1"/>
  <c r="AJ85" i="1"/>
  <c r="AK85" i="1"/>
  <c r="AO85" i="1"/>
  <c r="J85" i="1" s="1"/>
  <c r="AP85" i="1"/>
  <c r="AW85" i="1"/>
  <c r="AV85" i="1" s="1"/>
  <c r="AX85" i="1"/>
  <c r="BD85" i="1"/>
  <c r="BF85" i="1"/>
  <c r="BH85" i="1"/>
  <c r="AB85" i="1" s="1"/>
  <c r="BI85" i="1"/>
  <c r="BJ85" i="1"/>
  <c r="J86" i="1"/>
  <c r="K86" i="1"/>
  <c r="L86" i="1"/>
  <c r="Z86" i="1"/>
  <c r="AB86" i="1"/>
  <c r="AC86" i="1"/>
  <c r="AD86" i="1"/>
  <c r="AE86" i="1"/>
  <c r="AF86" i="1"/>
  <c r="AG86" i="1"/>
  <c r="AH86" i="1"/>
  <c r="AJ86" i="1"/>
  <c r="AK86" i="1"/>
  <c r="AL86" i="1"/>
  <c r="AO86" i="1"/>
  <c r="AP86" i="1"/>
  <c r="AX86" i="1" s="1"/>
  <c r="AW86" i="1"/>
  <c r="BC86" i="1" s="1"/>
  <c r="BD86" i="1"/>
  <c r="BF86" i="1"/>
  <c r="BH86" i="1"/>
  <c r="BI86" i="1"/>
  <c r="BJ86" i="1"/>
  <c r="J87" i="1"/>
  <c r="L87" i="1"/>
  <c r="AL87" i="1" s="1"/>
  <c r="Z87" i="1"/>
  <c r="AB87" i="1"/>
  <c r="AD87" i="1"/>
  <c r="AE87" i="1"/>
  <c r="AF87" i="1"/>
  <c r="AG87" i="1"/>
  <c r="AH87" i="1"/>
  <c r="AJ87" i="1"/>
  <c r="AK87" i="1"/>
  <c r="AO87" i="1"/>
  <c r="AW87" i="1" s="1"/>
  <c r="AP87" i="1"/>
  <c r="BD87" i="1"/>
  <c r="BF87" i="1"/>
  <c r="BH87" i="1"/>
  <c r="BI87" i="1"/>
  <c r="AC87" i="1" s="1"/>
  <c r="BJ87" i="1"/>
  <c r="L88" i="1"/>
  <c r="Z88" i="1"/>
  <c r="AD88" i="1"/>
  <c r="AE88" i="1"/>
  <c r="AF88" i="1"/>
  <c r="AG88" i="1"/>
  <c r="AH88" i="1"/>
  <c r="AJ88" i="1"/>
  <c r="AK88" i="1"/>
  <c r="AL88" i="1"/>
  <c r="AO88" i="1"/>
  <c r="AP88" i="1"/>
  <c r="BD88" i="1"/>
  <c r="BF88" i="1"/>
  <c r="BH88" i="1"/>
  <c r="AB88" i="1" s="1"/>
  <c r="BJ88" i="1"/>
  <c r="L89" i="1"/>
  <c r="Z89" i="1"/>
  <c r="AC89" i="1"/>
  <c r="AD89" i="1"/>
  <c r="AE89" i="1"/>
  <c r="AF89" i="1"/>
  <c r="AG89" i="1"/>
  <c r="AH89" i="1"/>
  <c r="AJ89" i="1"/>
  <c r="AK89" i="1"/>
  <c r="AL89" i="1"/>
  <c r="AO89" i="1"/>
  <c r="AP89" i="1"/>
  <c r="K89" i="1" s="1"/>
  <c r="AX89" i="1"/>
  <c r="BD89" i="1"/>
  <c r="BF89" i="1"/>
  <c r="BI89" i="1"/>
  <c r="BJ89" i="1"/>
  <c r="J90" i="1"/>
  <c r="L90" i="1"/>
  <c r="Z90" i="1"/>
  <c r="AD90" i="1"/>
  <c r="AE90" i="1"/>
  <c r="AF90" i="1"/>
  <c r="AG90" i="1"/>
  <c r="AH90" i="1"/>
  <c r="AJ90" i="1"/>
  <c r="AK90" i="1"/>
  <c r="AL90" i="1"/>
  <c r="AO90" i="1"/>
  <c r="AP90" i="1"/>
  <c r="AX90" i="1" s="1"/>
  <c r="AW90" i="1"/>
  <c r="BC90" i="1" s="1"/>
  <c r="BD90" i="1"/>
  <c r="BF90" i="1"/>
  <c r="BH90" i="1"/>
  <c r="AB90" i="1" s="1"/>
  <c r="BJ90" i="1"/>
  <c r="L91" i="1"/>
  <c r="Z91" i="1"/>
  <c r="AD91" i="1"/>
  <c r="AE91" i="1"/>
  <c r="AF91" i="1"/>
  <c r="AG91" i="1"/>
  <c r="AH91" i="1"/>
  <c r="AJ91" i="1"/>
  <c r="AK91" i="1"/>
  <c r="AL91" i="1"/>
  <c r="AO91" i="1"/>
  <c r="AP91" i="1"/>
  <c r="BD91" i="1"/>
  <c r="BF91" i="1"/>
  <c r="BI91" i="1"/>
  <c r="AC91" i="1" s="1"/>
  <c r="BJ91" i="1"/>
  <c r="L92" i="1"/>
  <c r="Z92" i="1"/>
  <c r="AD92" i="1"/>
  <c r="AE92" i="1"/>
  <c r="AF92" i="1"/>
  <c r="AG92" i="1"/>
  <c r="AH92" i="1"/>
  <c r="AJ92" i="1"/>
  <c r="AK92" i="1"/>
  <c r="AL92" i="1"/>
  <c r="AO92" i="1"/>
  <c r="AP92" i="1"/>
  <c r="BD92" i="1"/>
  <c r="BF92" i="1"/>
  <c r="BH92" i="1"/>
  <c r="AB92" i="1" s="1"/>
  <c r="BI92" i="1"/>
  <c r="AC92" i="1" s="1"/>
  <c r="BJ92" i="1"/>
  <c r="L93" i="1"/>
  <c r="Z93" i="1"/>
  <c r="AC93" i="1"/>
  <c r="AD93" i="1"/>
  <c r="AE93" i="1"/>
  <c r="AF93" i="1"/>
  <c r="AG93" i="1"/>
  <c r="AH93" i="1"/>
  <c r="AJ93" i="1"/>
  <c r="AK93" i="1"/>
  <c r="AL93" i="1"/>
  <c r="AO93" i="1"/>
  <c r="AP93" i="1"/>
  <c r="K93" i="1" s="1"/>
  <c r="AX93" i="1"/>
  <c r="BD93" i="1"/>
  <c r="BF93" i="1"/>
  <c r="BI93" i="1"/>
  <c r="BJ93" i="1"/>
  <c r="K94" i="1"/>
  <c r="L94" i="1"/>
  <c r="Z94" i="1"/>
  <c r="AB94" i="1"/>
  <c r="AC94" i="1"/>
  <c r="AD94" i="1"/>
  <c r="AE94" i="1"/>
  <c r="AF94" i="1"/>
  <c r="AG94" i="1"/>
  <c r="AH94" i="1"/>
  <c r="AJ94" i="1"/>
  <c r="AK94" i="1"/>
  <c r="AL94" i="1"/>
  <c r="AO94" i="1"/>
  <c r="J94" i="1" s="1"/>
  <c r="AP94" i="1"/>
  <c r="AW94" i="1"/>
  <c r="AV94" i="1" s="1"/>
  <c r="AX94" i="1"/>
  <c r="BC94" i="1"/>
  <c r="BD94" i="1"/>
  <c r="BF94" i="1"/>
  <c r="BH94" i="1"/>
  <c r="BI94" i="1"/>
  <c r="BJ94" i="1"/>
  <c r="J95" i="1"/>
  <c r="K95" i="1"/>
  <c r="L95" i="1"/>
  <c r="AL95" i="1" s="1"/>
  <c r="Z95" i="1"/>
  <c r="AB95" i="1"/>
  <c r="AD95" i="1"/>
  <c r="AE95" i="1"/>
  <c r="AF95" i="1"/>
  <c r="AG95" i="1"/>
  <c r="AH95" i="1"/>
  <c r="AJ95" i="1"/>
  <c r="AK95" i="1"/>
  <c r="AO95" i="1"/>
  <c r="AP95" i="1"/>
  <c r="AW95" i="1"/>
  <c r="AX95" i="1"/>
  <c r="BC95" i="1"/>
  <c r="BD95" i="1"/>
  <c r="BF95" i="1"/>
  <c r="BH95" i="1"/>
  <c r="BI95" i="1"/>
  <c r="AC95" i="1" s="1"/>
  <c r="BJ95" i="1"/>
  <c r="J96" i="1"/>
  <c r="K96" i="1"/>
  <c r="L96" i="1"/>
  <c r="AL96" i="1" s="1"/>
  <c r="Z96" i="1"/>
  <c r="AD96" i="1"/>
  <c r="AE96" i="1"/>
  <c r="AF96" i="1"/>
  <c r="AG96" i="1"/>
  <c r="AH96" i="1"/>
  <c r="AJ96" i="1"/>
  <c r="AK96" i="1"/>
  <c r="AO96" i="1"/>
  <c r="AP96" i="1"/>
  <c r="AW96" i="1"/>
  <c r="AX96" i="1"/>
  <c r="BD96" i="1"/>
  <c r="BF96" i="1"/>
  <c r="BH96" i="1"/>
  <c r="AB96" i="1" s="1"/>
  <c r="BI96" i="1"/>
  <c r="AC96" i="1" s="1"/>
  <c r="BJ96" i="1"/>
  <c r="J97" i="1"/>
  <c r="K97" i="1"/>
  <c r="L97" i="1"/>
  <c r="AL97" i="1" s="1"/>
  <c r="Z97" i="1"/>
  <c r="AD97" i="1"/>
  <c r="AE97" i="1"/>
  <c r="AF97" i="1"/>
  <c r="AG97" i="1"/>
  <c r="AH97" i="1"/>
  <c r="AJ97" i="1"/>
  <c r="AK97" i="1"/>
  <c r="AO97" i="1"/>
  <c r="AP97" i="1"/>
  <c r="AW97" i="1"/>
  <c r="AX97" i="1"/>
  <c r="AV97" i="1" s="1"/>
  <c r="BD97" i="1"/>
  <c r="BF97" i="1"/>
  <c r="BH97" i="1"/>
  <c r="AB97" i="1" s="1"/>
  <c r="BI97" i="1"/>
  <c r="AC97" i="1" s="1"/>
  <c r="BJ97" i="1"/>
  <c r="K99" i="1"/>
  <c r="L99" i="1"/>
  <c r="Z99" i="1"/>
  <c r="AD99" i="1"/>
  <c r="AE99" i="1"/>
  <c r="AF99" i="1"/>
  <c r="AG99" i="1"/>
  <c r="AH99" i="1"/>
  <c r="AJ99" i="1"/>
  <c r="AK99" i="1"/>
  <c r="AT98" i="1" s="1"/>
  <c r="AO99" i="1"/>
  <c r="J99" i="1" s="1"/>
  <c r="AP99" i="1"/>
  <c r="AW99" i="1"/>
  <c r="AV99" i="1" s="1"/>
  <c r="AX99" i="1"/>
  <c r="BC99" i="1"/>
  <c r="BD99" i="1"/>
  <c r="BF99" i="1"/>
  <c r="BH99" i="1"/>
  <c r="AB99" i="1" s="1"/>
  <c r="BI99" i="1"/>
  <c r="AC99" i="1" s="1"/>
  <c r="BJ99" i="1"/>
  <c r="J100" i="1"/>
  <c r="K100" i="1"/>
  <c r="L100" i="1"/>
  <c r="AL100" i="1" s="1"/>
  <c r="Z100" i="1"/>
  <c r="AD100" i="1"/>
  <c r="AE100" i="1"/>
  <c r="AF100" i="1"/>
  <c r="AG100" i="1"/>
  <c r="AH100" i="1"/>
  <c r="AJ100" i="1"/>
  <c r="AK100" i="1"/>
  <c r="AO100" i="1"/>
  <c r="AP100" i="1"/>
  <c r="AV100" i="1"/>
  <c r="AW100" i="1"/>
  <c r="AX100" i="1"/>
  <c r="BD100" i="1"/>
  <c r="BF100" i="1"/>
  <c r="BH100" i="1"/>
  <c r="AB100" i="1" s="1"/>
  <c r="BI100" i="1"/>
  <c r="AC100" i="1" s="1"/>
  <c r="BJ100" i="1"/>
  <c r="J101" i="1"/>
  <c r="L101" i="1"/>
  <c r="Z101" i="1"/>
  <c r="AD101" i="1"/>
  <c r="AE101" i="1"/>
  <c r="AF101" i="1"/>
  <c r="AG101" i="1"/>
  <c r="AH101" i="1"/>
  <c r="AJ101" i="1"/>
  <c r="AK101" i="1"/>
  <c r="AL101" i="1"/>
  <c r="AO101" i="1"/>
  <c r="AP101" i="1"/>
  <c r="AX101" i="1" s="1"/>
  <c r="AW101" i="1"/>
  <c r="BC101" i="1" s="1"/>
  <c r="BD101" i="1"/>
  <c r="BF101" i="1"/>
  <c r="BH101" i="1"/>
  <c r="AB101" i="1" s="1"/>
  <c r="BJ101" i="1"/>
  <c r="L102" i="1"/>
  <c r="Z102" i="1"/>
  <c r="AD102" i="1"/>
  <c r="AE102" i="1"/>
  <c r="AF102" i="1"/>
  <c r="AG102" i="1"/>
  <c r="AH102" i="1"/>
  <c r="AJ102" i="1"/>
  <c r="AK102" i="1"/>
  <c r="AL102" i="1"/>
  <c r="AO102" i="1"/>
  <c r="AP102" i="1"/>
  <c r="BD102" i="1"/>
  <c r="BF102" i="1"/>
  <c r="BI102" i="1"/>
  <c r="AC102" i="1" s="1"/>
  <c r="BJ102" i="1"/>
  <c r="L103" i="1"/>
  <c r="Z103" i="1"/>
  <c r="AD103" i="1"/>
  <c r="AE103" i="1"/>
  <c r="AF103" i="1"/>
  <c r="AG103" i="1"/>
  <c r="AH103" i="1"/>
  <c r="AJ103" i="1"/>
  <c r="AK103" i="1"/>
  <c r="AL103" i="1"/>
  <c r="AO103" i="1"/>
  <c r="AP103" i="1"/>
  <c r="BD103" i="1"/>
  <c r="BF103" i="1"/>
  <c r="BH103" i="1"/>
  <c r="AB103" i="1" s="1"/>
  <c r="BI103" i="1"/>
  <c r="AC103" i="1" s="1"/>
  <c r="BJ103" i="1"/>
  <c r="L104" i="1"/>
  <c r="Z104" i="1"/>
  <c r="AC104" i="1"/>
  <c r="AD104" i="1"/>
  <c r="AE104" i="1"/>
  <c r="AF104" i="1"/>
  <c r="AG104" i="1"/>
  <c r="AH104" i="1"/>
  <c r="AJ104" i="1"/>
  <c r="AK104" i="1"/>
  <c r="AL104" i="1"/>
  <c r="AO104" i="1"/>
  <c r="AP104" i="1"/>
  <c r="K104" i="1" s="1"/>
  <c r="AX104" i="1"/>
  <c r="BD104" i="1"/>
  <c r="BF104" i="1"/>
  <c r="BI104" i="1"/>
  <c r="BJ104" i="1"/>
  <c r="K105" i="1"/>
  <c r="L105" i="1"/>
  <c r="Z105" i="1"/>
  <c r="AB105" i="1"/>
  <c r="AC105" i="1"/>
  <c r="AD105" i="1"/>
  <c r="AE105" i="1"/>
  <c r="AF105" i="1"/>
  <c r="AG105" i="1"/>
  <c r="AH105" i="1"/>
  <c r="AJ105" i="1"/>
  <c r="AK105" i="1"/>
  <c r="AL105" i="1"/>
  <c r="AO105" i="1"/>
  <c r="J105" i="1" s="1"/>
  <c r="AP105" i="1"/>
  <c r="AW105" i="1"/>
  <c r="AV105" i="1" s="1"/>
  <c r="AX105" i="1"/>
  <c r="BC105" i="1"/>
  <c r="BD105" i="1"/>
  <c r="BF105" i="1"/>
  <c r="BH105" i="1"/>
  <c r="BI105" i="1"/>
  <c r="BJ105" i="1"/>
  <c r="J106" i="1"/>
  <c r="K106" i="1"/>
  <c r="L106" i="1"/>
  <c r="AL106" i="1" s="1"/>
  <c r="Z106" i="1"/>
  <c r="AB106" i="1"/>
  <c r="AC106" i="1"/>
  <c r="AD106" i="1"/>
  <c r="AE106" i="1"/>
  <c r="AF106" i="1"/>
  <c r="AG106" i="1"/>
  <c r="AH106" i="1"/>
  <c r="AJ106" i="1"/>
  <c r="AK106" i="1"/>
  <c r="AO106" i="1"/>
  <c r="AP106" i="1"/>
  <c r="AW106" i="1"/>
  <c r="AX106" i="1"/>
  <c r="BC106" i="1" s="1"/>
  <c r="BD106" i="1"/>
  <c r="BF106" i="1"/>
  <c r="BH106" i="1"/>
  <c r="BI106" i="1"/>
  <c r="BJ106" i="1"/>
  <c r="J107" i="1"/>
  <c r="K107" i="1"/>
  <c r="L107" i="1"/>
  <c r="AL107" i="1" s="1"/>
  <c r="Z107" i="1"/>
  <c r="AB107" i="1"/>
  <c r="AD107" i="1"/>
  <c r="AE107" i="1"/>
  <c r="AF107" i="1"/>
  <c r="AG107" i="1"/>
  <c r="AH107" i="1"/>
  <c r="AJ107" i="1"/>
  <c r="AK107" i="1"/>
  <c r="AO107" i="1"/>
  <c r="AP107" i="1"/>
  <c r="AW107" i="1"/>
  <c r="AV107" i="1" s="1"/>
  <c r="AX107" i="1"/>
  <c r="BD107" i="1"/>
  <c r="BF107" i="1"/>
  <c r="BH107" i="1"/>
  <c r="BI107" i="1"/>
  <c r="AC107" i="1" s="1"/>
  <c r="BJ107" i="1"/>
  <c r="J108" i="1"/>
  <c r="K108" i="1"/>
  <c r="L108" i="1"/>
  <c r="AL108" i="1" s="1"/>
  <c r="Z108" i="1"/>
  <c r="AD108" i="1"/>
  <c r="AE108" i="1"/>
  <c r="AF108" i="1"/>
  <c r="AG108" i="1"/>
  <c r="AH108" i="1"/>
  <c r="AJ108" i="1"/>
  <c r="AK108" i="1"/>
  <c r="AO108" i="1"/>
  <c r="AP108" i="1"/>
  <c r="AW108" i="1"/>
  <c r="AX108" i="1"/>
  <c r="BD108" i="1"/>
  <c r="BF108" i="1"/>
  <c r="BH108" i="1"/>
  <c r="AB108" i="1" s="1"/>
  <c r="BI108" i="1"/>
  <c r="AC108" i="1" s="1"/>
  <c r="BJ108" i="1"/>
  <c r="J109" i="1"/>
  <c r="K109" i="1"/>
  <c r="L109" i="1"/>
  <c r="Z109" i="1"/>
  <c r="AB109" i="1"/>
  <c r="AD109" i="1"/>
  <c r="AE109" i="1"/>
  <c r="AF109" i="1"/>
  <c r="AG109" i="1"/>
  <c r="AH109" i="1"/>
  <c r="AJ109" i="1"/>
  <c r="AK109" i="1"/>
  <c r="AL109" i="1"/>
  <c r="AO109" i="1"/>
  <c r="AP109" i="1"/>
  <c r="AX109" i="1" s="1"/>
  <c r="AW109" i="1"/>
  <c r="BC109" i="1" s="1"/>
  <c r="BD109" i="1"/>
  <c r="BF109" i="1"/>
  <c r="BH109" i="1"/>
  <c r="BJ109" i="1"/>
  <c r="L110" i="1"/>
  <c r="Z110" i="1"/>
  <c r="AD110" i="1"/>
  <c r="AE110" i="1"/>
  <c r="AF110" i="1"/>
  <c r="AG110" i="1"/>
  <c r="AH110" i="1"/>
  <c r="AJ110" i="1"/>
  <c r="AK110" i="1"/>
  <c r="AL110" i="1"/>
  <c r="AO110" i="1"/>
  <c r="AP110" i="1"/>
  <c r="BD110" i="1"/>
  <c r="BF110" i="1"/>
  <c r="BI110" i="1"/>
  <c r="AC110" i="1" s="1"/>
  <c r="BJ110" i="1"/>
  <c r="L111" i="1"/>
  <c r="Z111" i="1"/>
  <c r="AD111" i="1"/>
  <c r="AE111" i="1"/>
  <c r="AF111" i="1"/>
  <c r="AG111" i="1"/>
  <c r="AH111" i="1"/>
  <c r="AJ111" i="1"/>
  <c r="AK111" i="1"/>
  <c r="AL111" i="1"/>
  <c r="AO111" i="1"/>
  <c r="AP111" i="1"/>
  <c r="BD111" i="1"/>
  <c r="BF111" i="1"/>
  <c r="BH111" i="1"/>
  <c r="AB111" i="1" s="1"/>
  <c r="BI111" i="1"/>
  <c r="AC111" i="1" s="1"/>
  <c r="BJ111" i="1"/>
  <c r="K112" i="1"/>
  <c r="L112" i="1"/>
  <c r="Z112" i="1"/>
  <c r="AC112" i="1"/>
  <c r="AD112" i="1"/>
  <c r="AE112" i="1"/>
  <c r="AF112" i="1"/>
  <c r="AG112" i="1"/>
  <c r="AH112" i="1"/>
  <c r="AJ112" i="1"/>
  <c r="AK112" i="1"/>
  <c r="AL112" i="1"/>
  <c r="AO112" i="1"/>
  <c r="AP112" i="1"/>
  <c r="AX112" i="1" s="1"/>
  <c r="BD112" i="1"/>
  <c r="BF112" i="1"/>
  <c r="BI112" i="1"/>
  <c r="BJ112" i="1"/>
  <c r="J113" i="1"/>
  <c r="L113" i="1"/>
  <c r="Z113" i="1"/>
  <c r="AB113" i="1"/>
  <c r="AC113" i="1"/>
  <c r="AD113" i="1"/>
  <c r="AE113" i="1"/>
  <c r="AF113" i="1"/>
  <c r="AG113" i="1"/>
  <c r="AH113" i="1"/>
  <c r="AJ113" i="1"/>
  <c r="AK113" i="1"/>
  <c r="AL113" i="1"/>
  <c r="AO113" i="1"/>
  <c r="AP113" i="1"/>
  <c r="K113" i="1" s="1"/>
  <c r="AV113" i="1"/>
  <c r="AW113" i="1"/>
  <c r="AX113" i="1"/>
  <c r="BC113" i="1"/>
  <c r="BD113" i="1"/>
  <c r="BF113" i="1"/>
  <c r="BH113" i="1"/>
  <c r="BI113" i="1"/>
  <c r="BJ113" i="1"/>
  <c r="L114" i="1"/>
  <c r="AL114" i="1" s="1"/>
  <c r="Z114" i="1"/>
  <c r="AB114" i="1"/>
  <c r="AD114" i="1"/>
  <c r="AE114" i="1"/>
  <c r="AF114" i="1"/>
  <c r="AG114" i="1"/>
  <c r="AH114" i="1"/>
  <c r="AJ114" i="1"/>
  <c r="AK114" i="1"/>
  <c r="AO114" i="1"/>
  <c r="J114" i="1" s="1"/>
  <c r="AP114" i="1"/>
  <c r="K114" i="1" s="1"/>
  <c r="AX114" i="1"/>
  <c r="BD114" i="1"/>
  <c r="BF114" i="1"/>
  <c r="BH114" i="1"/>
  <c r="BI114" i="1"/>
  <c r="AC114" i="1" s="1"/>
  <c r="BJ114" i="1"/>
  <c r="K115" i="1"/>
  <c r="L115" i="1"/>
  <c r="AL115" i="1" s="1"/>
  <c r="Z115" i="1"/>
  <c r="AD115" i="1"/>
  <c r="AE115" i="1"/>
  <c r="AF115" i="1"/>
  <c r="AG115" i="1"/>
  <c r="AH115" i="1"/>
  <c r="AJ115" i="1"/>
  <c r="AK115" i="1"/>
  <c r="AO115" i="1"/>
  <c r="J115" i="1" s="1"/>
  <c r="AP115" i="1"/>
  <c r="AW115" i="1"/>
  <c r="AV115" i="1" s="1"/>
  <c r="AX115" i="1"/>
  <c r="BC115" i="1"/>
  <c r="BD115" i="1"/>
  <c r="BF115" i="1"/>
  <c r="BH115" i="1"/>
  <c r="AB115" i="1" s="1"/>
  <c r="BI115" i="1"/>
  <c r="AC115" i="1" s="1"/>
  <c r="BJ115" i="1"/>
  <c r="J116" i="1"/>
  <c r="K116" i="1"/>
  <c r="L116" i="1"/>
  <c r="AL116" i="1" s="1"/>
  <c r="Z116" i="1"/>
  <c r="AC116" i="1"/>
  <c r="AD116" i="1"/>
  <c r="AE116" i="1"/>
  <c r="AF116" i="1"/>
  <c r="AG116" i="1"/>
  <c r="AH116" i="1"/>
  <c r="AJ116" i="1"/>
  <c r="AK116" i="1"/>
  <c r="AO116" i="1"/>
  <c r="AP116" i="1"/>
  <c r="AW116" i="1"/>
  <c r="AX116" i="1"/>
  <c r="AV116" i="1" s="1"/>
  <c r="BD116" i="1"/>
  <c r="BF116" i="1"/>
  <c r="BH116" i="1"/>
  <c r="AB116" i="1" s="1"/>
  <c r="BI116" i="1"/>
  <c r="BJ116" i="1"/>
  <c r="J117" i="1"/>
  <c r="L117" i="1"/>
  <c r="Z117" i="1"/>
  <c r="AB117" i="1"/>
  <c r="AD117" i="1"/>
  <c r="AE117" i="1"/>
  <c r="AF117" i="1"/>
  <c r="AG117" i="1"/>
  <c r="AH117" i="1"/>
  <c r="AJ117" i="1"/>
  <c r="AK117" i="1"/>
  <c r="AL117" i="1"/>
  <c r="AO117" i="1"/>
  <c r="AP117" i="1"/>
  <c r="AX117" i="1" s="1"/>
  <c r="AV117" i="1"/>
  <c r="AW117" i="1"/>
  <c r="BD117" i="1"/>
  <c r="BF117" i="1"/>
  <c r="BH117" i="1"/>
  <c r="BI117" i="1"/>
  <c r="AC117" i="1" s="1"/>
  <c r="BJ117" i="1"/>
  <c r="J118" i="1"/>
  <c r="L118" i="1"/>
  <c r="AL118" i="1" s="1"/>
  <c r="Z118" i="1"/>
  <c r="AD118" i="1"/>
  <c r="AE118" i="1"/>
  <c r="AF118" i="1"/>
  <c r="AG118" i="1"/>
  <c r="AH118" i="1"/>
  <c r="AJ118" i="1"/>
  <c r="AK118" i="1"/>
  <c r="AO118" i="1"/>
  <c r="AW118" i="1" s="1"/>
  <c r="AP118" i="1"/>
  <c r="BD118" i="1"/>
  <c r="BF118" i="1"/>
  <c r="BH118" i="1"/>
  <c r="AB118" i="1" s="1"/>
  <c r="BI118" i="1"/>
  <c r="AC118" i="1" s="1"/>
  <c r="BJ118" i="1"/>
  <c r="J120" i="1"/>
  <c r="K120" i="1"/>
  <c r="L120" i="1"/>
  <c r="Z120" i="1"/>
  <c r="AB120" i="1"/>
  <c r="AD120" i="1"/>
  <c r="AE120" i="1"/>
  <c r="AF120" i="1"/>
  <c r="AG120" i="1"/>
  <c r="AH120" i="1"/>
  <c r="AJ120" i="1"/>
  <c r="AK120" i="1"/>
  <c r="AL120" i="1"/>
  <c r="AO120" i="1"/>
  <c r="AP120" i="1"/>
  <c r="AX120" i="1" s="1"/>
  <c r="AV120" i="1" s="1"/>
  <c r="AW120" i="1"/>
  <c r="BD120" i="1"/>
  <c r="BF120" i="1"/>
  <c r="BH120" i="1"/>
  <c r="BI120" i="1"/>
  <c r="AC120" i="1" s="1"/>
  <c r="BJ120" i="1"/>
  <c r="L121" i="1"/>
  <c r="Z121" i="1"/>
  <c r="AD121" i="1"/>
  <c r="AE121" i="1"/>
  <c r="AF121" i="1"/>
  <c r="AG121" i="1"/>
  <c r="AH121" i="1"/>
  <c r="AJ121" i="1"/>
  <c r="AK121" i="1"/>
  <c r="AL121" i="1"/>
  <c r="AO121" i="1"/>
  <c r="AW121" i="1" s="1"/>
  <c r="AP121" i="1"/>
  <c r="BD121" i="1"/>
  <c r="BF121" i="1"/>
  <c r="BJ121" i="1"/>
  <c r="L122" i="1"/>
  <c r="Z122" i="1"/>
  <c r="AC122" i="1"/>
  <c r="AD122" i="1"/>
  <c r="AE122" i="1"/>
  <c r="AF122" i="1"/>
  <c r="AG122" i="1"/>
  <c r="AH122" i="1"/>
  <c r="AJ122" i="1"/>
  <c r="AK122" i="1"/>
  <c r="AL122" i="1"/>
  <c r="AO122" i="1"/>
  <c r="AP122" i="1"/>
  <c r="BD122" i="1"/>
  <c r="BF122" i="1"/>
  <c r="BI122" i="1"/>
  <c r="BJ122" i="1"/>
  <c r="K123" i="1"/>
  <c r="L123" i="1"/>
  <c r="Z123" i="1"/>
  <c r="AB123" i="1"/>
  <c r="AC123" i="1"/>
  <c r="AD123" i="1"/>
  <c r="AE123" i="1"/>
  <c r="AF123" i="1"/>
  <c r="AG123" i="1"/>
  <c r="AH123" i="1"/>
  <c r="AJ123" i="1"/>
  <c r="AK123" i="1"/>
  <c r="AL123" i="1"/>
  <c r="AO123" i="1"/>
  <c r="AP123" i="1"/>
  <c r="AX123" i="1"/>
  <c r="BD123" i="1"/>
  <c r="BF123" i="1"/>
  <c r="BH123" i="1"/>
  <c r="BI123" i="1"/>
  <c r="BJ123" i="1"/>
  <c r="J124" i="1"/>
  <c r="L124" i="1"/>
  <c r="Z124" i="1"/>
  <c r="AB124" i="1"/>
  <c r="AC124" i="1"/>
  <c r="AD124" i="1"/>
  <c r="AE124" i="1"/>
  <c r="AF124" i="1"/>
  <c r="AG124" i="1"/>
  <c r="AH124" i="1"/>
  <c r="AJ124" i="1"/>
  <c r="AK124" i="1"/>
  <c r="AL124" i="1"/>
  <c r="AO124" i="1"/>
  <c r="AP124" i="1"/>
  <c r="K124" i="1" s="1"/>
  <c r="AV124" i="1"/>
  <c r="AW124" i="1"/>
  <c r="AX124" i="1"/>
  <c r="BC124" i="1"/>
  <c r="BD124" i="1"/>
  <c r="BF124" i="1"/>
  <c r="BH124" i="1"/>
  <c r="BI124" i="1"/>
  <c r="BJ124" i="1"/>
  <c r="L125" i="1"/>
  <c r="AL125" i="1" s="1"/>
  <c r="Z125" i="1"/>
  <c r="AB125" i="1"/>
  <c r="AD125" i="1"/>
  <c r="AE125" i="1"/>
  <c r="AF125" i="1"/>
  <c r="AG125" i="1"/>
  <c r="AH125" i="1"/>
  <c r="AJ125" i="1"/>
  <c r="AK125" i="1"/>
  <c r="AO125" i="1"/>
  <c r="J125" i="1" s="1"/>
  <c r="AP125" i="1"/>
  <c r="K125" i="1" s="1"/>
  <c r="AW125" i="1"/>
  <c r="AX125" i="1"/>
  <c r="AV125" i="1" s="1"/>
  <c r="BC125" i="1"/>
  <c r="BD125" i="1"/>
  <c r="BF125" i="1"/>
  <c r="BH125" i="1"/>
  <c r="BI125" i="1"/>
  <c r="AC125" i="1" s="1"/>
  <c r="BJ125" i="1"/>
  <c r="K126" i="1"/>
  <c r="L126" i="1"/>
  <c r="AL126" i="1" s="1"/>
  <c r="Z126" i="1"/>
  <c r="AD126" i="1"/>
  <c r="AE126" i="1"/>
  <c r="AF126" i="1"/>
  <c r="AG126" i="1"/>
  <c r="AH126" i="1"/>
  <c r="AJ126" i="1"/>
  <c r="AK126" i="1"/>
  <c r="AO126" i="1"/>
  <c r="J126" i="1" s="1"/>
  <c r="AP126" i="1"/>
  <c r="AW126" i="1"/>
  <c r="AX126" i="1"/>
  <c r="BC126" i="1" s="1"/>
  <c r="BD126" i="1"/>
  <c r="BF126" i="1"/>
  <c r="BH126" i="1"/>
  <c r="AB126" i="1" s="1"/>
  <c r="BI126" i="1"/>
  <c r="AC126" i="1" s="1"/>
  <c r="BJ126" i="1"/>
  <c r="J127" i="1"/>
  <c r="K127" i="1"/>
  <c r="L127" i="1"/>
  <c r="AL127" i="1" s="1"/>
  <c r="Z127" i="1"/>
  <c r="AC127" i="1"/>
  <c r="AD127" i="1"/>
  <c r="AE127" i="1"/>
  <c r="AF127" i="1"/>
  <c r="AG127" i="1"/>
  <c r="AH127" i="1"/>
  <c r="AJ127" i="1"/>
  <c r="AK127" i="1"/>
  <c r="AO127" i="1"/>
  <c r="AP127" i="1"/>
  <c r="AV127" i="1"/>
  <c r="AW127" i="1"/>
  <c r="BC127" i="1" s="1"/>
  <c r="AX127" i="1"/>
  <c r="BD127" i="1"/>
  <c r="BF127" i="1"/>
  <c r="BH127" i="1"/>
  <c r="AB127" i="1" s="1"/>
  <c r="BI127" i="1"/>
  <c r="BJ127" i="1"/>
  <c r="J128" i="1"/>
  <c r="L128" i="1"/>
  <c r="Z128" i="1"/>
  <c r="AB128" i="1"/>
  <c r="AD128" i="1"/>
  <c r="AE128" i="1"/>
  <c r="AF128" i="1"/>
  <c r="AG128" i="1"/>
  <c r="AH128" i="1"/>
  <c r="AJ128" i="1"/>
  <c r="AK128" i="1"/>
  <c r="AL128" i="1"/>
  <c r="AO128" i="1"/>
  <c r="AP128" i="1"/>
  <c r="AW128" i="1"/>
  <c r="BD128" i="1"/>
  <c r="BF128" i="1"/>
  <c r="BH128" i="1"/>
  <c r="BJ128" i="1"/>
  <c r="J129" i="1"/>
  <c r="L129" i="1"/>
  <c r="Z129" i="1"/>
  <c r="AD129" i="1"/>
  <c r="AE129" i="1"/>
  <c r="AF129" i="1"/>
  <c r="AG129" i="1"/>
  <c r="AH129" i="1"/>
  <c r="AJ129" i="1"/>
  <c r="AK129" i="1"/>
  <c r="AL129" i="1"/>
  <c r="AO129" i="1"/>
  <c r="AW129" i="1" s="1"/>
  <c r="AP129" i="1"/>
  <c r="BD129" i="1"/>
  <c r="BF129" i="1"/>
  <c r="BH129" i="1"/>
  <c r="AB129" i="1" s="1"/>
  <c r="BI129" i="1"/>
  <c r="AC129" i="1" s="1"/>
  <c r="BJ129" i="1"/>
  <c r="L130" i="1"/>
  <c r="Z130" i="1"/>
  <c r="AD130" i="1"/>
  <c r="AE130" i="1"/>
  <c r="AF130" i="1"/>
  <c r="AG130" i="1"/>
  <c r="AH130" i="1"/>
  <c r="AJ130" i="1"/>
  <c r="AK130" i="1"/>
  <c r="AL130" i="1"/>
  <c r="AO130" i="1"/>
  <c r="AP130" i="1"/>
  <c r="AX130" i="1"/>
  <c r="BD130" i="1"/>
  <c r="BF130" i="1"/>
  <c r="BJ130" i="1"/>
  <c r="K131" i="1"/>
  <c r="L131" i="1"/>
  <c r="Z131" i="1"/>
  <c r="AC131" i="1"/>
  <c r="AD131" i="1"/>
  <c r="AE131" i="1"/>
  <c r="AF131" i="1"/>
  <c r="AG131" i="1"/>
  <c r="AH131" i="1"/>
  <c r="AJ131" i="1"/>
  <c r="AK131" i="1"/>
  <c r="AL131" i="1"/>
  <c r="AO131" i="1"/>
  <c r="J131" i="1" s="1"/>
  <c r="AP131" i="1"/>
  <c r="AW131" i="1"/>
  <c r="AX131" i="1"/>
  <c r="BD131" i="1"/>
  <c r="BF131" i="1"/>
  <c r="BH131" i="1"/>
  <c r="AB131" i="1" s="1"/>
  <c r="BI131" i="1"/>
  <c r="BJ131" i="1"/>
  <c r="J132" i="1"/>
  <c r="L132" i="1"/>
  <c r="Z132" i="1"/>
  <c r="AB132" i="1"/>
  <c r="AC132" i="1"/>
  <c r="AD132" i="1"/>
  <c r="AE132" i="1"/>
  <c r="AF132" i="1"/>
  <c r="AG132" i="1"/>
  <c r="AH132" i="1"/>
  <c r="AJ132" i="1"/>
  <c r="AK132" i="1"/>
  <c r="AL132" i="1"/>
  <c r="AO132" i="1"/>
  <c r="AP132" i="1"/>
  <c r="K132" i="1" s="1"/>
  <c r="AW132" i="1"/>
  <c r="BD132" i="1"/>
  <c r="BF132" i="1"/>
  <c r="BH132" i="1"/>
  <c r="BI132" i="1"/>
  <c r="BJ132" i="1"/>
  <c r="L133" i="1"/>
  <c r="AL133" i="1" s="1"/>
  <c r="Z133" i="1"/>
  <c r="AB133" i="1"/>
  <c r="AD133" i="1"/>
  <c r="AE133" i="1"/>
  <c r="AF133" i="1"/>
  <c r="AG133" i="1"/>
  <c r="AH133" i="1"/>
  <c r="AJ133" i="1"/>
  <c r="AK133" i="1"/>
  <c r="AO133" i="1"/>
  <c r="J133" i="1" s="1"/>
  <c r="AP133" i="1"/>
  <c r="K133" i="1" s="1"/>
  <c r="AX133" i="1"/>
  <c r="BD133" i="1"/>
  <c r="BF133" i="1"/>
  <c r="BH133" i="1"/>
  <c r="BJ133" i="1"/>
  <c r="K134" i="1"/>
  <c r="L134" i="1"/>
  <c r="AL134" i="1" s="1"/>
  <c r="Z134" i="1"/>
  <c r="AD134" i="1"/>
  <c r="AE134" i="1"/>
  <c r="AF134" i="1"/>
  <c r="AG134" i="1"/>
  <c r="AH134" i="1"/>
  <c r="AJ134" i="1"/>
  <c r="AK134" i="1"/>
  <c r="AO134" i="1"/>
  <c r="BH134" i="1" s="1"/>
  <c r="AB134" i="1" s="1"/>
  <c r="AP134" i="1"/>
  <c r="AX134" i="1"/>
  <c r="BD134" i="1"/>
  <c r="BF134" i="1"/>
  <c r="BI134" i="1"/>
  <c r="AC134" i="1" s="1"/>
  <c r="BJ134" i="1"/>
  <c r="J135" i="1"/>
  <c r="K135" i="1"/>
  <c r="L135" i="1"/>
  <c r="Z135" i="1"/>
  <c r="AB135" i="1"/>
  <c r="AC135" i="1"/>
  <c r="AD135" i="1"/>
  <c r="AE135" i="1"/>
  <c r="AF135" i="1"/>
  <c r="AG135" i="1"/>
  <c r="AH135" i="1"/>
  <c r="AJ135" i="1"/>
  <c r="AK135" i="1"/>
  <c r="AL135" i="1"/>
  <c r="AO135" i="1"/>
  <c r="AP135" i="1"/>
  <c r="AV135" i="1"/>
  <c r="AW135" i="1"/>
  <c r="BC135" i="1" s="1"/>
  <c r="AX135" i="1"/>
  <c r="BD135" i="1"/>
  <c r="BF135" i="1"/>
  <c r="BH135" i="1"/>
  <c r="BI135" i="1"/>
  <c r="BJ135" i="1"/>
  <c r="L136" i="1"/>
  <c r="Z136" i="1"/>
  <c r="AD136" i="1"/>
  <c r="AE136" i="1"/>
  <c r="AF136" i="1"/>
  <c r="AG136" i="1"/>
  <c r="AH136" i="1"/>
  <c r="AJ136" i="1"/>
  <c r="AK136" i="1"/>
  <c r="AL136" i="1"/>
  <c r="AO136" i="1"/>
  <c r="AP136" i="1"/>
  <c r="BD136" i="1"/>
  <c r="BF136" i="1"/>
  <c r="BJ136" i="1"/>
  <c r="J137" i="1"/>
  <c r="L137" i="1"/>
  <c r="Z137" i="1"/>
  <c r="AD137" i="1"/>
  <c r="AE137" i="1"/>
  <c r="AF137" i="1"/>
  <c r="AG137" i="1"/>
  <c r="AH137" i="1"/>
  <c r="AJ137" i="1"/>
  <c r="AK137" i="1"/>
  <c r="AL137" i="1"/>
  <c r="AO137" i="1"/>
  <c r="AW137" i="1" s="1"/>
  <c r="AP137" i="1"/>
  <c r="BD137" i="1"/>
  <c r="BF137" i="1"/>
  <c r="BH137" i="1"/>
  <c r="AB137" i="1" s="1"/>
  <c r="BJ137" i="1"/>
  <c r="L138" i="1"/>
  <c r="Z138" i="1"/>
  <c r="AB138" i="1"/>
  <c r="AC138" i="1"/>
  <c r="AD138" i="1"/>
  <c r="AE138" i="1"/>
  <c r="AF138" i="1"/>
  <c r="AG138" i="1"/>
  <c r="AH138" i="1"/>
  <c r="AJ138" i="1"/>
  <c r="AK138" i="1"/>
  <c r="AL138" i="1"/>
  <c r="AO138" i="1"/>
  <c r="AP138" i="1"/>
  <c r="K138" i="1" s="1"/>
  <c r="BD138" i="1"/>
  <c r="BF138" i="1"/>
  <c r="BH138" i="1"/>
  <c r="BI138" i="1"/>
  <c r="BJ138" i="1"/>
  <c r="J140" i="1"/>
  <c r="L140" i="1"/>
  <c r="Z140" i="1"/>
  <c r="AC140" i="1"/>
  <c r="AD140" i="1"/>
  <c r="AE140" i="1"/>
  <c r="AF140" i="1"/>
  <c r="AG140" i="1"/>
  <c r="AH140" i="1"/>
  <c r="AJ140" i="1"/>
  <c r="AK140" i="1"/>
  <c r="AL140" i="1"/>
  <c r="AU139" i="1" s="1"/>
  <c r="AO140" i="1"/>
  <c r="AW140" i="1" s="1"/>
  <c r="AP140" i="1"/>
  <c r="BD140" i="1"/>
  <c r="BF140" i="1"/>
  <c r="BH140" i="1"/>
  <c r="AB140" i="1" s="1"/>
  <c r="BI140" i="1"/>
  <c r="BJ140" i="1"/>
  <c r="L141" i="1"/>
  <c r="Z141" i="1"/>
  <c r="AD141" i="1"/>
  <c r="AE141" i="1"/>
  <c r="AF141" i="1"/>
  <c r="AG141" i="1"/>
  <c r="AH141" i="1"/>
  <c r="AJ141" i="1"/>
  <c r="AK141" i="1"/>
  <c r="AL141" i="1"/>
  <c r="AO141" i="1"/>
  <c r="AP141" i="1"/>
  <c r="AX141" i="1"/>
  <c r="BD141" i="1"/>
  <c r="BF141" i="1"/>
  <c r="BJ141" i="1"/>
  <c r="K142" i="1"/>
  <c r="L142" i="1"/>
  <c r="Z142" i="1"/>
  <c r="AC142" i="1"/>
  <c r="AD142" i="1"/>
  <c r="AE142" i="1"/>
  <c r="AF142" i="1"/>
  <c r="AG142" i="1"/>
  <c r="AH142" i="1"/>
  <c r="AJ142" i="1"/>
  <c r="AK142" i="1"/>
  <c r="AL142" i="1"/>
  <c r="AO142" i="1"/>
  <c r="J142" i="1" s="1"/>
  <c r="AP142" i="1"/>
  <c r="AW142" i="1"/>
  <c r="AV142" i="1" s="1"/>
  <c r="AX142" i="1"/>
  <c r="BC142" i="1"/>
  <c r="BD142" i="1"/>
  <c r="BF142" i="1"/>
  <c r="BH142" i="1"/>
  <c r="AB142" i="1" s="1"/>
  <c r="BI142" i="1"/>
  <c r="BJ142" i="1"/>
  <c r="J143" i="1"/>
  <c r="K143" i="1"/>
  <c r="L143" i="1"/>
  <c r="AL143" i="1" s="1"/>
  <c r="Z143" i="1"/>
  <c r="AB143" i="1"/>
  <c r="AC143" i="1"/>
  <c r="AD143" i="1"/>
  <c r="AE143" i="1"/>
  <c r="AF143" i="1"/>
  <c r="AG143" i="1"/>
  <c r="AH143" i="1"/>
  <c r="AJ143" i="1"/>
  <c r="AK143" i="1"/>
  <c r="AO143" i="1"/>
  <c r="AP143" i="1"/>
  <c r="AW143" i="1"/>
  <c r="AX143" i="1"/>
  <c r="AV143" i="1" s="1"/>
  <c r="BC143" i="1"/>
  <c r="BD143" i="1"/>
  <c r="BF143" i="1"/>
  <c r="BH143" i="1"/>
  <c r="BI143" i="1"/>
  <c r="BJ143" i="1"/>
  <c r="L144" i="1"/>
  <c r="AL144" i="1" s="1"/>
  <c r="Z144" i="1"/>
  <c r="AB144" i="1"/>
  <c r="AD144" i="1"/>
  <c r="AE144" i="1"/>
  <c r="AF144" i="1"/>
  <c r="AG144" i="1"/>
  <c r="AH144" i="1"/>
  <c r="AJ144" i="1"/>
  <c r="AK144" i="1"/>
  <c r="AO144" i="1"/>
  <c r="J144" i="1" s="1"/>
  <c r="AP144" i="1"/>
  <c r="BI144" i="1" s="1"/>
  <c r="AC144" i="1" s="1"/>
  <c r="AW144" i="1"/>
  <c r="BD144" i="1"/>
  <c r="BF144" i="1"/>
  <c r="BH144" i="1"/>
  <c r="BJ144" i="1"/>
  <c r="K145" i="1"/>
  <c r="L145" i="1"/>
  <c r="AL145" i="1" s="1"/>
  <c r="Z145" i="1"/>
  <c r="AD145" i="1"/>
  <c r="AE145" i="1"/>
  <c r="AF145" i="1"/>
  <c r="AG145" i="1"/>
  <c r="AH145" i="1"/>
  <c r="AJ145" i="1"/>
  <c r="AK145" i="1"/>
  <c r="AO145" i="1"/>
  <c r="AW145" i="1" s="1"/>
  <c r="BC145" i="1" s="1"/>
  <c r="AP145" i="1"/>
  <c r="AV145" i="1"/>
  <c r="AX145" i="1"/>
  <c r="BD145" i="1"/>
  <c r="BF145" i="1"/>
  <c r="BH145" i="1"/>
  <c r="AB145" i="1" s="1"/>
  <c r="BI145" i="1"/>
  <c r="AC145" i="1" s="1"/>
  <c r="BJ145" i="1"/>
  <c r="J146" i="1"/>
  <c r="L146" i="1"/>
  <c r="Z146" i="1"/>
  <c r="AD146" i="1"/>
  <c r="AE146" i="1"/>
  <c r="AF146" i="1"/>
  <c r="AG146" i="1"/>
  <c r="AH146" i="1"/>
  <c r="AJ146" i="1"/>
  <c r="AK146" i="1"/>
  <c r="AL146" i="1"/>
  <c r="AO146" i="1"/>
  <c r="AP146" i="1"/>
  <c r="AW146" i="1"/>
  <c r="BD146" i="1"/>
  <c r="BF146" i="1"/>
  <c r="BH146" i="1"/>
  <c r="AB146" i="1" s="1"/>
  <c r="BJ146" i="1"/>
  <c r="K148" i="1"/>
  <c r="L148" i="1"/>
  <c r="Z148" i="1"/>
  <c r="AD148" i="1"/>
  <c r="AE148" i="1"/>
  <c r="AF148" i="1"/>
  <c r="AG148" i="1"/>
  <c r="AH148" i="1"/>
  <c r="AJ148" i="1"/>
  <c r="AK148" i="1"/>
  <c r="AO148" i="1"/>
  <c r="AW148" i="1" s="1"/>
  <c r="BC148" i="1" s="1"/>
  <c r="AP148" i="1"/>
  <c r="AV148" i="1"/>
  <c r="AX148" i="1"/>
  <c r="BD148" i="1"/>
  <c r="BF148" i="1"/>
  <c r="BH148" i="1"/>
  <c r="AB148" i="1" s="1"/>
  <c r="BI148" i="1"/>
  <c r="AC148" i="1" s="1"/>
  <c r="BJ148" i="1"/>
  <c r="J149" i="1"/>
  <c r="L149" i="1"/>
  <c r="Z149" i="1"/>
  <c r="AD149" i="1"/>
  <c r="AE149" i="1"/>
  <c r="AF149" i="1"/>
  <c r="AG149" i="1"/>
  <c r="AH149" i="1"/>
  <c r="AJ149" i="1"/>
  <c r="AK149" i="1"/>
  <c r="AL149" i="1"/>
  <c r="AO149" i="1"/>
  <c r="AP149" i="1"/>
  <c r="AW149" i="1"/>
  <c r="BD149" i="1"/>
  <c r="BF149" i="1"/>
  <c r="BH149" i="1"/>
  <c r="AB149" i="1" s="1"/>
  <c r="BJ149" i="1"/>
  <c r="J150" i="1"/>
  <c r="L150" i="1"/>
  <c r="Z150" i="1"/>
  <c r="AD150" i="1"/>
  <c r="AE150" i="1"/>
  <c r="AF150" i="1"/>
  <c r="AG150" i="1"/>
  <c r="AH150" i="1"/>
  <c r="AJ150" i="1"/>
  <c r="AK150" i="1"/>
  <c r="AL150" i="1"/>
  <c r="AO150" i="1"/>
  <c r="BH150" i="1" s="1"/>
  <c r="AB150" i="1" s="1"/>
  <c r="AP150" i="1"/>
  <c r="AX150" i="1" s="1"/>
  <c r="AW150" i="1"/>
  <c r="BC150" i="1" s="1"/>
  <c r="BD150" i="1"/>
  <c r="BF150" i="1"/>
  <c r="BJ150" i="1"/>
  <c r="L151" i="1"/>
  <c r="Z151" i="1"/>
  <c r="AD151" i="1"/>
  <c r="AE151" i="1"/>
  <c r="AF151" i="1"/>
  <c r="AG151" i="1"/>
  <c r="AH151" i="1"/>
  <c r="AJ151" i="1"/>
  <c r="AK151" i="1"/>
  <c r="AL151" i="1"/>
  <c r="AO151" i="1"/>
  <c r="AW151" i="1" s="1"/>
  <c r="AP151" i="1"/>
  <c r="BD151" i="1"/>
  <c r="BF151" i="1"/>
  <c r="BH151" i="1"/>
  <c r="AB151" i="1" s="1"/>
  <c r="BI151" i="1"/>
  <c r="AC151" i="1" s="1"/>
  <c r="BJ151" i="1"/>
  <c r="L152" i="1"/>
  <c r="Z152" i="1"/>
  <c r="AD152" i="1"/>
  <c r="AE152" i="1"/>
  <c r="AF152" i="1"/>
  <c r="AG152" i="1"/>
  <c r="AH152" i="1"/>
  <c r="AJ152" i="1"/>
  <c r="AK152" i="1"/>
  <c r="AL152" i="1"/>
  <c r="AO152" i="1"/>
  <c r="AP152" i="1"/>
  <c r="BD152" i="1"/>
  <c r="BF152" i="1"/>
  <c r="BJ152" i="1"/>
  <c r="L153" i="1"/>
  <c r="Z153" i="1"/>
  <c r="AD153" i="1"/>
  <c r="AE153" i="1"/>
  <c r="AF153" i="1"/>
  <c r="AG153" i="1"/>
  <c r="AH153" i="1"/>
  <c r="AJ153" i="1"/>
  <c r="AK153" i="1"/>
  <c r="AL153" i="1"/>
  <c r="AO153" i="1"/>
  <c r="J153" i="1" s="1"/>
  <c r="AP153" i="1"/>
  <c r="BI153" i="1" s="1"/>
  <c r="AC153" i="1" s="1"/>
  <c r="BD153" i="1"/>
  <c r="BF153" i="1"/>
  <c r="BH153" i="1"/>
  <c r="AB153" i="1" s="1"/>
  <c r="BJ153" i="1"/>
  <c r="L154" i="1"/>
  <c r="Z154" i="1"/>
  <c r="AB154" i="1"/>
  <c r="AD154" i="1"/>
  <c r="AE154" i="1"/>
  <c r="AF154" i="1"/>
  <c r="AG154" i="1"/>
  <c r="AH154" i="1"/>
  <c r="AJ154" i="1"/>
  <c r="AK154" i="1"/>
  <c r="AL154" i="1"/>
  <c r="AO154" i="1"/>
  <c r="AP154" i="1"/>
  <c r="BD154" i="1"/>
  <c r="BF154" i="1"/>
  <c r="BH154" i="1"/>
  <c r="BI154" i="1"/>
  <c r="AC154" i="1" s="1"/>
  <c r="BJ154" i="1"/>
  <c r="L155" i="1"/>
  <c r="Z155" i="1"/>
  <c r="AC155" i="1"/>
  <c r="AD155" i="1"/>
  <c r="AE155" i="1"/>
  <c r="AF155" i="1"/>
  <c r="AG155" i="1"/>
  <c r="AH155" i="1"/>
  <c r="AJ155" i="1"/>
  <c r="AK155" i="1"/>
  <c r="AL155" i="1"/>
  <c r="AO155" i="1"/>
  <c r="AP155" i="1"/>
  <c r="K155" i="1" s="1"/>
  <c r="BD155" i="1"/>
  <c r="BF155" i="1"/>
  <c r="BI155" i="1"/>
  <c r="BJ155" i="1"/>
  <c r="L156" i="1"/>
  <c r="Z156" i="1"/>
  <c r="AB156" i="1"/>
  <c r="AC156" i="1"/>
  <c r="AD156" i="1"/>
  <c r="AE156" i="1"/>
  <c r="AF156" i="1"/>
  <c r="AG156" i="1"/>
  <c r="AH156" i="1"/>
  <c r="AJ156" i="1"/>
  <c r="AK156" i="1"/>
  <c r="AL156" i="1"/>
  <c r="AO156" i="1"/>
  <c r="J156" i="1" s="1"/>
  <c r="AP156" i="1"/>
  <c r="BI156" i="1" s="1"/>
  <c r="AX156" i="1"/>
  <c r="BD156" i="1"/>
  <c r="BF156" i="1"/>
  <c r="BH156" i="1"/>
  <c r="BJ156" i="1"/>
  <c r="K157" i="1"/>
  <c r="L157" i="1"/>
  <c r="AL157" i="1" s="1"/>
  <c r="Z157" i="1"/>
  <c r="AB157" i="1"/>
  <c r="AD157" i="1"/>
  <c r="AE157" i="1"/>
  <c r="AF157" i="1"/>
  <c r="AG157" i="1"/>
  <c r="AH157" i="1"/>
  <c r="AJ157" i="1"/>
  <c r="AK157" i="1"/>
  <c r="AO157" i="1"/>
  <c r="J157" i="1" s="1"/>
  <c r="AP157" i="1"/>
  <c r="AW157" i="1"/>
  <c r="AV157" i="1" s="1"/>
  <c r="AX157" i="1"/>
  <c r="BD157" i="1"/>
  <c r="BF157" i="1"/>
  <c r="BH157" i="1"/>
  <c r="BI157" i="1"/>
  <c r="AC157" i="1" s="1"/>
  <c r="BJ157" i="1"/>
  <c r="J158" i="1"/>
  <c r="K158" i="1"/>
  <c r="L158" i="1"/>
  <c r="AL158" i="1" s="1"/>
  <c r="Z158" i="1"/>
  <c r="AC158" i="1"/>
  <c r="AD158" i="1"/>
  <c r="AE158" i="1"/>
  <c r="AF158" i="1"/>
  <c r="AG158" i="1"/>
  <c r="AH158" i="1"/>
  <c r="AJ158" i="1"/>
  <c r="AK158" i="1"/>
  <c r="AO158" i="1"/>
  <c r="AP158" i="1"/>
  <c r="AW158" i="1"/>
  <c r="AX158" i="1"/>
  <c r="AV158" i="1" s="1"/>
  <c r="BD158" i="1"/>
  <c r="BF158" i="1"/>
  <c r="BH158" i="1"/>
  <c r="AB158" i="1" s="1"/>
  <c r="BI158" i="1"/>
  <c r="BJ158" i="1"/>
  <c r="J159" i="1"/>
  <c r="L159" i="1"/>
  <c r="AL159" i="1" s="1"/>
  <c r="Z159" i="1"/>
  <c r="AB159" i="1"/>
  <c r="AD159" i="1"/>
  <c r="AE159" i="1"/>
  <c r="AF159" i="1"/>
  <c r="AG159" i="1"/>
  <c r="AH159" i="1"/>
  <c r="AJ159" i="1"/>
  <c r="AK159" i="1"/>
  <c r="AO159" i="1"/>
  <c r="AP159" i="1"/>
  <c r="AX159" i="1" s="1"/>
  <c r="AW159" i="1"/>
  <c r="BD159" i="1"/>
  <c r="BF159" i="1"/>
  <c r="BH159" i="1"/>
  <c r="BJ159" i="1"/>
  <c r="J160" i="1"/>
  <c r="K160" i="1"/>
  <c r="L160" i="1"/>
  <c r="AL160" i="1" s="1"/>
  <c r="Z160" i="1"/>
  <c r="AD160" i="1"/>
  <c r="AE160" i="1"/>
  <c r="AF160" i="1"/>
  <c r="AG160" i="1"/>
  <c r="AH160" i="1"/>
  <c r="AJ160" i="1"/>
  <c r="AK160" i="1"/>
  <c r="AO160" i="1"/>
  <c r="AP160" i="1"/>
  <c r="AX160" i="1" s="1"/>
  <c r="AV160" i="1" s="1"/>
  <c r="AW160" i="1"/>
  <c r="BD160" i="1"/>
  <c r="BF160" i="1"/>
  <c r="BH160" i="1"/>
  <c r="AB160" i="1" s="1"/>
  <c r="BI160" i="1"/>
  <c r="AC160" i="1" s="1"/>
  <c r="BJ160" i="1"/>
  <c r="J162" i="1"/>
  <c r="K162" i="1"/>
  <c r="L162" i="1"/>
  <c r="Z162" i="1"/>
  <c r="AB162" i="1"/>
  <c r="AD162" i="1"/>
  <c r="AE162" i="1"/>
  <c r="AF162" i="1"/>
  <c r="AG162" i="1"/>
  <c r="AH162" i="1"/>
  <c r="AJ162" i="1"/>
  <c r="AK162" i="1"/>
  <c r="AO162" i="1"/>
  <c r="AP162" i="1"/>
  <c r="AW162" i="1"/>
  <c r="AX162" i="1"/>
  <c r="BD162" i="1"/>
  <c r="BF162" i="1"/>
  <c r="BH162" i="1"/>
  <c r="BI162" i="1"/>
  <c r="AC162" i="1" s="1"/>
  <c r="BJ162" i="1"/>
  <c r="K163" i="1"/>
  <c r="L163" i="1"/>
  <c r="AL163" i="1" s="1"/>
  <c r="Z163" i="1"/>
  <c r="AD163" i="1"/>
  <c r="AE163" i="1"/>
  <c r="AF163" i="1"/>
  <c r="AG163" i="1"/>
  <c r="AH163" i="1"/>
  <c r="AJ163" i="1"/>
  <c r="AK163" i="1"/>
  <c r="AO163" i="1"/>
  <c r="J163" i="1" s="1"/>
  <c r="AP163" i="1"/>
  <c r="AX163" i="1" s="1"/>
  <c r="AV163" i="1"/>
  <c r="AW163" i="1"/>
  <c r="BD163" i="1"/>
  <c r="BF163" i="1"/>
  <c r="BH163" i="1"/>
  <c r="AB163" i="1" s="1"/>
  <c r="BI163" i="1"/>
  <c r="AC163" i="1" s="1"/>
  <c r="BJ163" i="1"/>
  <c r="J164" i="1"/>
  <c r="L164" i="1"/>
  <c r="Z164" i="1"/>
  <c r="AD164" i="1"/>
  <c r="AE164" i="1"/>
  <c r="AF164" i="1"/>
  <c r="AG164" i="1"/>
  <c r="AH164" i="1"/>
  <c r="AJ164" i="1"/>
  <c r="AK164" i="1"/>
  <c r="AL164" i="1"/>
  <c r="AO164" i="1"/>
  <c r="AW164" i="1" s="1"/>
  <c r="AP164" i="1"/>
  <c r="BD164" i="1"/>
  <c r="BF164" i="1"/>
  <c r="BH164" i="1"/>
  <c r="AB164" i="1" s="1"/>
  <c r="BJ164" i="1"/>
  <c r="L165" i="1"/>
  <c r="Z165" i="1"/>
  <c r="AD165" i="1"/>
  <c r="AE165" i="1"/>
  <c r="AF165" i="1"/>
  <c r="AG165" i="1"/>
  <c r="AH165" i="1"/>
  <c r="AJ165" i="1"/>
  <c r="AK165" i="1"/>
  <c r="AL165" i="1"/>
  <c r="AO165" i="1"/>
  <c r="AP165" i="1"/>
  <c r="BD165" i="1"/>
  <c r="BF165" i="1"/>
  <c r="BJ165" i="1"/>
  <c r="K166" i="1"/>
  <c r="L166" i="1"/>
  <c r="Z166" i="1"/>
  <c r="AC166" i="1"/>
  <c r="AD166" i="1"/>
  <c r="AE166" i="1"/>
  <c r="AF166" i="1"/>
  <c r="AG166" i="1"/>
  <c r="AH166" i="1"/>
  <c r="AJ166" i="1"/>
  <c r="AK166" i="1"/>
  <c r="AL166" i="1"/>
  <c r="AO166" i="1"/>
  <c r="BH166" i="1" s="1"/>
  <c r="AB166" i="1" s="1"/>
  <c r="AP166" i="1"/>
  <c r="AX166" i="1" s="1"/>
  <c r="BD166" i="1"/>
  <c r="BF166" i="1"/>
  <c r="BI166" i="1"/>
  <c r="BJ166" i="1"/>
  <c r="J167" i="1"/>
  <c r="L167" i="1"/>
  <c r="Z167" i="1"/>
  <c r="AB167" i="1"/>
  <c r="AC167" i="1"/>
  <c r="AD167" i="1"/>
  <c r="AE167" i="1"/>
  <c r="AF167" i="1"/>
  <c r="AG167" i="1"/>
  <c r="AH167" i="1"/>
  <c r="AJ167" i="1"/>
  <c r="AK167" i="1"/>
  <c r="AL167" i="1"/>
  <c r="AO167" i="1"/>
  <c r="AW167" i="1" s="1"/>
  <c r="AP167" i="1"/>
  <c r="K167" i="1" s="1"/>
  <c r="AX167" i="1"/>
  <c r="BD167" i="1"/>
  <c r="BF167" i="1"/>
  <c r="BH167" i="1"/>
  <c r="BI167" i="1"/>
  <c r="BJ167" i="1"/>
  <c r="K168" i="1"/>
  <c r="L168" i="1"/>
  <c r="AL168" i="1" s="1"/>
  <c r="Z168" i="1"/>
  <c r="AB168" i="1"/>
  <c r="AD168" i="1"/>
  <c r="AE168" i="1"/>
  <c r="AF168" i="1"/>
  <c r="AG168" i="1"/>
  <c r="AH168" i="1"/>
  <c r="AJ168" i="1"/>
  <c r="AK168" i="1"/>
  <c r="AO168" i="1"/>
  <c r="J168" i="1" s="1"/>
  <c r="AP168" i="1"/>
  <c r="AW168" i="1"/>
  <c r="AV168" i="1" s="1"/>
  <c r="AX168" i="1"/>
  <c r="BC168" i="1"/>
  <c r="BD168" i="1"/>
  <c r="BF168" i="1"/>
  <c r="BH168" i="1"/>
  <c r="BI168" i="1"/>
  <c r="AC168" i="1" s="1"/>
  <c r="BJ168" i="1"/>
  <c r="J170" i="1"/>
  <c r="L170" i="1"/>
  <c r="AL170" i="1" s="1"/>
  <c r="AU169" i="1" s="1"/>
  <c r="Z170" i="1"/>
  <c r="AB170" i="1"/>
  <c r="AC170" i="1"/>
  <c r="AD170" i="1"/>
  <c r="AE170" i="1"/>
  <c r="AF170" i="1"/>
  <c r="AG170" i="1"/>
  <c r="AH170" i="1"/>
  <c r="AJ170" i="1"/>
  <c r="AK170" i="1"/>
  <c r="AT169" i="1" s="1"/>
  <c r="AO170" i="1"/>
  <c r="AW170" i="1" s="1"/>
  <c r="AP170" i="1"/>
  <c r="K170" i="1" s="1"/>
  <c r="AX170" i="1"/>
  <c r="BD170" i="1"/>
  <c r="BF170" i="1"/>
  <c r="BH170" i="1"/>
  <c r="BI170" i="1"/>
  <c r="BJ170" i="1"/>
  <c r="K172" i="1"/>
  <c r="L172" i="1"/>
  <c r="AL172" i="1" s="1"/>
  <c r="Z172" i="1"/>
  <c r="AB172" i="1"/>
  <c r="AD172" i="1"/>
  <c r="AE172" i="1"/>
  <c r="AF172" i="1"/>
  <c r="AG172" i="1"/>
  <c r="AH172" i="1"/>
  <c r="AJ172" i="1"/>
  <c r="AS169" i="1" s="1"/>
  <c r="AK172" i="1"/>
  <c r="AO172" i="1"/>
  <c r="J172" i="1" s="1"/>
  <c r="AP172" i="1"/>
  <c r="AW172" i="1"/>
  <c r="AV172" i="1" s="1"/>
  <c r="AX172" i="1"/>
  <c r="BD172" i="1"/>
  <c r="BF172" i="1"/>
  <c r="BH172" i="1"/>
  <c r="BI172" i="1"/>
  <c r="AC172" i="1" s="1"/>
  <c r="BJ172" i="1"/>
  <c r="J173" i="1"/>
  <c r="K173" i="1"/>
  <c r="L173" i="1"/>
  <c r="AL173" i="1" s="1"/>
  <c r="Z173" i="1"/>
  <c r="AC173" i="1"/>
  <c r="AD173" i="1"/>
  <c r="AE173" i="1"/>
  <c r="AF173" i="1"/>
  <c r="AG173" i="1"/>
  <c r="AH173" i="1"/>
  <c r="AJ173" i="1"/>
  <c r="AK173" i="1"/>
  <c r="AO173" i="1"/>
  <c r="AP173" i="1"/>
  <c r="AW173" i="1"/>
  <c r="AX173" i="1"/>
  <c r="BC173" i="1" s="1"/>
  <c r="BD173" i="1"/>
  <c r="BF173" i="1"/>
  <c r="BH173" i="1"/>
  <c r="AB173" i="1" s="1"/>
  <c r="BI173" i="1"/>
  <c r="BJ173" i="1"/>
  <c r="J174" i="1"/>
  <c r="K174" i="1"/>
  <c r="L174" i="1"/>
  <c r="AL174" i="1" s="1"/>
  <c r="Z174" i="1"/>
  <c r="AB174" i="1"/>
  <c r="AD174" i="1"/>
  <c r="AE174" i="1"/>
  <c r="AF174" i="1"/>
  <c r="AG174" i="1"/>
  <c r="AH174" i="1"/>
  <c r="AJ174" i="1"/>
  <c r="AK174" i="1"/>
  <c r="AO174" i="1"/>
  <c r="AP174" i="1"/>
  <c r="BI174" i="1" s="1"/>
  <c r="AC174" i="1" s="1"/>
  <c r="AW174" i="1"/>
  <c r="BD174" i="1"/>
  <c r="BF174" i="1"/>
  <c r="BH174" i="1"/>
  <c r="BJ174" i="1"/>
  <c r="K175" i="1"/>
  <c r="L175" i="1"/>
  <c r="Z175" i="1"/>
  <c r="AD175" i="1"/>
  <c r="AE175" i="1"/>
  <c r="AF175" i="1"/>
  <c r="AG175" i="1"/>
  <c r="AH175" i="1"/>
  <c r="AJ175" i="1"/>
  <c r="AK175" i="1"/>
  <c r="AL175" i="1"/>
  <c r="AO175" i="1"/>
  <c r="AW175" i="1" s="1"/>
  <c r="AP175" i="1"/>
  <c r="AX175" i="1" s="1"/>
  <c r="BD175" i="1"/>
  <c r="BF175" i="1"/>
  <c r="BI175" i="1"/>
  <c r="AC175" i="1" s="1"/>
  <c r="BJ175" i="1"/>
  <c r="J176" i="1"/>
  <c r="L176" i="1"/>
  <c r="Z176" i="1"/>
  <c r="AD176" i="1"/>
  <c r="AE176" i="1"/>
  <c r="AF176" i="1"/>
  <c r="AG176" i="1"/>
  <c r="AH176" i="1"/>
  <c r="AJ176" i="1"/>
  <c r="AK176" i="1"/>
  <c r="AL176" i="1"/>
  <c r="AO176" i="1"/>
  <c r="AW176" i="1" s="1"/>
  <c r="AP176" i="1"/>
  <c r="BD176" i="1"/>
  <c r="BF176" i="1"/>
  <c r="BH176" i="1"/>
  <c r="AB176" i="1" s="1"/>
  <c r="BJ176" i="1"/>
  <c r="K179" i="1"/>
  <c r="L179" i="1"/>
  <c r="Z179" i="1"/>
  <c r="AC179" i="1"/>
  <c r="AD179" i="1"/>
  <c r="AE179" i="1"/>
  <c r="AF179" i="1"/>
  <c r="AG179" i="1"/>
  <c r="AH179" i="1"/>
  <c r="AJ179" i="1"/>
  <c r="AS178" i="1" s="1"/>
  <c r="AK179" i="1"/>
  <c r="AL179" i="1"/>
  <c r="AO179" i="1"/>
  <c r="AP179" i="1"/>
  <c r="AX179" i="1"/>
  <c r="BD179" i="1"/>
  <c r="BF179" i="1"/>
  <c r="BI179" i="1"/>
  <c r="BJ179" i="1"/>
  <c r="J180" i="1"/>
  <c r="L180" i="1"/>
  <c r="Z180" i="1"/>
  <c r="AB180" i="1"/>
  <c r="AC180" i="1"/>
  <c r="AD180" i="1"/>
  <c r="AE180" i="1"/>
  <c r="AF180" i="1"/>
  <c r="AG180" i="1"/>
  <c r="AH180" i="1"/>
  <c r="AJ180" i="1"/>
  <c r="AK180" i="1"/>
  <c r="AT178" i="1" s="1"/>
  <c r="AL180" i="1"/>
  <c r="AO180" i="1"/>
  <c r="AP180" i="1"/>
  <c r="K180" i="1" s="1"/>
  <c r="AW180" i="1"/>
  <c r="AX180" i="1"/>
  <c r="BD180" i="1"/>
  <c r="BF180" i="1"/>
  <c r="BH180" i="1"/>
  <c r="BI180" i="1"/>
  <c r="BJ180" i="1"/>
  <c r="K181" i="1"/>
  <c r="L181" i="1"/>
  <c r="AL181" i="1" s="1"/>
  <c r="Z181" i="1"/>
  <c r="AB181" i="1"/>
  <c r="AD181" i="1"/>
  <c r="AE181" i="1"/>
  <c r="AF181" i="1"/>
  <c r="AG181" i="1"/>
  <c r="AH181" i="1"/>
  <c r="AJ181" i="1"/>
  <c r="AK181" i="1"/>
  <c r="AO181" i="1"/>
  <c r="J181" i="1" s="1"/>
  <c r="AP181" i="1"/>
  <c r="AW181" i="1"/>
  <c r="AV181" i="1" s="1"/>
  <c r="AX181" i="1"/>
  <c r="BD181" i="1"/>
  <c r="BF181" i="1"/>
  <c r="BH181" i="1"/>
  <c r="BI181" i="1"/>
  <c r="AC181" i="1" s="1"/>
  <c r="BJ181" i="1"/>
  <c r="J182" i="1"/>
  <c r="K182" i="1"/>
  <c r="L182" i="1"/>
  <c r="AL182" i="1" s="1"/>
  <c r="Z182" i="1"/>
  <c r="AC182" i="1"/>
  <c r="AD182" i="1"/>
  <c r="AE182" i="1"/>
  <c r="AF182" i="1"/>
  <c r="AG182" i="1"/>
  <c r="AH182" i="1"/>
  <c r="AJ182" i="1"/>
  <c r="AK182" i="1"/>
  <c r="AO182" i="1"/>
  <c r="AP182" i="1"/>
  <c r="AW182" i="1"/>
  <c r="AX182" i="1"/>
  <c r="BC182" i="1" s="1"/>
  <c r="BD182" i="1"/>
  <c r="BF182" i="1"/>
  <c r="BH182" i="1"/>
  <c r="AB182" i="1" s="1"/>
  <c r="BI182" i="1"/>
  <c r="BJ182" i="1"/>
  <c r="J183" i="1"/>
  <c r="K183" i="1"/>
  <c r="L183" i="1"/>
  <c r="AL183" i="1" s="1"/>
  <c r="Z183" i="1"/>
  <c r="AB183" i="1"/>
  <c r="AD183" i="1"/>
  <c r="AE183" i="1"/>
  <c r="AF183" i="1"/>
  <c r="AG183" i="1"/>
  <c r="AH183" i="1"/>
  <c r="AJ183" i="1"/>
  <c r="AK183" i="1"/>
  <c r="AO183" i="1"/>
  <c r="AP183" i="1"/>
  <c r="BI183" i="1" s="1"/>
  <c r="AC183" i="1" s="1"/>
  <c r="AW183" i="1"/>
  <c r="BD183" i="1"/>
  <c r="BF183" i="1"/>
  <c r="BH183" i="1"/>
  <c r="BJ183" i="1"/>
  <c r="K184" i="1"/>
  <c r="L184" i="1"/>
  <c r="Z184" i="1"/>
  <c r="AD184" i="1"/>
  <c r="AE184" i="1"/>
  <c r="AF184" i="1"/>
  <c r="AG184" i="1"/>
  <c r="AH184" i="1"/>
  <c r="AJ184" i="1"/>
  <c r="AK184" i="1"/>
  <c r="AL184" i="1"/>
  <c r="AO184" i="1"/>
  <c r="AW184" i="1" s="1"/>
  <c r="AP184" i="1"/>
  <c r="AX184" i="1" s="1"/>
  <c r="BD184" i="1"/>
  <c r="BF184" i="1"/>
  <c r="BI184" i="1"/>
  <c r="AC184" i="1" s="1"/>
  <c r="BJ184" i="1"/>
  <c r="J185" i="1"/>
  <c r="L185" i="1"/>
  <c r="Z185" i="1"/>
  <c r="AD185" i="1"/>
  <c r="AE185" i="1"/>
  <c r="AF185" i="1"/>
  <c r="AG185" i="1"/>
  <c r="AH185" i="1"/>
  <c r="AJ185" i="1"/>
  <c r="AK185" i="1"/>
  <c r="AL185" i="1"/>
  <c r="AO185" i="1"/>
  <c r="AW185" i="1" s="1"/>
  <c r="AP185" i="1"/>
  <c r="BD185" i="1"/>
  <c r="BF185" i="1"/>
  <c r="BH185" i="1"/>
  <c r="AB185" i="1" s="1"/>
  <c r="BJ185" i="1"/>
  <c r="L186" i="1"/>
  <c r="Z186" i="1"/>
  <c r="AD186" i="1"/>
  <c r="AE186" i="1"/>
  <c r="AF186" i="1"/>
  <c r="AG186" i="1"/>
  <c r="AH186" i="1"/>
  <c r="AJ186" i="1"/>
  <c r="AK186" i="1"/>
  <c r="AL186" i="1"/>
  <c r="AO186" i="1"/>
  <c r="BH186" i="1" s="1"/>
  <c r="AB186" i="1" s="1"/>
  <c r="AP186" i="1"/>
  <c r="BI186" i="1" s="1"/>
  <c r="AC186" i="1" s="1"/>
  <c r="BD186" i="1"/>
  <c r="BF186" i="1"/>
  <c r="BJ186" i="1"/>
  <c r="K187" i="1"/>
  <c r="L187" i="1"/>
  <c r="Z187" i="1"/>
  <c r="AC187" i="1"/>
  <c r="AD187" i="1"/>
  <c r="AE187" i="1"/>
  <c r="AF187" i="1"/>
  <c r="AG187" i="1"/>
  <c r="AH187" i="1"/>
  <c r="AJ187" i="1"/>
  <c r="AK187" i="1"/>
  <c r="AL187" i="1"/>
  <c r="AO187" i="1"/>
  <c r="AP187" i="1"/>
  <c r="AX187" i="1" s="1"/>
  <c r="BD187" i="1"/>
  <c r="BF187" i="1"/>
  <c r="BH187" i="1"/>
  <c r="AB187" i="1" s="1"/>
  <c r="BI187" i="1"/>
  <c r="BJ187" i="1"/>
  <c r="J188" i="1"/>
  <c r="L188" i="1"/>
  <c r="Z188" i="1"/>
  <c r="AB188" i="1"/>
  <c r="AC188" i="1"/>
  <c r="AD188" i="1"/>
  <c r="AE188" i="1"/>
  <c r="AF188" i="1"/>
  <c r="AG188" i="1"/>
  <c r="AH188" i="1"/>
  <c r="AJ188" i="1"/>
  <c r="AK188" i="1"/>
  <c r="AL188" i="1"/>
  <c r="AO188" i="1"/>
  <c r="AW188" i="1" s="1"/>
  <c r="AP188" i="1"/>
  <c r="BI188" i="1" s="1"/>
  <c r="AX188" i="1"/>
  <c r="BD188" i="1"/>
  <c r="BF188" i="1"/>
  <c r="BH188" i="1"/>
  <c r="BJ188" i="1"/>
  <c r="K189" i="1"/>
  <c r="L189" i="1"/>
  <c r="AL189" i="1" s="1"/>
  <c r="Z189" i="1"/>
  <c r="AB189" i="1"/>
  <c r="AD189" i="1"/>
  <c r="AE189" i="1"/>
  <c r="AF189" i="1"/>
  <c r="AG189" i="1"/>
  <c r="AH189" i="1"/>
  <c r="AJ189" i="1"/>
  <c r="AK189" i="1"/>
  <c r="AO189" i="1"/>
  <c r="J189" i="1" s="1"/>
  <c r="AP189" i="1"/>
  <c r="AW189" i="1"/>
  <c r="AV189" i="1" s="1"/>
  <c r="AX189" i="1"/>
  <c r="BD189" i="1"/>
  <c r="BF189" i="1"/>
  <c r="BH189" i="1"/>
  <c r="BI189" i="1"/>
  <c r="AC189" i="1" s="1"/>
  <c r="BJ189" i="1"/>
  <c r="J190" i="1"/>
  <c r="K190" i="1"/>
  <c r="L190" i="1"/>
  <c r="AL190" i="1" s="1"/>
  <c r="Z190" i="1"/>
  <c r="AC190" i="1"/>
  <c r="AD190" i="1"/>
  <c r="AE190" i="1"/>
  <c r="AF190" i="1"/>
  <c r="AG190" i="1"/>
  <c r="AH190" i="1"/>
  <c r="AJ190" i="1"/>
  <c r="AK190" i="1"/>
  <c r="AO190" i="1"/>
  <c r="AP190" i="1"/>
  <c r="AW190" i="1"/>
  <c r="AX190" i="1"/>
  <c r="AV190" i="1" s="1"/>
  <c r="BD190" i="1"/>
  <c r="BF190" i="1"/>
  <c r="BH190" i="1"/>
  <c r="AB190" i="1" s="1"/>
  <c r="BI190" i="1"/>
  <c r="BJ190" i="1"/>
  <c r="C2" i="2"/>
  <c r="G2" i="2"/>
  <c r="C4" i="2"/>
  <c r="G4" i="2"/>
  <c r="C6" i="2"/>
  <c r="G6" i="2"/>
  <c r="C8" i="2"/>
  <c r="I11" i="2"/>
  <c r="G12" i="2"/>
  <c r="I12" i="2"/>
  <c r="G15" i="2"/>
  <c r="I15" i="2" s="1"/>
  <c r="G16" i="2"/>
  <c r="I16" i="2"/>
  <c r="G17" i="2"/>
  <c r="I17" i="2" s="1"/>
  <c r="I25" i="2"/>
  <c r="C2" i="3"/>
  <c r="F2" i="3"/>
  <c r="C4" i="3"/>
  <c r="F4" i="3"/>
  <c r="C6" i="3"/>
  <c r="F6" i="3"/>
  <c r="C8" i="3"/>
  <c r="BC175" i="1" l="1"/>
  <c r="AV175" i="1"/>
  <c r="BC184" i="1"/>
  <c r="AV184" i="1"/>
  <c r="J169" i="1"/>
  <c r="E24" i="2" s="1"/>
  <c r="K178" i="1"/>
  <c r="BC189" i="1"/>
  <c r="K185" i="1"/>
  <c r="AX185" i="1"/>
  <c r="AV185" i="1" s="1"/>
  <c r="BH184" i="1"/>
  <c r="AB184" i="1" s="1"/>
  <c r="AX183" i="1"/>
  <c r="AV182" i="1"/>
  <c r="L178" i="1"/>
  <c r="K176" i="1"/>
  <c r="K169" i="1" s="1"/>
  <c r="F24" i="2" s="1"/>
  <c r="AX176" i="1"/>
  <c r="AV176" i="1" s="1"/>
  <c r="BH175" i="1"/>
  <c r="AB175" i="1" s="1"/>
  <c r="AX174" i="1"/>
  <c r="AV174" i="1" s="1"/>
  <c r="AV173" i="1"/>
  <c r="AV167" i="1"/>
  <c r="BC167" i="1"/>
  <c r="J165" i="1"/>
  <c r="J161" i="1" s="1"/>
  <c r="E23" i="2" s="1"/>
  <c r="AW165" i="1"/>
  <c r="BC160" i="1"/>
  <c r="BI159" i="1"/>
  <c r="AC159" i="1" s="1"/>
  <c r="BC157" i="1"/>
  <c r="J152" i="1"/>
  <c r="AW152" i="1"/>
  <c r="BH152" i="1"/>
  <c r="AB152" i="1" s="1"/>
  <c r="K130" i="1"/>
  <c r="BI130" i="1"/>
  <c r="AC130" i="1" s="1"/>
  <c r="J122" i="1"/>
  <c r="J119" i="1" s="1"/>
  <c r="E20" i="2" s="1"/>
  <c r="AW122" i="1"/>
  <c r="BH122" i="1"/>
  <c r="AB122" i="1" s="1"/>
  <c r="AV188" i="1"/>
  <c r="BC188" i="1"/>
  <c r="K165" i="1"/>
  <c r="K161" i="1" s="1"/>
  <c r="F23" i="2" s="1"/>
  <c r="AX165" i="1"/>
  <c r="K152" i="1"/>
  <c r="AX152" i="1"/>
  <c r="BC190" i="1"/>
  <c r="BC185" i="1"/>
  <c r="BC183" i="1"/>
  <c r="AV183" i="1"/>
  <c r="AV180" i="1"/>
  <c r="BC180" i="1"/>
  <c r="BC174" i="1"/>
  <c r="BC158" i="1"/>
  <c r="AU119" i="1"/>
  <c r="J43" i="1"/>
  <c r="AW43" i="1"/>
  <c r="BH43" i="1"/>
  <c r="AD43" i="1" s="1"/>
  <c r="C16" i="4" s="1"/>
  <c r="L161" i="1"/>
  <c r="G23" i="2" s="1"/>
  <c r="I23" i="2" s="1"/>
  <c r="AL162" i="1"/>
  <c r="AU161" i="1" s="1"/>
  <c r="K153" i="1"/>
  <c r="AX153" i="1"/>
  <c r="AV96" i="1"/>
  <c r="BC96" i="1"/>
  <c r="J184" i="1"/>
  <c r="J179" i="1"/>
  <c r="AW179" i="1"/>
  <c r="J175" i="1"/>
  <c r="L169" i="1"/>
  <c r="G24" i="2" s="1"/>
  <c r="I24" i="2" s="1"/>
  <c r="K164" i="1"/>
  <c r="AX164" i="1"/>
  <c r="AV164" i="1" s="1"/>
  <c r="AS161" i="1"/>
  <c r="BC162" i="1"/>
  <c r="AV162" i="1"/>
  <c r="K159" i="1"/>
  <c r="J155" i="1"/>
  <c r="AW155" i="1"/>
  <c r="AT147" i="1"/>
  <c r="AV150" i="1"/>
  <c r="AX136" i="1"/>
  <c r="K136" i="1"/>
  <c r="BI136" i="1"/>
  <c r="AC136" i="1" s="1"/>
  <c r="AW110" i="1"/>
  <c r="J110" i="1"/>
  <c r="BH110" i="1"/>
  <c r="AB110" i="1" s="1"/>
  <c r="AW91" i="1"/>
  <c r="J91" i="1"/>
  <c r="BH91" i="1"/>
  <c r="AB91" i="1" s="1"/>
  <c r="J187" i="1"/>
  <c r="AW187" i="1"/>
  <c r="BI185" i="1"/>
  <c r="AC185" i="1" s="1"/>
  <c r="AU178" i="1"/>
  <c r="BI176" i="1"/>
  <c r="AC176" i="1" s="1"/>
  <c r="AV170" i="1"/>
  <c r="BC170" i="1"/>
  <c r="BI165" i="1"/>
  <c r="AC165" i="1" s="1"/>
  <c r="BC164" i="1"/>
  <c r="K154" i="1"/>
  <c r="AX154" i="1"/>
  <c r="K141" i="1"/>
  <c r="BI141" i="1"/>
  <c r="AC141" i="1" s="1"/>
  <c r="J136" i="1"/>
  <c r="AW136" i="1"/>
  <c r="BH136" i="1"/>
  <c r="AB136" i="1" s="1"/>
  <c r="AX128" i="1"/>
  <c r="BC128" i="1" s="1"/>
  <c r="K128" i="1"/>
  <c r="BI128" i="1"/>
  <c r="AC128" i="1" s="1"/>
  <c r="L98" i="1"/>
  <c r="G19" i="2" s="1"/>
  <c r="I19" i="2" s="1"/>
  <c r="AL99" i="1"/>
  <c r="AU98" i="1" s="1"/>
  <c r="K146" i="1"/>
  <c r="AX146" i="1"/>
  <c r="AV146" i="1" s="1"/>
  <c r="BI146" i="1"/>
  <c r="AC146" i="1" s="1"/>
  <c r="BC108" i="1"/>
  <c r="AV108" i="1"/>
  <c r="BC181" i="1"/>
  <c r="BH179" i="1"/>
  <c r="AB179" i="1" s="1"/>
  <c r="BC172" i="1"/>
  <c r="BH165" i="1"/>
  <c r="AB165" i="1" s="1"/>
  <c r="J154" i="1"/>
  <c r="AW154" i="1"/>
  <c r="BI152" i="1"/>
  <c r="AC152" i="1" s="1"/>
  <c r="AT139" i="1"/>
  <c r="J186" i="1"/>
  <c r="AW186" i="1"/>
  <c r="K149" i="1"/>
  <c r="AX149" i="1"/>
  <c r="AV149" i="1" s="1"/>
  <c r="BI149" i="1"/>
  <c r="AC149" i="1" s="1"/>
  <c r="AW102" i="1"/>
  <c r="BH102" i="1"/>
  <c r="AB102" i="1" s="1"/>
  <c r="J102" i="1"/>
  <c r="J98" i="1" s="1"/>
  <c r="E19" i="2" s="1"/>
  <c r="K186" i="1"/>
  <c r="AX186" i="1"/>
  <c r="J166" i="1"/>
  <c r="AW166" i="1"/>
  <c r="BI164" i="1"/>
  <c r="AC164" i="1" s="1"/>
  <c r="BC163" i="1"/>
  <c r="AT161" i="1"/>
  <c r="BC159" i="1"/>
  <c r="AV159" i="1"/>
  <c r="BH155" i="1"/>
  <c r="AB155" i="1" s="1"/>
  <c r="L147" i="1"/>
  <c r="G22" i="2" s="1"/>
  <c r="I22" i="2" s="1"/>
  <c r="AL148" i="1"/>
  <c r="AU147" i="1" s="1"/>
  <c r="AS139" i="1"/>
  <c r="BC140" i="1"/>
  <c r="J134" i="1"/>
  <c r="AW134" i="1"/>
  <c r="AT119" i="1"/>
  <c r="J89" i="1"/>
  <c r="AW89" i="1"/>
  <c r="BH89" i="1"/>
  <c r="AB89" i="1" s="1"/>
  <c r="J112" i="1"/>
  <c r="AW112" i="1"/>
  <c r="AS98" i="1"/>
  <c r="K77" i="1"/>
  <c r="AX77" i="1"/>
  <c r="BI77" i="1"/>
  <c r="AC77" i="1" s="1"/>
  <c r="J46" i="1"/>
  <c r="AW46" i="1"/>
  <c r="BH46" i="1"/>
  <c r="AB46" i="1" s="1"/>
  <c r="J151" i="1"/>
  <c r="K144" i="1"/>
  <c r="J141" i="1"/>
  <c r="AW141" i="1"/>
  <c r="L139" i="1"/>
  <c r="G21" i="2" s="1"/>
  <c r="I21" i="2" s="1"/>
  <c r="J130" i="1"/>
  <c r="AW130" i="1"/>
  <c r="K121" i="1"/>
  <c r="AX121" i="1"/>
  <c r="AV121" i="1" s="1"/>
  <c r="AS119" i="1"/>
  <c r="AV109" i="1"/>
  <c r="J104" i="1"/>
  <c r="AW104" i="1"/>
  <c r="AV101" i="1"/>
  <c r="BC97" i="1"/>
  <c r="J93" i="1"/>
  <c r="AW93" i="1"/>
  <c r="AV90" i="1"/>
  <c r="AV82" i="1"/>
  <c r="AV79" i="1"/>
  <c r="BC77" i="1"/>
  <c r="AV77" i="1"/>
  <c r="AT45" i="1"/>
  <c r="AV47" i="1"/>
  <c r="C20" i="4"/>
  <c r="AV131" i="1"/>
  <c r="BC131" i="1"/>
  <c r="BC121" i="1"/>
  <c r="K188" i="1"/>
  <c r="AW156" i="1"/>
  <c r="K156" i="1"/>
  <c r="AX155" i="1"/>
  <c r="BI150" i="1"/>
  <c r="AC150" i="1" s="1"/>
  <c r="AS147" i="1"/>
  <c r="AX144" i="1"/>
  <c r="BC144" i="1" s="1"/>
  <c r="BI133" i="1"/>
  <c r="AC133" i="1" s="1"/>
  <c r="K129" i="1"/>
  <c r="AX129" i="1"/>
  <c r="AV129" i="1" s="1"/>
  <c r="AV126" i="1"/>
  <c r="J123" i="1"/>
  <c r="AW123" i="1"/>
  <c r="BC120" i="1"/>
  <c r="K118" i="1"/>
  <c r="AX118" i="1"/>
  <c r="AV118" i="1" s="1"/>
  <c r="K117" i="1"/>
  <c r="BC116" i="1"/>
  <c r="K111" i="1"/>
  <c r="AX111" i="1"/>
  <c r="BC107" i="1"/>
  <c r="AV106" i="1"/>
  <c r="K103" i="1"/>
  <c r="AX103" i="1"/>
  <c r="K92" i="1"/>
  <c r="AX92" i="1"/>
  <c r="AV86" i="1"/>
  <c r="AV39" i="1"/>
  <c r="AV38" i="1"/>
  <c r="AV35" i="1"/>
  <c r="K14" i="1"/>
  <c r="K13" i="1" s="1"/>
  <c r="AX14" i="1"/>
  <c r="AV14" i="1" s="1"/>
  <c r="BI14" i="1"/>
  <c r="AC14" i="1" s="1"/>
  <c r="K137" i="1"/>
  <c r="K119" i="1" s="1"/>
  <c r="F20" i="2" s="1"/>
  <c r="AX137" i="1"/>
  <c r="L119" i="1"/>
  <c r="G20" i="2" s="1"/>
  <c r="I20" i="2" s="1"/>
  <c r="BC52" i="1"/>
  <c r="AV52" i="1"/>
  <c r="K151" i="1"/>
  <c r="AX151" i="1"/>
  <c r="BC151" i="1" s="1"/>
  <c r="J148" i="1"/>
  <c r="J147" i="1" s="1"/>
  <c r="E22" i="2" s="1"/>
  <c r="J145" i="1"/>
  <c r="J139" i="1" s="1"/>
  <c r="E21" i="2" s="1"/>
  <c r="BH141" i="1"/>
  <c r="AB141" i="1" s="1"/>
  <c r="AX138" i="1"/>
  <c r="BI137" i="1"/>
  <c r="AC137" i="1" s="1"/>
  <c r="BH130" i="1"/>
  <c r="AB130" i="1" s="1"/>
  <c r="BC129" i="1"/>
  <c r="BI121" i="1"/>
  <c r="AC121" i="1" s="1"/>
  <c r="BC118" i="1"/>
  <c r="BC117" i="1"/>
  <c r="BH112" i="1"/>
  <c r="AB112" i="1" s="1"/>
  <c r="J111" i="1"/>
  <c r="AW111" i="1"/>
  <c r="BI109" i="1"/>
  <c r="AC109" i="1" s="1"/>
  <c r="BH104" i="1"/>
  <c r="AB104" i="1" s="1"/>
  <c r="J103" i="1"/>
  <c r="AW103" i="1"/>
  <c r="BI101" i="1"/>
  <c r="AC101" i="1" s="1"/>
  <c r="AV95" i="1"/>
  <c r="BH93" i="1"/>
  <c r="AB93" i="1" s="1"/>
  <c r="J92" i="1"/>
  <c r="AW92" i="1"/>
  <c r="BI90" i="1"/>
  <c r="AC90" i="1" s="1"/>
  <c r="BC14" i="1"/>
  <c r="C21" i="4"/>
  <c r="BH121" i="1"/>
  <c r="AB121" i="1" s="1"/>
  <c r="J121" i="1"/>
  <c r="J62" i="1"/>
  <c r="AW62" i="1"/>
  <c r="BH62" i="1"/>
  <c r="AB62" i="1" s="1"/>
  <c r="J18" i="1"/>
  <c r="AW18" i="1"/>
  <c r="BH18" i="1"/>
  <c r="K140" i="1"/>
  <c r="AX140" i="1"/>
  <c r="AV140" i="1" s="1"/>
  <c r="AW153" i="1"/>
  <c r="K150" i="1"/>
  <c r="BC149" i="1"/>
  <c r="J138" i="1"/>
  <c r="AW138" i="1"/>
  <c r="K122" i="1"/>
  <c r="AX122" i="1"/>
  <c r="K110" i="1"/>
  <c r="AX110" i="1"/>
  <c r="K102" i="1"/>
  <c r="AX102" i="1"/>
  <c r="K101" i="1"/>
  <c r="K98" i="1" s="1"/>
  <c r="F19" i="2" s="1"/>
  <c r="BC100" i="1"/>
  <c r="K91" i="1"/>
  <c r="AX91" i="1"/>
  <c r="K90" i="1"/>
  <c r="AV63" i="1"/>
  <c r="K61" i="1"/>
  <c r="AX61" i="1"/>
  <c r="BC61" i="1" s="1"/>
  <c r="BI61" i="1"/>
  <c r="AC61" i="1" s="1"/>
  <c r="K42" i="1"/>
  <c r="K41" i="1" s="1"/>
  <c r="F16" i="2" s="1"/>
  <c r="AX42" i="1"/>
  <c r="BC42" i="1" s="1"/>
  <c r="BI42" i="1"/>
  <c r="AE42" i="1" s="1"/>
  <c r="C17" i="4" s="1"/>
  <c r="K17" i="1"/>
  <c r="AX17" i="1"/>
  <c r="AV17" i="1" s="1"/>
  <c r="BI17" i="1"/>
  <c r="AW133" i="1"/>
  <c r="AX132" i="1"/>
  <c r="AW114" i="1"/>
  <c r="AU81" i="1"/>
  <c r="BC76" i="1"/>
  <c r="BC67" i="1"/>
  <c r="AV67" i="1"/>
  <c r="BC51" i="1"/>
  <c r="AV51" i="1"/>
  <c r="K25" i="1"/>
  <c r="AX25" i="1"/>
  <c r="BC23" i="1"/>
  <c r="AV23" i="1"/>
  <c r="BC17" i="1"/>
  <c r="C28" i="4"/>
  <c r="F28" i="4" s="1"/>
  <c r="K88" i="1"/>
  <c r="AX88" i="1"/>
  <c r="AT81" i="1"/>
  <c r="BC75" i="1"/>
  <c r="AV75" i="1"/>
  <c r="J54" i="1"/>
  <c r="AW54" i="1"/>
  <c r="BC37" i="1"/>
  <c r="AV37" i="1"/>
  <c r="AT26" i="1"/>
  <c r="BC25" i="1"/>
  <c r="AV25" i="1"/>
  <c r="C27" i="4"/>
  <c r="AW88" i="1"/>
  <c r="J88" i="1"/>
  <c r="J81" i="1" s="1"/>
  <c r="E18" i="2" s="1"/>
  <c r="BC34" i="1"/>
  <c r="AV34" i="1"/>
  <c r="J29" i="1"/>
  <c r="AW29" i="1"/>
  <c r="AS26" i="1"/>
  <c r="AV16" i="1"/>
  <c r="AX87" i="1"/>
  <c r="AV87" i="1" s="1"/>
  <c r="K87" i="1"/>
  <c r="AV83" i="1"/>
  <c r="J70" i="1"/>
  <c r="AW70" i="1"/>
  <c r="K69" i="1"/>
  <c r="AX69" i="1"/>
  <c r="AV64" i="1"/>
  <c r="BC64" i="1"/>
  <c r="K53" i="1"/>
  <c r="K45" i="1" s="1"/>
  <c r="F17" i="2" s="1"/>
  <c r="AX53" i="1"/>
  <c r="J40" i="1"/>
  <c r="AW40" i="1"/>
  <c r="AV31" i="1"/>
  <c r="BC31" i="1"/>
  <c r="K28" i="1"/>
  <c r="AX28" i="1"/>
  <c r="L15" i="1"/>
  <c r="L12" i="1" s="1"/>
  <c r="G11" i="2" s="1"/>
  <c r="C19" i="4"/>
  <c r="BI88" i="1"/>
  <c r="AC88" i="1" s="1"/>
  <c r="BC87" i="1"/>
  <c r="K81" i="1"/>
  <c r="F18" i="2" s="1"/>
  <c r="BC80" i="1"/>
  <c r="J78" i="1"/>
  <c r="AW78" i="1"/>
  <c r="AV71" i="1"/>
  <c r="BC69" i="1"/>
  <c r="AV69" i="1"/>
  <c r="BC59" i="1"/>
  <c r="AV59" i="1"/>
  <c r="BH54" i="1"/>
  <c r="AB54" i="1" s="1"/>
  <c r="C14" i="4" s="1"/>
  <c r="BC53" i="1"/>
  <c r="AV53" i="1"/>
  <c r="K39" i="1"/>
  <c r="AX39" i="1"/>
  <c r="BC39" i="1" s="1"/>
  <c r="AU36" i="1"/>
  <c r="AV30" i="1"/>
  <c r="BC28" i="1"/>
  <c r="AV28" i="1"/>
  <c r="BI25" i="1"/>
  <c r="C18" i="4"/>
  <c r="BC85" i="1"/>
  <c r="J77" i="1"/>
  <c r="K76" i="1"/>
  <c r="J69" i="1"/>
  <c r="K68" i="1"/>
  <c r="J61" i="1"/>
  <c r="K60" i="1"/>
  <c r="J53" i="1"/>
  <c r="K52" i="1"/>
  <c r="J42" i="1"/>
  <c r="J41" i="1" s="1"/>
  <c r="E16" i="2" s="1"/>
  <c r="J39" i="1"/>
  <c r="J36" i="1" s="1"/>
  <c r="E15" i="2" s="1"/>
  <c r="K38" i="1"/>
  <c r="K36" i="1" s="1"/>
  <c r="F15" i="2" s="1"/>
  <c r="K35" i="1"/>
  <c r="J28" i="1"/>
  <c r="J26" i="1" s="1"/>
  <c r="E14" i="2" s="1"/>
  <c r="K27" i="1"/>
  <c r="J25" i="1"/>
  <c r="K24" i="1"/>
  <c r="J17" i="1"/>
  <c r="J15" i="1" s="1"/>
  <c r="E13" i="2" s="1"/>
  <c r="K16" i="1"/>
  <c r="K15" i="1" s="1"/>
  <c r="F13" i="2" s="1"/>
  <c r="J14" i="1"/>
  <c r="J13" i="1" s="1"/>
  <c r="L81" i="1"/>
  <c r="G18" i="2" s="1"/>
  <c r="I18" i="2" s="1"/>
  <c r="AW74" i="1"/>
  <c r="AX73" i="1"/>
  <c r="AW66" i="1"/>
  <c r="AX65" i="1"/>
  <c r="AW58" i="1"/>
  <c r="AX57" i="1"/>
  <c r="AW50" i="1"/>
  <c r="AX49" i="1"/>
  <c r="AL46" i="1"/>
  <c r="AU45" i="1" s="1"/>
  <c r="AW33" i="1"/>
  <c r="AX32" i="1"/>
  <c r="AW22" i="1"/>
  <c r="AX21" i="1"/>
  <c r="AT13" i="1"/>
  <c r="AW84" i="1"/>
  <c r="AX83" i="1"/>
  <c r="BC83" i="1" s="1"/>
  <c r="BC82" i="1"/>
  <c r="AX80" i="1"/>
  <c r="AV80" i="1" s="1"/>
  <c r="BC79" i="1"/>
  <c r="AW73" i="1"/>
  <c r="AX72" i="1"/>
  <c r="BC72" i="1" s="1"/>
  <c r="BC71" i="1"/>
  <c r="AW65" i="1"/>
  <c r="AX64" i="1"/>
  <c r="BC63" i="1"/>
  <c r="AW57" i="1"/>
  <c r="AX56" i="1"/>
  <c r="AV56" i="1" s="1"/>
  <c r="BC55" i="1"/>
  <c r="AW49" i="1"/>
  <c r="AX48" i="1"/>
  <c r="AV48" i="1" s="1"/>
  <c r="BC47" i="1"/>
  <c r="BC44" i="1"/>
  <c r="AL42" i="1"/>
  <c r="AU41" i="1" s="1"/>
  <c r="AL39" i="1"/>
  <c r="AW32" i="1"/>
  <c r="AX31" i="1"/>
  <c r="BC30" i="1"/>
  <c r="AL28" i="1"/>
  <c r="AU26" i="1" s="1"/>
  <c r="AW21" i="1"/>
  <c r="AX20" i="1"/>
  <c r="AV20" i="1" s="1"/>
  <c r="BC19" i="1"/>
  <c r="AL17" i="1"/>
  <c r="AU15" i="1" s="1"/>
  <c r="AL14" i="1"/>
  <c r="AU13" i="1" s="1"/>
  <c r="AS13" i="1"/>
  <c r="AV84" i="1" l="1"/>
  <c r="BC84" i="1"/>
  <c r="AV103" i="1"/>
  <c r="BC103" i="1"/>
  <c r="AV166" i="1"/>
  <c r="BC166" i="1"/>
  <c r="AV179" i="1"/>
  <c r="BC179" i="1"/>
  <c r="BC176" i="1"/>
  <c r="AV165" i="1"/>
  <c r="BC165" i="1"/>
  <c r="AV58" i="1"/>
  <c r="BC58" i="1"/>
  <c r="AV132" i="1"/>
  <c r="BC132" i="1"/>
  <c r="C15" i="4"/>
  <c r="C22" i="4" s="1"/>
  <c r="AV104" i="1"/>
  <c r="BC104" i="1"/>
  <c r="K147" i="1"/>
  <c r="F22" i="2" s="1"/>
  <c r="BC136" i="1"/>
  <c r="AV136" i="1"/>
  <c r="L177" i="1"/>
  <c r="G25" i="2" s="1"/>
  <c r="G26" i="2"/>
  <c r="I26" i="2" s="1"/>
  <c r="AV73" i="1"/>
  <c r="BC73" i="1"/>
  <c r="AV22" i="1"/>
  <c r="BC22" i="1"/>
  <c r="C29" i="4"/>
  <c r="AV40" i="1"/>
  <c r="BC40" i="1"/>
  <c r="AV72" i="1"/>
  <c r="AV61" i="1"/>
  <c r="AV133" i="1"/>
  <c r="BC133" i="1"/>
  <c r="BC56" i="1"/>
  <c r="AV92" i="1"/>
  <c r="BC92" i="1"/>
  <c r="AV123" i="1"/>
  <c r="BC123" i="1"/>
  <c r="AV141" i="1"/>
  <c r="BC141" i="1"/>
  <c r="AV186" i="1"/>
  <c r="BC186" i="1"/>
  <c r="AV43" i="1"/>
  <c r="BC43" i="1"/>
  <c r="AV21" i="1"/>
  <c r="BC21" i="1"/>
  <c r="AV50" i="1"/>
  <c r="BC50" i="1"/>
  <c r="AV154" i="1"/>
  <c r="BC154" i="1"/>
  <c r="AV114" i="1"/>
  <c r="BC114" i="1"/>
  <c r="BC89" i="1"/>
  <c r="AV89" i="1"/>
  <c r="K177" i="1"/>
  <c r="F25" i="2" s="1"/>
  <c r="F26" i="2"/>
  <c r="BC153" i="1"/>
  <c r="AV153" i="1"/>
  <c r="AV32" i="1"/>
  <c r="BC32" i="1"/>
  <c r="AV66" i="1"/>
  <c r="BC66" i="1"/>
  <c r="AV78" i="1"/>
  <c r="BC78" i="1"/>
  <c r="AV128" i="1"/>
  <c r="K139" i="1"/>
  <c r="F21" i="2" s="1"/>
  <c r="AV111" i="1"/>
  <c r="BC111" i="1"/>
  <c r="F12" i="2"/>
  <c r="AV134" i="1"/>
  <c r="BC134" i="1"/>
  <c r="BC91" i="1"/>
  <c r="AV91" i="1"/>
  <c r="AV152" i="1"/>
  <c r="BC152" i="1"/>
  <c r="AV65" i="1"/>
  <c r="BC65" i="1"/>
  <c r="AV46" i="1"/>
  <c r="BC46" i="1"/>
  <c r="AV187" i="1"/>
  <c r="BC187" i="1"/>
  <c r="AV62" i="1"/>
  <c r="BC62" i="1"/>
  <c r="J45" i="1"/>
  <c r="E17" i="2" s="1"/>
  <c r="J178" i="1"/>
  <c r="AV49" i="1"/>
  <c r="BC49" i="1"/>
  <c r="AV57" i="1"/>
  <c r="BC57" i="1"/>
  <c r="AV33" i="1"/>
  <c r="BC33" i="1"/>
  <c r="K26" i="1"/>
  <c r="F14" i="2" s="1"/>
  <c r="BC48" i="1"/>
  <c r="AV70" i="1"/>
  <c r="BC70" i="1"/>
  <c r="AV88" i="1"/>
  <c r="BC88" i="1"/>
  <c r="AV54" i="1"/>
  <c r="BC54" i="1"/>
  <c r="AV138" i="1"/>
  <c r="BC138" i="1"/>
  <c r="AV155" i="1"/>
  <c r="BC155" i="1"/>
  <c r="E12" i="2"/>
  <c r="AV130" i="1"/>
  <c r="BC130" i="1"/>
  <c r="AV74" i="1"/>
  <c r="BC74" i="1"/>
  <c r="L191" i="1"/>
  <c r="G13" i="2"/>
  <c r="I13" i="2" s="1"/>
  <c r="AV29" i="1"/>
  <c r="BC29" i="1"/>
  <c r="AV42" i="1"/>
  <c r="AV18" i="1"/>
  <c r="BC18" i="1"/>
  <c r="AV156" i="1"/>
  <c r="BC156" i="1"/>
  <c r="AV93" i="1"/>
  <c r="BC93" i="1"/>
  <c r="AV112" i="1"/>
  <c r="BC112" i="1"/>
  <c r="BC102" i="1"/>
  <c r="AV102" i="1"/>
  <c r="AV151" i="1"/>
  <c r="BC20" i="1"/>
  <c r="BC146" i="1"/>
  <c r="AV144" i="1"/>
  <c r="AV137" i="1"/>
  <c r="BC137" i="1"/>
  <c r="BC110" i="1"/>
  <c r="AV110" i="1"/>
  <c r="AV122" i="1"/>
  <c r="BC122" i="1"/>
  <c r="K12" i="1" l="1"/>
  <c r="F11" i="2" s="1"/>
  <c r="I28" i="4"/>
  <c r="F29" i="4"/>
  <c r="J12" i="1"/>
  <c r="E11" i="2" s="1"/>
  <c r="J177" i="1"/>
  <c r="E25" i="2" s="1"/>
  <c r="E26" i="2"/>
  <c r="G27" i="2"/>
  <c r="I29" i="4" l="1"/>
</calcChain>
</file>

<file path=xl/sharedStrings.xml><?xml version="1.0" encoding="utf-8"?>
<sst xmlns="http://schemas.openxmlformats.org/spreadsheetml/2006/main" count="3082" uniqueCount="605">
  <si>
    <t>Slepý stavební rozpočet</t>
  </si>
  <si>
    <t>Název stavby:</t>
  </si>
  <si>
    <t>Druh stavby:</t>
  </si>
  <si>
    <t>Lokalita:</t>
  </si>
  <si>
    <t>JKSO:</t>
  </si>
  <si>
    <t>Č</t>
  </si>
  <si>
    <t xml:space="preserve">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</si>
  <si>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</si>
  <si>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</si>
  <si>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</si>
  <si>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</si>
  <si>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</si>
  <si>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</si>
  <si>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</si>
  <si>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</si>
  <si>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</si>
  <si>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</si>
  <si>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</si>
  <si>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</si>
  <si>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</si>
  <si>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</si>
  <si>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</si>
  <si>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</si>
  <si>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</si>
  <si>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</si>
  <si>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</si>
  <si>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</si>
  <si>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</si>
  <si>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</si>
  <si>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</si>
  <si>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</si>
  <si>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</si>
  <si>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</si>
  <si>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</si>
  <si>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</si>
  <si>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</si>
  <si>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</si>
  <si>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</si>
  <si>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</si>
  <si>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</si>
  <si>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</si>
  <si>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</si>
  <si>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</si>
  <si>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</si>
  <si>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</si>
  <si>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</si>
  <si>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</si>
  <si>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</si>
  <si>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</si>
  <si>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</si>
  <si>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</si>
  <si>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</si>
  <si>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</si>
  <si>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</si>
  <si>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</si>
  <si>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</si>
  <si>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</si>
  <si>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</si>
  <si>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</si>
  <si>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</si>
  <si>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</si>
  <si>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</si>
  <si>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</si>
  <si>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</si>
  <si>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</si>
  <si>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</si>
  <si>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</si>
  <si>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</si>
  <si>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</si>
  <si>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</si>
  <si>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</si>
  <si>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</si>
  <si>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</si>
  <si>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</si>
  <si>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</si>
  <si>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</si>
  <si>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</si>
  <si>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</si>
  <si>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</si>
  <si>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</si>
  <si>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</si>
  <si>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</si>
  <si>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</si>
  <si>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</si>
  <si>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</si>
  <si>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</si>
  <si>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</si>
  <si>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</si>
  <si>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</si>
  <si>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</si>
  <si>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</si>
  <si>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</si>
  <si>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</si>
  <si>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</si>
  <si>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</si>
  <si>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</si>
  <si>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</si>
  <si>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</si>
  <si>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</si>
  <si>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</si>
  <si>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</si>
  <si>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</si>
  <si>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</si>
  <si>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</si>
  <si>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</si>
  <si>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</si>
  <si>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</si>
  <si>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</si>
  <si>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</si>
  <si>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</si>
  <si>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</si>
  <si>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</si>
  <si>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</si>
  <si>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</si>
  <si>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</si>
  <si>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</si>
  <si>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</si>
  <si>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</si>
  <si>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</si>
  <si>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</si>
  <si>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</si>
  <si>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</si>
  <si>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</si>
  <si>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</si>
  <si>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</si>
  <si>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</si>
  <si>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</si>
  <si>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</si>
  <si>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</si>
  <si>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</si>
  <si>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</si>
  <si>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</si>
  <si>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</si>
  <si>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</si>
  <si>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</si>
  <si>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</si>
  <si>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</si>
  <si>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</si>
  <si>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</si>
  <si>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</si>
  <si>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</si>
  <si>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</si>
  <si>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</si>
  <si>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</si>
  <si>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</si>
  <si>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</si>
  <si>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</si>
  <si>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</si>
  <si>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</si>
  <si>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</si>
  <si>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</si>
  <si>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</si>
  <si>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</si>
  <si>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</si>
  <si>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</si>
  <si>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</si>
  <si>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</si>
  <si>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</si>
  <si>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</si>
  <si>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</si>
  <si>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</si>
  <si>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</si>
  <si>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</si>
  <si>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</si>
  <si>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</si>
  <si>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</si>
  <si>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</si>
  <si>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</si>
  <si>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</si>
  <si>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Poznámka:</t>
  </si>
  <si>
    <t>Kód</t>
  </si>
  <si>
    <t>949942101RT1</t>
  </si>
  <si>
    <t>S</t>
  </si>
  <si>
    <t>979011111R00</t>
  </si>
  <si>
    <t>979081111R00</t>
  </si>
  <si>
    <t>979081121R00</t>
  </si>
  <si>
    <t>979082111R00</t>
  </si>
  <si>
    <t>979082121R00</t>
  </si>
  <si>
    <t>979086112R00</t>
  </si>
  <si>
    <t>979093111R00</t>
  </si>
  <si>
    <t>979951113R00</t>
  </si>
  <si>
    <t>979990001R00</t>
  </si>
  <si>
    <t>979990161R00</t>
  </si>
  <si>
    <t>712</t>
  </si>
  <si>
    <t>712300841RT1</t>
  </si>
  <si>
    <t>712348206RT3</t>
  </si>
  <si>
    <t>712348310RT1</t>
  </si>
  <si>
    <t>712341559R00</t>
  </si>
  <si>
    <t>628522597</t>
  </si>
  <si>
    <t>712378101RT3</t>
  </si>
  <si>
    <t>712841559R00</t>
  </si>
  <si>
    <t>998712102R00</t>
  </si>
  <si>
    <t>762</t>
  </si>
  <si>
    <t>762441113RT4</t>
  </si>
  <si>
    <t>762495000R00</t>
  </si>
  <si>
    <t>762441188RT1</t>
  </si>
  <si>
    <t>998762102R00</t>
  </si>
  <si>
    <t>764</t>
  </si>
  <si>
    <t>764391840R00</t>
  </si>
  <si>
    <t>764817150RT3</t>
  </si>
  <si>
    <t>998764102R00</t>
  </si>
  <si>
    <t>M21-1</t>
  </si>
  <si>
    <t>210300301</t>
  </si>
  <si>
    <t>210300302</t>
  </si>
  <si>
    <t>210300303</t>
  </si>
  <si>
    <t>210300304</t>
  </si>
  <si>
    <t>210300305</t>
  </si>
  <si>
    <t>210300306</t>
  </si>
  <si>
    <t>210300307</t>
  </si>
  <si>
    <t>210300309</t>
  </si>
  <si>
    <t>210300310</t>
  </si>
  <si>
    <t>210300311</t>
  </si>
  <si>
    <t>210300312</t>
  </si>
  <si>
    <t>210300313</t>
  </si>
  <si>
    <t>210300314</t>
  </si>
  <si>
    <t>210300315</t>
  </si>
  <si>
    <t>210300316</t>
  </si>
  <si>
    <t>210300317</t>
  </si>
  <si>
    <t>210300318</t>
  </si>
  <si>
    <t>210300319</t>
  </si>
  <si>
    <t>210300320</t>
  </si>
  <si>
    <t>210300321</t>
  </si>
  <si>
    <t>210300322</t>
  </si>
  <si>
    <t>210300323</t>
  </si>
  <si>
    <t>210300324</t>
  </si>
  <si>
    <t>210300325</t>
  </si>
  <si>
    <t>210300326</t>
  </si>
  <si>
    <t>210300327</t>
  </si>
  <si>
    <t>210300328</t>
  </si>
  <si>
    <t>210300329</t>
  </si>
  <si>
    <t>210300330</t>
  </si>
  <si>
    <t>210300331</t>
  </si>
  <si>
    <t>210300332</t>
  </si>
  <si>
    <t>210300333</t>
  </si>
  <si>
    <t>210300334</t>
  </si>
  <si>
    <t>210300335</t>
  </si>
  <si>
    <t>210300336</t>
  </si>
  <si>
    <t>M21-2</t>
  </si>
  <si>
    <t>210400401</t>
  </si>
  <si>
    <t>210400402</t>
  </si>
  <si>
    <t>210400403</t>
  </si>
  <si>
    <t>210400404</t>
  </si>
  <si>
    <t>210400405</t>
  </si>
  <si>
    <t>210400406</t>
  </si>
  <si>
    <t>210400407</t>
  </si>
  <si>
    <t>210400408</t>
  </si>
  <si>
    <t>210400409</t>
  </si>
  <si>
    <t>210400410</t>
  </si>
  <si>
    <t>210400411</t>
  </si>
  <si>
    <t>210400412</t>
  </si>
  <si>
    <t>210400413</t>
  </si>
  <si>
    <t>210400414</t>
  </si>
  <si>
    <t>210400415</t>
  </si>
  <si>
    <t>210400416</t>
  </si>
  <si>
    <t>M21-3</t>
  </si>
  <si>
    <t>210500501</t>
  </si>
  <si>
    <t>210500502</t>
  </si>
  <si>
    <t>210500503</t>
  </si>
  <si>
    <t>210500504</t>
  </si>
  <si>
    <t>210500505</t>
  </si>
  <si>
    <t>210500506</t>
  </si>
  <si>
    <t>210500507</t>
  </si>
  <si>
    <t>210500508</t>
  </si>
  <si>
    <t>210500509</t>
  </si>
  <si>
    <t>210500510</t>
  </si>
  <si>
    <t>210500511</t>
  </si>
  <si>
    <t>210500512</t>
  </si>
  <si>
    <t>210500513</t>
  </si>
  <si>
    <t>210500514</t>
  </si>
  <si>
    <t>210500515</t>
  </si>
  <si>
    <t>210500516</t>
  </si>
  <si>
    <t>210500517</t>
  </si>
  <si>
    <t>210500518</t>
  </si>
  <si>
    <t>210500519</t>
  </si>
  <si>
    <t>210500520</t>
  </si>
  <si>
    <t>M21-4</t>
  </si>
  <si>
    <t>210600601</t>
  </si>
  <si>
    <t>210600602</t>
  </si>
  <si>
    <t>210600603</t>
  </si>
  <si>
    <t>210600604</t>
  </si>
  <si>
    <t>210600605</t>
  </si>
  <si>
    <t>210600606</t>
  </si>
  <si>
    <t>210600607</t>
  </si>
  <si>
    <t>210600608</t>
  </si>
  <si>
    <t>210600609</t>
  </si>
  <si>
    <t>210600610</t>
  </si>
  <si>
    <t>210600611</t>
  </si>
  <si>
    <t>210600612</t>
  </si>
  <si>
    <t>210600613</t>
  </si>
  <si>
    <t>210600614</t>
  </si>
  <si>
    <t>210600615</t>
  </si>
  <si>
    <t>210600616</t>
  </si>
  <si>
    <t>210600617</t>
  </si>
  <si>
    <t>210600618</t>
  </si>
  <si>
    <t>210600619</t>
  </si>
  <si>
    <t>M21-5</t>
  </si>
  <si>
    <t>210700701</t>
  </si>
  <si>
    <t>210700702</t>
  </si>
  <si>
    <t>210700703</t>
  </si>
  <si>
    <t>210700704</t>
  </si>
  <si>
    <t>210700705</t>
  </si>
  <si>
    <t>210700706</t>
  </si>
  <si>
    <t>210700707</t>
  </si>
  <si>
    <t>M21-6</t>
  </si>
  <si>
    <t>210800801</t>
  </si>
  <si>
    <t>210800802</t>
  </si>
  <si>
    <t>210800803</t>
  </si>
  <si>
    <t>210800804</t>
  </si>
  <si>
    <t>210800805</t>
  </si>
  <si>
    <t>210800806</t>
  </si>
  <si>
    <t>210800807</t>
  </si>
  <si>
    <t>210800808</t>
  </si>
  <si>
    <t>210800809</t>
  </si>
  <si>
    <t>210800810</t>
  </si>
  <si>
    <t>210800811</t>
  </si>
  <si>
    <t>210800812</t>
  </si>
  <si>
    <t>210800813</t>
  </si>
  <si>
    <t>M21-7</t>
  </si>
  <si>
    <t>210200270</t>
  </si>
  <si>
    <t>210200271</t>
  </si>
  <si>
    <t>210200272</t>
  </si>
  <si>
    <t>210200273</t>
  </si>
  <si>
    <t>210200274</t>
  </si>
  <si>
    <t>210200275</t>
  </si>
  <si>
    <t>210200276</t>
  </si>
  <si>
    <t>M21-8</t>
  </si>
  <si>
    <t>210900901</t>
  </si>
  <si>
    <t>Varianta:</t>
  </si>
  <si>
    <t>210900940</t>
  </si>
  <si>
    <t>210900941</t>
  </si>
  <si>
    <t>210900942</t>
  </si>
  <si>
    <t>210900943</t>
  </si>
  <si>
    <t>210900944</t>
  </si>
  <si>
    <t>0</t>
  </si>
  <si>
    <t>005 10-1010.R</t>
  </si>
  <si>
    <t>005 10-1020.R</t>
  </si>
  <si>
    <t>005 10-1030.R</t>
  </si>
  <si>
    <t>005 12-1020.R</t>
  </si>
  <si>
    <t>005 12-2010.R</t>
  </si>
  <si>
    <t>005 12-4010.R</t>
  </si>
  <si>
    <t>005 12-4060.R</t>
  </si>
  <si>
    <t>005 23-1010.R</t>
  </si>
  <si>
    <t>005-24-1010.R</t>
  </si>
  <si>
    <t>005-24-1020.R</t>
  </si>
  <si>
    <t>005 24-1060.R</t>
  </si>
  <si>
    <t>005 26-1010.R</t>
  </si>
  <si>
    <t>Energetické úspory objektu ZŠ Kaplického v Liberci</t>
  </si>
  <si>
    <t>Zkrácený popis / Varianta</t>
  </si>
  <si>
    <t>Rozměry</t>
  </si>
  <si>
    <t>Budovy A, B, D</t>
  </si>
  <si>
    <t>Lešení a stavební výtahy</t>
  </si>
  <si>
    <t>Práce plošiny MP20 vč.přistavení a dopravy</t>
  </si>
  <si>
    <t>Přesuny sutí</t>
  </si>
  <si>
    <t>Svislá doprava suti a vybour. hmot za 2.NP a 1.PP</t>
  </si>
  <si>
    <t>Odvoz suti a vybour. hmot na skládku do 1 km</t>
  </si>
  <si>
    <t>Příplatek k odvozu za každý další 1 km</t>
  </si>
  <si>
    <t>Vnitrostaveništní doprava suti do 10 m</t>
  </si>
  <si>
    <t>Příplatek k vnitrost. dopravě suti za dalších 5 m</t>
  </si>
  <si>
    <t>Nakládání nebo překládání suti a vybouraných hmot</t>
  </si>
  <si>
    <t>Uložení suti na skládku bez zhutnění</t>
  </si>
  <si>
    <t>Výkup kovů - železný šrot -plechy</t>
  </si>
  <si>
    <t>Poplatek za skládku stavební suti -nečistoty ze střechy</t>
  </si>
  <si>
    <t>Poplatek za skládku suti - dřevo</t>
  </si>
  <si>
    <t>Izolace střech (živičné krytiny)</t>
  </si>
  <si>
    <t>Odstranění mechu a nečistot ze střech plochých do 10° -běžný stupeň znečištění</t>
  </si>
  <si>
    <t>Prostup povlakovou krytinou s manžetou z afaltového pásu, průměr prostupu do 110 mm</t>
  </si>
  <si>
    <t>Oprava střešní kce-hydroizol.manžeta+těsnící objímka+krycí okapnička na potrubí -opracování prostupů střechou</t>
  </si>
  <si>
    <t>Povlaková krytina střech do 10°, NAIP přitavením -1 vrstva -budova A+B+D</t>
  </si>
  <si>
    <t>Pás modifikovaný asfalt SBS tl. 5 mm, s minerálním posypem</t>
  </si>
  <si>
    <t>Střešní ventilační hlavice s manžetou z PVC -pro DN do 110 mm -náhrada poškozených původních</t>
  </si>
  <si>
    <t>Samostatné vytažení izolace, pásy přitavením -1 vrstva -budova A+B+D</t>
  </si>
  <si>
    <t>Přesun hmot pro povlakové krytiny, výšky do 12 m</t>
  </si>
  <si>
    <t>Konstrukce tesařské</t>
  </si>
  <si>
    <t>Montáž obložení atiky,OSB desky,1vrst., kotvením, včetně dodávky desky OSB tl. 22 mm</t>
  </si>
  <si>
    <t>Spojovací a ochranné prostř. obložení stěn, stropů</t>
  </si>
  <si>
    <t>Demontáž dřev.podkladu pod oplech.atiky</t>
  </si>
  <si>
    <t>Přesun hmot pro tesařské konstrukce, výšky do 12 m</t>
  </si>
  <si>
    <t>Konstrukce klempířské</t>
  </si>
  <si>
    <t>Demontáž oplech.střechy-atiky, rš 450 mm</t>
  </si>
  <si>
    <t>Oplechování zdí (atik) z lak.Pz plechu tl.0,6mm, rš 500 mm, s vytvořením falců</t>
  </si>
  <si>
    <t>Přesun hmot pro klempířské konstr., výšky do 12 m</t>
  </si>
  <si>
    <t>Elektromontáže-silnoproud - Hlavní rozvaděč (10kA)</t>
  </si>
  <si>
    <t>Oceloplechová skříňová rozvodnice s rozměry 600 x 2000 x 400 mm, včetně montážní desky a podstavce o výšce 100 mm. Barva světle šedá. Krytí IP00/20.</t>
  </si>
  <si>
    <t>Oceloplechová skříňová rozvodnice s rozměry 800 x 2000 x 400 mm, včetně montážní desky a podstavce o výšce 100 mm. Barva světle šedá. Krytí IP00/20.</t>
  </si>
  <si>
    <t>Bočnice ke skříni 400 x 2000 mm</t>
  </si>
  <si>
    <t>Jistič výkonový 3 pólový, 25kA, 200A pevné provedení</t>
  </si>
  <si>
    <t>Proudový cejchovaný měřící transformátor 200/5, tř. přesnosti 0,5 S.</t>
  </si>
  <si>
    <t>Pojistkový odpínač na panel do 100A typ 000</t>
  </si>
  <si>
    <t>Pojistka 80A typ 000</t>
  </si>
  <si>
    <t>Jistič jednopólový B2/1</t>
  </si>
  <si>
    <t>Jistič jednopólový + proudový chránič 2A/0,03A/B</t>
  </si>
  <si>
    <t>Jistič jednopólový B6/1</t>
  </si>
  <si>
    <t>Jistič jednopólový B10/1</t>
  </si>
  <si>
    <t>Jistič jednopólový + proudový chránič 10A/0,03A/B</t>
  </si>
  <si>
    <t>Jistič jednopólový B16/1</t>
  </si>
  <si>
    <t>Jistič třípólový B16/3</t>
  </si>
  <si>
    <t>Jistič třípólový B25/3</t>
  </si>
  <si>
    <t>Jistič třípólový C25/3</t>
  </si>
  <si>
    <t>Jistič třípólový B40/3</t>
  </si>
  <si>
    <t>Jistič třípólový B160/3</t>
  </si>
  <si>
    <t>Hlavní třípólový 250/3 s vypínací</t>
  </si>
  <si>
    <t>Proudový chránič 25A/4/0,03A</t>
  </si>
  <si>
    <t>Impulsní spínač 16A 230V 1P</t>
  </si>
  <si>
    <t>Vypínací cívka k jistitiči 230V</t>
  </si>
  <si>
    <t>Stykač instalační 2Z/20A/230V</t>
  </si>
  <si>
    <t>Pojistkový odpínač 3-pólový, 32A gG 10 x 38 mm, plombovatelný v zapnutém stavu</t>
  </si>
  <si>
    <t>Pojistka 10 x 38 mm, 2A gG</t>
  </si>
  <si>
    <t>Lišta propojovací, 3pól/10mm2/1m</t>
  </si>
  <si>
    <t>Sběrna měděná 20 x 5 mm (265A)</t>
  </si>
  <si>
    <t>Řadová svorka 2 až 4 mm2</t>
  </si>
  <si>
    <t>Řadová svorka 6 mm2</t>
  </si>
  <si>
    <t>Řadová svorka 10 mm2</t>
  </si>
  <si>
    <t>Přídavná nulová sběrna PA</t>
  </si>
  <si>
    <t>Popis přístrojů, svorek a okruhů</t>
  </si>
  <si>
    <t>Drobný pomocný materiál</t>
  </si>
  <si>
    <t>Protokol o kusové zkoušce a kompletnosti rozvaděče</t>
  </si>
  <si>
    <t>Výrobní štítek</t>
  </si>
  <si>
    <t>Elektromontáže-silnoproud - Rozvaděč R1.1-A (10kA)</t>
  </si>
  <si>
    <t>Oceloplechová zapuštěná rozvodnice o rozměrech 600 x 1200 x 160 mm, včetně montážní desky s lištami a krycími panely. Světle šedá barva, krytí IP30/20</t>
  </si>
  <si>
    <t>Hlavní vypínač na lištu třípólový 40A</t>
  </si>
  <si>
    <t>Svodič přepětí, set 3+1 TNS, třída II (C) 255V, In 20kA, Uc 255VAC, Nominální vybíjecí proud 20kA</t>
  </si>
  <si>
    <t>Jistič jednopólový + proudový chránič 10A/0,03A/B 10kA</t>
  </si>
  <si>
    <t>Jistič třípólový B20/3</t>
  </si>
  <si>
    <t>Proudový chránič 40A/4/0,03A</t>
  </si>
  <si>
    <t>Elektromontáže-silnoproud - Rozvaděč R1-C tělocvična (10kA)</t>
  </si>
  <si>
    <t>Oceloplechová zapuštěná rozvodnice o rozměrech 600 x 1050 x 160 mm, včetně montážní desky s lištami a krycími panely. Světle šedá barva, krytí IP30/20</t>
  </si>
  <si>
    <t>Jistič jednopólový + proudový chránič 6A/0,03A/B</t>
  </si>
  <si>
    <t>Jistič třípólový C32/3</t>
  </si>
  <si>
    <t>Elektromontáže-silnoproud - Rozvaděč R2-A (10kA)</t>
  </si>
  <si>
    <t>Jistič třípólový C2/3</t>
  </si>
  <si>
    <t>Jistič třípólový C10/3</t>
  </si>
  <si>
    <t>Schodišťový automat 1-12 minut, 16A</t>
  </si>
  <si>
    <t>Stykač 10A/3Z/4kW/230V</t>
  </si>
  <si>
    <t>Elektromontáže-silnoproud - Dozbrojení rozvaděče R2.1-B (stáv. R6)</t>
  </si>
  <si>
    <t>Elektromontáže-silnoproud - Rozvaděč R2.2-B - Jídelna (10kA)</t>
  </si>
  <si>
    <t>Bílá plastová zapuštěná rozvodnice s možností instalace až 48 modulů, včetně instalačích lišt a krycího panelu. Krytí IP30/20.</t>
  </si>
  <si>
    <t>Elektromontáže-silnoproud - Společné položky pro rozvaděče</t>
  </si>
  <si>
    <t>Stavební přípomoci</t>
  </si>
  <si>
    <t>Demontáž a likvidace stávajících rozvodů</t>
  </si>
  <si>
    <t>Revize el. zařízení</t>
  </si>
  <si>
    <t>Zkouška a prohlídka rozvodných zařízení</t>
  </si>
  <si>
    <t>Vypracování dokumentace skutečného provedení</t>
  </si>
  <si>
    <t>Proškolení obsluhy</t>
  </si>
  <si>
    <t>Přesun materiálu</t>
  </si>
  <si>
    <t>Elektromontáže-silnoproud - Ochrana před bleskem (Hromosvod)</t>
  </si>
  <si>
    <t>Demontáž a opětovná montáž stávající jímací soustavy vč. podpěr a uchycení</t>
  </si>
  <si>
    <t>10% náhrada</t>
  </si>
  <si>
    <t>Revize a měření</t>
  </si>
  <si>
    <t>Dokumentace skutečného stavu</t>
  </si>
  <si>
    <t>Vedlejší a ostatní rozpočtové náklady</t>
  </si>
  <si>
    <t>Ostatní náklady</t>
  </si>
  <si>
    <t>Kompletační činnost</t>
  </si>
  <si>
    <t>Provoz dalšího subjektu</t>
  </si>
  <si>
    <t>Fotodokumentace díla</t>
  </si>
  <si>
    <t>Zařízení staveniště</t>
  </si>
  <si>
    <t>Provozní a územní vlivy</t>
  </si>
  <si>
    <t>Koordinační činnost</t>
  </si>
  <si>
    <t>Zpracování projektu DIO a vyřízení DIR</t>
  </si>
  <si>
    <t>Revize a zkoušky</t>
  </si>
  <si>
    <t>Dokumentace skut.provedení stavby</t>
  </si>
  <si>
    <t>Výrobní a dílenská dokumentace -rozsah stanoven v technických zprávách stavební části</t>
  </si>
  <si>
    <t>Geodetické práce</t>
  </si>
  <si>
    <t>Pojištění stavby</t>
  </si>
  <si>
    <t>Doba výstavby:</t>
  </si>
  <si>
    <t>Začátek výstavby:</t>
  </si>
  <si>
    <t>Konec výstavby:</t>
  </si>
  <si>
    <t>Zpracováno dne:</t>
  </si>
  <si>
    <t>MJ</t>
  </si>
  <si>
    <t>h</t>
  </si>
  <si>
    <t>t</t>
  </si>
  <si>
    <t>m2</t>
  </si>
  <si>
    <t>kus</t>
  </si>
  <si>
    <t>m</t>
  </si>
  <si>
    <t>Množství</t>
  </si>
  <si>
    <t>Objednatel:</t>
  </si>
  <si>
    <t>Projektant:</t>
  </si>
  <si>
    <t>Zhotovitel:</t>
  </si>
  <si>
    <t>Zpracoval:</t>
  </si>
  <si>
    <t>Cena/MJ</t>
  </si>
  <si>
    <t>(Kč)</t>
  </si>
  <si>
    <t> </t>
  </si>
  <si>
    <t>Náklady (Kč)</t>
  </si>
  <si>
    <t>Dodávka</t>
  </si>
  <si>
    <t>Celkem:</t>
  </si>
  <si>
    <t>Montáž</t>
  </si>
  <si>
    <t>Celkem</t>
  </si>
  <si>
    <t>Cenová</t>
  </si>
  <si>
    <t>soustava</t>
  </si>
  <si>
    <t>RTS I / 2021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</si>
  <si>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</si>
  <si>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</si>
  <si>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</si>
  <si>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</si>
  <si>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</si>
  <si>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</si>
  <si>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</si>
  <si>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</si>
  <si>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</si>
  <si>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SO01</t>
  </si>
  <si>
    <t>VRN</t>
  </si>
  <si>
    <t>94_</t>
  </si>
  <si>
    <t>S_</t>
  </si>
  <si>
    <t>712_</t>
  </si>
  <si>
    <t>762_</t>
  </si>
  <si>
    <t>764_</t>
  </si>
  <si>
    <t>M21-1_</t>
  </si>
  <si>
    <t>M21-2_</t>
  </si>
  <si>
    <t>M21-3_</t>
  </si>
  <si>
    <t>M21-4_</t>
  </si>
  <si>
    <t>M21-5_</t>
  </si>
  <si>
    <t>M21-6_</t>
  </si>
  <si>
    <t>M21-7_</t>
  </si>
  <si>
    <t>M21-8_</t>
  </si>
  <si>
    <t>0_</t>
  </si>
  <si>
    <t>SO01_9_</t>
  </si>
  <si>
    <t>SO01_71_</t>
  </si>
  <si>
    <t>SO01_76_</t>
  </si>
  <si>
    <t>VRN_0_</t>
  </si>
  <si>
    <t>SO01_</t>
  </si>
  <si>
    <t>VRN_</t>
  </si>
  <si>
    <t>MAT</t>
  </si>
  <si>
    <t>WORK</t>
  </si>
  <si>
    <t>CELK</t>
  </si>
  <si>
    <t>ISWORK</t>
  </si>
  <si>
    <t>P</t>
  </si>
  <si>
    <t>M</t>
  </si>
  <si>
    <t>GROUPCODE</t>
  </si>
  <si>
    <t>Slepý stavební rozpočet - rekapitulace</t>
  </si>
  <si>
    <t>Objekt</t>
  </si>
  <si>
    <t>Zkrácený popis</t>
  </si>
  <si>
    <t>Náklady (Kč) - dodávka</t>
  </si>
  <si>
    <t>Náklady (Kč) - Montáž</t>
  </si>
  <si>
    <t>Náklady (Kč) - celkem</t>
  </si>
  <si>
    <t>F</t>
  </si>
  <si>
    <t>T</t>
  </si>
  <si>
    <t>Výkaz výměr</t>
  </si>
  <si>
    <t>0,76+4,109+1,216</t>
  </si>
  <si>
    <t>6,085*24</t>
  </si>
  <si>
    <t>6,085*6</t>
  </si>
  <si>
    <t>0,76</t>
  </si>
  <si>
    <t>4,109</t>
  </si>
  <si>
    <t>1,216</t>
  </si>
  <si>
    <t>(41,9*18,76)+(11,5*0,15)+(42,4*18,76)-1,2*1,2</t>
  </si>
  <si>
    <t>(24,921*14,55)</t>
  </si>
  <si>
    <t>(17,47+17,27+17,27*2+41,06*2)*0,25+(40,55+41,06)*0,3*2</t>
  </si>
  <si>
    <t>(23,421*0,55)+(23,421*0,15)+(13,07*0,35)+(14,15*0,15)</t>
  </si>
  <si>
    <t>3+3+2</t>
  </si>
  <si>
    <t>1944,354</t>
  </si>
  <si>
    <t>;ztratné 10%; 194,4354</t>
  </si>
  <si>
    <t>(17,47+17,27+17,27*2+41,06*2)*0,65+(40,55+41,06)*0,75*2</t>
  </si>
  <si>
    <t>(23,421*0,95)+(23,421*0,55)+(13,07*0,75)+(14,15*0,55)</t>
  </si>
  <si>
    <t>273,542</t>
  </si>
  <si>
    <t>;ztratné 15%; 41,0313</t>
  </si>
  <si>
    <t>19,125</t>
  </si>
  <si>
    <t>304*0,4</t>
  </si>
  <si>
    <t>121,6</t>
  </si>
  <si>
    <t>2,952</t>
  </si>
  <si>
    <t>304</t>
  </si>
  <si>
    <t>1,988</t>
  </si>
  <si>
    <t>Potřebné množství</t>
  </si>
  <si>
    <t>Rozpočtové náklady v Kč</t>
  </si>
  <si>
    <t>A</t>
  </si>
  <si>
    <t>HSV</t>
  </si>
  <si>
    <t>PSV</t>
  </si>
  <si>
    <t>"M"</t>
  </si>
  <si>
    <t>Ostatní materiál</t>
  </si>
  <si>
    <t>Přesun hmot a sutí</t>
  </si>
  <si>
    <t>ZRN celkem</t>
  </si>
  <si>
    <t>Základ 0%</t>
  </si>
  <si>
    <t>Základ 15%</t>
  </si>
  <si>
    <t>Základ 21%</t>
  </si>
  <si>
    <t>Projektant</t>
  </si>
  <si>
    <t>Datum, razítko a podpis</t>
  </si>
  <si>
    <t>Základní rozpočtové náklady</t>
  </si>
  <si>
    <t>Dodávky</t>
  </si>
  <si>
    <t>Krycí list slepého rozpočtu</t>
  </si>
  <si>
    <t>B</t>
  </si>
  <si>
    <t>Práce přesčas</t>
  </si>
  <si>
    <t>Bez pevné podl.</t>
  </si>
  <si>
    <t>Kulturní památka</t>
  </si>
  <si>
    <t>Vedlejší náklady</t>
  </si>
  <si>
    <t>DN celkem</t>
  </si>
  <si>
    <t>DN celkem z obj.</t>
  </si>
  <si>
    <t>DPH 15%</t>
  </si>
  <si>
    <t>DPH 21%</t>
  </si>
  <si>
    <t>Objednatel</t>
  </si>
  <si>
    <t>Doplňkové náklady</t>
  </si>
  <si>
    <t>C</t>
  </si>
  <si>
    <t>Mimostav. doprava</t>
  </si>
  <si>
    <t>Územní vlivy</t>
  </si>
  <si>
    <t>Provozní vlivy</t>
  </si>
  <si>
    <t>Ostatní</t>
  </si>
  <si>
    <t>NUS z rozpočtu</t>
  </si>
  <si>
    <t>NUS celkem</t>
  </si>
  <si>
    <t>NUS celkem z obj.</t>
  </si>
  <si>
    <t>ORN celkem</t>
  </si>
  <si>
    <t>ORN celkem z obj.</t>
  </si>
  <si>
    <t>Celkem bez DPH</t>
  </si>
  <si>
    <t>Celkem včetně DPH</t>
  </si>
  <si>
    <t>Zhotovitel</t>
  </si>
  <si>
    <t>IČ/DIČ:</t>
  </si>
  <si>
    <t>Položek:</t>
  </si>
  <si>
    <t>Datum:</t>
  </si>
  <si>
    <t>Náklady na umístění stavby (NUS)</t>
  </si>
  <si>
    <t>ZŠ Kaplického - střecha a elektrorozváděče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</si>
</sst>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4" x14ac:knownFonts="1">
    <font>
      <sz val="10"/>
      <name val="Arial"/>
    </font>
    <font>
      <sz val="10"/>
      <color indexed="8"/>
      <name val="Arial"/>
      <charset val="238"/>
    </font>
    <font>
      <sz val="18"/>
      <color indexed="8"/>
      <name val="Arial"/>
      <charset val="238"/>
    </font>
    <font>
      <b/>
      <sz val="10"/>
      <color indexed="8"/>
      <name val="Arial"/>
      <charset val="238"/>
    </font>
    <font>
      <sz val="10"/>
      <color indexed="56"/>
      <name val="Arial"/>
      <charset val="238"/>
    </font>
    <font>
      <sz val="10"/>
      <color indexed="61"/>
      <name val="Arial"/>
      <charset val="238"/>
    </font>
    <font>
      <sz val="10"/>
      <color indexed="62"/>
      <name val="Arial"/>
      <charset val="238"/>
    </font>
    <font>
      <i/>
      <sz val="8"/>
      <color indexed="8"/>
      <name val="Arial"/>
      <charset val="238"/>
    </font>
    <font>
      <b/>
      <sz val="10"/>
      <color indexed="54"/>
      <name val="Arial"/>
      <charset val="238"/>
    </font>
    <font>
      <b/>
      <sz val="10"/>
      <color indexed="56"/>
      <name val="Arial"/>
      <charset val="238"/>
    </font>
    <font>
      <i/>
      <sz val="10"/>
      <color indexed="58"/>
      <name val="Arial"/>
      <charset val="238"/>
    </font>
    <font>
      <i/>
      <sz val="10"/>
      <color indexed="59"/>
      <name val="Arial"/>
      <charset val="238"/>
    </font>
    <font>
      <i/>
      <sz val="9"/>
      <color indexed="63"/>
      <name val="Arial"/>
      <charset val="238"/>
    </font>
    <font>
      <i/>
      <sz val="9"/>
      <color indexed="50"/>
      <name val="Arial"/>
      <charset val="238"/>
    </font>
    <font>
      <i/>
      <sz val="9"/>
      <color indexed="61"/>
      <name val="Arial"/>
      <charset val="238"/>
    </font>
    <font>
      <i/>
      <sz val="9"/>
      <color indexed="62"/>
      <name val="Arial"/>
      <charset val="238"/>
    </font>
    <font>
      <b/>
      <sz val="18"/>
      <color indexed="8"/>
      <name val="Arial"/>
      <charset val="238"/>
    </font>
    <font>
      <b/>
      <sz val="20"/>
      <color indexed="8"/>
      <name val="Arial"/>
      <charset val="238"/>
    </font>
    <font>
      <b/>
      <sz val="12"/>
      <color indexed="8"/>
      <name val="Arial"/>
      <charset val="238"/>
    </font>
    <font>
      <sz val="12"/>
      <color indexed="8"/>
      <name val="Arial"/>
      <charset val="238"/>
    </font>
    <font>
      <b/>
      <sz val="11"/>
      <color indexed="8"/>
      <name val="Arial"/>
      <charset val="238"/>
    </font>
    <font>
      <sz val="10"/>
      <color indexed="10"/>
      <name val="Arial"/>
      <charset val="238"/>
    </font>
    <font>
      <b/>
      <sz val="10"/>
      <color indexed="10"/>
      <name val="Arial"/>
      <charset val="238"/>
    </font>
    <font>
      <b/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9"/>
      </patternFill>
    </fill>
    <fill>
      <patternFill patternType="solid">
        <fgColor indexed="57"/>
        <bgColor indexed="9"/>
      </patternFill>
    </fill>
    <fill>
      <patternFill patternType="solid">
        <fgColor indexed="22"/>
        <bgColor indexed="9"/>
      </patternFill>
    </fill>
  </fills>
  <borders count="4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3">
    <xf numFmtId="0" fontId="1" fillId="0" borderId="0" xfId="0" applyFont="1" applyAlignment="1">
      <alignment vertical="center"/>
    </xf>
    <xf numFmtId="49" fontId="3" fillId="0" borderId="5" xfId="0" applyNumberFormat="1" applyFont="1" applyFill="1" applyBorder="1" applyAlignment="1" applyProtection="1">
      <alignment horizontal="left" vertical="center"/>
    </xf>
    <xf numFmtId="49" fontId="1" fillId="0" borderId="6" xfId="0" applyNumberFormat="1" applyFont="1" applyFill="1" applyBorder="1" applyAlignment="1" applyProtection="1">
      <alignment horizontal="left" vertical="center"/>
    </xf>
    <xf numFmtId="49" fontId="4" fillId="3" borderId="3" xfId="0" applyNumberFormat="1" applyFont="1" applyFill="1" applyBorder="1" applyAlignment="1" applyProtection="1">
      <alignment horizontal="left" vertical="center"/>
    </xf>
    <xf numFmtId="49" fontId="5" fillId="0" borderId="3" xfId="0" applyNumberFormat="1" applyFont="1" applyFill="1" applyBorder="1" applyAlignment="1" applyProtection="1">
      <alignment horizontal="left" vertical="center"/>
    </xf>
    <xf numFmtId="49" fontId="6" fillId="0" borderId="3" xfId="0" applyNumberFormat="1" applyFont="1" applyFill="1" applyBorder="1" applyAlignment="1" applyProtection="1">
      <alignment horizontal="left" vertical="center"/>
    </xf>
    <xf numFmtId="0" fontId="1" fillId="0" borderId="3" xfId="0" applyNumberFormat="1" applyFont="1" applyFill="1" applyBorder="1" applyAlignment="1" applyProtection="1">
      <alignment vertical="center"/>
    </xf>
    <xf numFmtId="49" fontId="5" fillId="0" borderId="8" xfId="0" applyNumberFormat="1" applyFont="1" applyFill="1" applyBorder="1" applyAlignment="1" applyProtection="1">
      <alignment horizontal="left" vertical="center"/>
    </xf>
    <xf numFmtId="0" fontId="1" fillId="0" borderId="9" xfId="0" applyNumberFormat="1" applyFont="1" applyFill="1" applyBorder="1" applyAlignment="1" applyProtection="1">
      <alignment vertical="center"/>
    </xf>
    <xf numFmtId="49" fontId="7" fillId="0" borderId="0" xfId="0" applyNumberFormat="1" applyFont="1" applyFill="1" applyBorder="1" applyAlignment="1" applyProtection="1">
      <alignment horizontal="left" vertical="center"/>
    </xf>
    <xf numFmtId="49" fontId="3" fillId="0" borderId="11" xfId="0" applyNumberFormat="1" applyFont="1" applyFill="1" applyBorder="1" applyAlignment="1" applyProtection="1">
      <alignment horizontal="left" vertical="center"/>
    </xf>
    <xf numFmtId="49" fontId="1" fillId="0" borderId="12" xfId="0" applyNumberFormat="1" applyFont="1" applyFill="1" applyBorder="1" applyAlignment="1" applyProtection="1">
      <alignment horizontal="left" vertical="center"/>
    </xf>
    <xf numFmtId="49" fontId="9" fillId="3" borderId="0" xfId="0" applyNumberFormat="1" applyFont="1" applyFill="1" applyBorder="1" applyAlignment="1" applyProtection="1">
      <alignment horizontal="left" vertical="center"/>
    </xf>
    <xf numFmtId="49" fontId="5" fillId="0" borderId="0" xfId="0" applyNumberFormat="1" applyFont="1" applyFill="1" applyBorder="1" applyAlignment="1" applyProtection="1">
      <alignment horizontal="left" vertical="center"/>
    </xf>
    <xf numFmtId="49" fontId="6" fillId="0" borderId="0" xfId="0" applyNumberFormat="1" applyFont="1" applyFill="1" applyBorder="1" applyAlignment="1" applyProtection="1">
      <alignment horizontal="left" vertical="center"/>
    </xf>
    <xf numFmtId="49" fontId="10" fillId="0" borderId="0" xfId="0" applyNumberFormat="1" applyFont="1" applyFill="1" applyBorder="1" applyAlignment="1" applyProtection="1">
      <alignment horizontal="right" vertical="top"/>
    </xf>
    <xf numFmtId="49" fontId="5" fillId="0" borderId="1" xfId="0" applyNumberFormat="1" applyFont="1" applyFill="1" applyBorder="1" applyAlignment="1" applyProtection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49" fontId="4" fillId="3" borderId="0" xfId="0" applyNumberFormat="1" applyFont="1" applyFill="1" applyBorder="1" applyAlignment="1" applyProtection="1">
      <alignment horizontal="left" vertical="center"/>
    </xf>
    <xf numFmtId="49" fontId="3" fillId="0" borderId="11" xfId="0" applyNumberFormat="1" applyFont="1" applyFill="1" applyBorder="1" applyAlignment="1" applyProtection="1">
      <alignment horizontal="center" vertical="center"/>
    </xf>
    <xf numFmtId="4" fontId="5" fillId="0" borderId="0" xfId="0" applyNumberFormat="1" applyFont="1" applyFill="1" applyBorder="1" applyAlignment="1" applyProtection="1">
      <alignment horizontal="right" vertical="center"/>
    </xf>
    <xf numFmtId="4" fontId="6" fillId="0" borderId="0" xfId="0" applyNumberFormat="1" applyFont="1" applyFill="1" applyBorder="1" applyAlignment="1" applyProtection="1">
      <alignment horizontal="right" vertical="center"/>
    </xf>
    <xf numFmtId="4" fontId="5" fillId="0" borderId="1" xfId="0" applyNumberFormat="1" applyFont="1" applyFill="1" applyBorder="1" applyAlignment="1" applyProtection="1">
      <alignment horizontal="right" vertical="center"/>
    </xf>
    <xf numFmtId="49" fontId="3" fillId="0" borderId="16" xfId="0" applyNumberFormat="1" applyFont="1" applyFill="1" applyBorder="1" applyAlignment="1" applyProtection="1">
      <alignment horizontal="center" vertical="center"/>
    </xf>
    <xf numFmtId="49" fontId="3" fillId="0" borderId="17" xfId="0" applyNumberFormat="1" applyFont="1" applyFill="1" applyBorder="1" applyAlignment="1" applyProtection="1">
      <alignment horizontal="center" vertical="center"/>
    </xf>
    <xf numFmtId="49" fontId="3" fillId="0" borderId="19" xfId="0" applyNumberFormat="1" applyFont="1" applyFill="1" applyBorder="1" applyAlignment="1" applyProtection="1">
      <alignment horizontal="center" vertical="center"/>
    </xf>
    <xf numFmtId="49" fontId="3" fillId="0" borderId="21" xfId="0" applyNumberFormat="1" applyFont="1" applyFill="1" applyBorder="1" applyAlignment="1" applyProtection="1">
      <alignment horizontal="center" vertical="center"/>
    </xf>
    <xf numFmtId="49" fontId="3" fillId="0" borderId="23" xfId="0" applyNumberFormat="1" applyFont="1" applyFill="1" applyBorder="1" applyAlignment="1" applyProtection="1">
      <alignment horizontal="center" vertical="center"/>
    </xf>
    <xf numFmtId="49" fontId="3" fillId="0" borderId="26" xfId="0" applyNumberFormat="1" applyFont="1" applyFill="1" applyBorder="1" applyAlignment="1" applyProtection="1">
      <alignment horizontal="center" vertical="center"/>
    </xf>
    <xf numFmtId="49" fontId="3" fillId="0" borderId="27" xfId="0" applyNumberFormat="1" applyFont="1" applyFill="1" applyBorder="1" applyAlignment="1" applyProtection="1">
      <alignment horizontal="center" vertical="center"/>
    </xf>
    <xf numFmtId="49" fontId="9" fillId="3" borderId="25" xfId="0" applyNumberFormat="1" applyFont="1" applyFill="1" applyBorder="1" applyAlignment="1" applyProtection="1">
      <alignment horizontal="right" vertical="center"/>
    </xf>
    <xf numFmtId="49" fontId="5" fillId="0" borderId="25" xfId="0" applyNumberFormat="1" applyFont="1" applyFill="1" applyBorder="1" applyAlignment="1" applyProtection="1">
      <alignment horizontal="right" vertical="center"/>
    </xf>
    <xf numFmtId="49" fontId="6" fillId="0" borderId="25" xfId="0" applyNumberFormat="1" applyFont="1" applyFill="1" applyBorder="1" applyAlignment="1" applyProtection="1">
      <alignment horizontal="right" vertical="center"/>
    </xf>
    <xf numFmtId="49" fontId="5" fillId="0" borderId="28" xfId="0" applyNumberFormat="1" applyFont="1" applyFill="1" applyBorder="1" applyAlignment="1" applyProtection="1">
      <alignment horizontal="right" vertical="center"/>
    </xf>
    <xf numFmtId="0" fontId="1" fillId="0" borderId="29" xfId="0" applyNumberFormat="1" applyFont="1" applyFill="1" applyBorder="1" applyAlignment="1" applyProtection="1">
      <alignment vertical="center"/>
    </xf>
    <xf numFmtId="49" fontId="9" fillId="3" borderId="0" xfId="0" applyNumberFormat="1" applyFont="1" applyFill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alignment horizontal="right" vertical="center"/>
    </xf>
    <xf numFmtId="49" fontId="5" fillId="0" borderId="0" xfId="0" applyNumberFormat="1" applyFont="1" applyFill="1" applyBorder="1" applyAlignment="1" applyProtection="1">
      <alignment horizontal="right" vertical="center"/>
    </xf>
    <xf numFmtId="49" fontId="6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right" vertical="center"/>
    </xf>
    <xf numFmtId="49" fontId="3" fillId="0" borderId="0" xfId="0" applyNumberFormat="1" applyFont="1" applyFill="1" applyBorder="1" applyAlignment="1" applyProtection="1">
      <alignment horizontal="right" vertical="center"/>
    </xf>
    <xf numFmtId="4" fontId="9" fillId="3" borderId="0" xfId="0" applyNumberFormat="1" applyFont="1" applyFill="1" applyBorder="1" applyAlignment="1" applyProtection="1">
      <alignment horizontal="right" vertical="center"/>
    </xf>
    <xf numFmtId="4" fontId="3" fillId="0" borderId="9" xfId="0" applyNumberFormat="1" applyFont="1" applyFill="1" applyBorder="1" applyAlignment="1" applyProtection="1">
      <alignment horizontal="right" vertical="center"/>
    </xf>
    <xf numFmtId="49" fontId="3" fillId="0" borderId="30" xfId="0" applyNumberFormat="1" applyFont="1" applyFill="1" applyBorder="1" applyAlignment="1" applyProtection="1">
      <alignment horizontal="left" vertical="center"/>
    </xf>
    <xf numFmtId="49" fontId="1" fillId="0" borderId="3" xfId="0" applyNumberFormat="1" applyFont="1" applyFill="1" applyBorder="1" applyAlignment="1" applyProtection="1">
      <alignment horizontal="left" vertical="center"/>
    </xf>
    <xf numFmtId="49" fontId="3" fillId="0" borderId="31" xfId="0" applyNumberFormat="1" applyFont="1" applyFill="1" applyBorder="1" applyAlignment="1" applyProtection="1">
      <alignment horizontal="left" vertical="center"/>
    </xf>
    <xf numFmtId="49" fontId="3" fillId="0" borderId="32" xfId="0" applyNumberFormat="1" applyFont="1" applyFill="1" applyBorder="1" applyAlignment="1" applyProtection="1">
      <alignment horizontal="left" vertical="center"/>
    </xf>
    <xf numFmtId="49" fontId="3" fillId="0" borderId="32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left" vertical="center"/>
    </xf>
    <xf numFmtId="4" fontId="3" fillId="0" borderId="0" xfId="0" applyNumberFormat="1" applyFont="1" applyFill="1" applyBorder="1" applyAlignment="1" applyProtection="1">
      <alignment horizontal="right" vertical="center"/>
    </xf>
    <xf numFmtId="49" fontId="5" fillId="0" borderId="7" xfId="0" applyNumberFormat="1" applyFont="1" applyFill="1" applyBorder="1" applyAlignment="1" applyProtection="1">
      <alignment horizontal="left" vertical="center"/>
    </xf>
    <xf numFmtId="49" fontId="5" fillId="0" borderId="13" xfId="0" applyNumberFormat="1" applyFont="1" applyFill="1" applyBorder="1" applyAlignment="1" applyProtection="1">
      <alignment horizontal="left" vertical="center"/>
    </xf>
    <xf numFmtId="49" fontId="12" fillId="0" borderId="0" xfId="0" applyNumberFormat="1" applyFont="1" applyFill="1" applyBorder="1" applyAlignment="1" applyProtection="1">
      <alignment horizontal="left" vertical="center"/>
    </xf>
    <xf numFmtId="49" fontId="3" fillId="0" borderId="32" xfId="0" applyNumberFormat="1" applyFont="1" applyFill="1" applyBorder="1" applyAlignment="1" applyProtection="1">
      <alignment horizontal="right" vertical="center"/>
    </xf>
    <xf numFmtId="4" fontId="14" fillId="0" borderId="0" xfId="0" applyNumberFormat="1" applyFont="1" applyFill="1" applyBorder="1" applyAlignment="1" applyProtection="1">
      <alignment horizontal="right" vertical="center"/>
    </xf>
    <xf numFmtId="4" fontId="15" fillId="0" borderId="0" xfId="0" applyNumberFormat="1" applyFont="1" applyFill="1" applyBorder="1" applyAlignment="1" applyProtection="1">
      <alignment horizontal="right" vertical="center"/>
    </xf>
    <xf numFmtId="49" fontId="3" fillId="0" borderId="36" xfId="0" applyNumberFormat="1" applyFont="1" applyFill="1" applyBorder="1" applyAlignment="1" applyProtection="1">
      <alignment horizontal="left" vertical="center"/>
    </xf>
    <xf numFmtId="4" fontId="5" fillId="0" borderId="14" xfId="0" applyNumberFormat="1" applyFont="1" applyFill="1" applyBorder="1" applyAlignment="1" applyProtection="1">
      <alignment horizontal="right" vertical="center"/>
    </xf>
    <xf numFmtId="0" fontId="1" fillId="0" borderId="25" xfId="0" applyNumberFormat="1" applyFont="1" applyFill="1" applyBorder="1" applyAlignment="1" applyProtection="1">
      <alignment vertical="center"/>
    </xf>
    <xf numFmtId="4" fontId="5" fillId="0" borderId="25" xfId="0" applyNumberFormat="1" applyFont="1" applyFill="1" applyBorder="1" applyAlignment="1" applyProtection="1">
      <alignment horizontal="right" vertical="center"/>
    </xf>
    <xf numFmtId="4" fontId="6" fillId="0" borderId="25" xfId="0" applyNumberFormat="1" applyFont="1" applyFill="1" applyBorder="1" applyAlignment="1" applyProtection="1">
      <alignment horizontal="right" vertical="center"/>
    </xf>
    <xf numFmtId="4" fontId="5" fillId="0" borderId="28" xfId="0" applyNumberFormat="1" applyFont="1" applyFill="1" applyBorder="1" applyAlignment="1" applyProtection="1">
      <alignment horizontal="right" vertical="center"/>
    </xf>
    <xf numFmtId="0" fontId="1" fillId="0" borderId="1" xfId="0" applyNumberFormat="1" applyFont="1" applyFill="1" applyBorder="1" applyAlignment="1" applyProtection="1">
      <alignment vertical="center"/>
    </xf>
    <xf numFmtId="49" fontId="17" fillId="4" borderId="38" xfId="0" applyNumberFormat="1" applyFont="1" applyFill="1" applyBorder="1" applyAlignment="1" applyProtection="1">
      <alignment horizontal="center" vertical="center"/>
    </xf>
    <xf numFmtId="49" fontId="18" fillId="0" borderId="33" xfId="0" applyNumberFormat="1" applyFont="1" applyFill="1" applyBorder="1" applyAlignment="1" applyProtection="1">
      <alignment horizontal="left" vertical="center"/>
    </xf>
    <xf numFmtId="49" fontId="18" fillId="0" borderId="39" xfId="0" applyNumberFormat="1" applyFont="1" applyFill="1" applyBorder="1" applyAlignment="1" applyProtection="1">
      <alignment horizontal="left" vertical="center"/>
    </xf>
    <xf numFmtId="0" fontId="1" fillId="0" borderId="41" xfId="0" applyNumberFormat="1" applyFont="1" applyFill="1" applyBorder="1" applyAlignment="1" applyProtection="1">
      <alignment vertical="center"/>
    </xf>
    <xf numFmtId="49" fontId="7" fillId="0" borderId="13" xfId="0" applyNumberFormat="1" applyFont="1" applyFill="1" applyBorder="1" applyAlignment="1" applyProtection="1">
      <alignment horizontal="left" vertical="center"/>
    </xf>
    <xf numFmtId="49" fontId="19" fillId="0" borderId="38" xfId="0" applyNumberFormat="1" applyFont="1" applyFill="1" applyBorder="1" applyAlignment="1" applyProtection="1">
      <alignment horizontal="left" vertical="center"/>
    </xf>
    <xf numFmtId="0" fontId="1" fillId="0" borderId="13" xfId="0" applyNumberFormat="1" applyFont="1" applyFill="1" applyBorder="1" applyAlignment="1" applyProtection="1">
      <alignment vertical="center"/>
    </xf>
    <xf numFmtId="0" fontId="1" fillId="0" borderId="24" xfId="0" applyNumberFormat="1" applyFont="1" applyFill="1" applyBorder="1" applyAlignment="1" applyProtection="1">
      <alignment vertical="center"/>
    </xf>
    <xf numFmtId="0" fontId="1" fillId="0" borderId="8" xfId="0" applyNumberFormat="1" applyFont="1" applyFill="1" applyBorder="1" applyAlignment="1" applyProtection="1">
      <alignment vertical="center"/>
    </xf>
    <xf numFmtId="4" fontId="19" fillId="0" borderId="38" xfId="0" applyNumberFormat="1" applyFont="1" applyFill="1" applyBorder="1" applyAlignment="1" applyProtection="1">
      <alignment horizontal="right" vertical="center"/>
    </xf>
    <xf numFmtId="49" fontId="19" fillId="0" borderId="38" xfId="0" applyNumberFormat="1" applyFont="1" applyFill="1" applyBorder="1" applyAlignment="1" applyProtection="1">
      <alignment horizontal="right" vertical="center"/>
    </xf>
    <xf numFmtId="4" fontId="19" fillId="0" borderId="21" xfId="0" applyNumberFormat="1" applyFont="1" applyFill="1" applyBorder="1" applyAlignment="1" applyProtection="1">
      <alignment horizontal="right" vertical="center"/>
    </xf>
    <xf numFmtId="0" fontId="1" fillId="0" borderId="14" xfId="0" applyNumberFormat="1" applyFont="1" applyFill="1" applyBorder="1" applyAlignment="1" applyProtection="1">
      <alignment vertical="center"/>
    </xf>
    <xf numFmtId="0" fontId="1" fillId="0" borderId="40" xfId="0" applyNumberFormat="1" applyFont="1" applyFill="1" applyBorder="1" applyAlignment="1" applyProtection="1">
      <alignment vertical="center"/>
    </xf>
    <xf numFmtId="4" fontId="18" fillId="4" borderId="44" xfId="0" applyNumberFormat="1" applyFont="1" applyFill="1" applyBorder="1" applyAlignment="1" applyProtection="1">
      <alignment horizontal="right" vertical="center"/>
    </xf>
    <xf numFmtId="0" fontId="1" fillId="0" borderId="1" xfId="0" applyNumberFormat="1" applyFont="1" applyFill="1" applyBorder="1" applyAlignment="1" applyProtection="1"/>
    <xf numFmtId="164" fontId="5" fillId="0" borderId="13" xfId="0" applyNumberFormat="1" applyFont="1" applyFill="1" applyBorder="1" applyAlignment="1" applyProtection="1">
      <alignment horizontal="right" vertical="center"/>
    </xf>
    <xf numFmtId="164" fontId="5" fillId="0" borderId="0" xfId="0" applyNumberFormat="1" applyFont="1" applyFill="1" applyBorder="1" applyAlignment="1" applyProtection="1">
      <alignment horizontal="right" vertical="center"/>
    </xf>
    <xf numFmtId="164" fontId="14" fillId="0" borderId="0" xfId="0" applyNumberFormat="1" applyFont="1" applyFill="1" applyBorder="1" applyAlignment="1" applyProtection="1">
      <alignment horizontal="right" vertical="center"/>
    </xf>
    <xf numFmtId="164" fontId="6" fillId="0" borderId="0" xfId="0" applyNumberFormat="1" applyFont="1" applyFill="1" applyBorder="1" applyAlignment="1" applyProtection="1">
      <alignment horizontal="right" vertical="center"/>
    </xf>
    <xf numFmtId="164" fontId="15" fillId="0" borderId="0" xfId="0" applyNumberFormat="1" applyFont="1" applyFill="1" applyBorder="1" applyAlignment="1" applyProtection="1">
      <alignment horizontal="right" vertical="center"/>
    </xf>
    <xf numFmtId="164" fontId="5" fillId="0" borderId="1" xfId="0" applyNumberFormat="1" applyFont="1" applyFill="1" applyBorder="1" applyAlignment="1" applyProtection="1">
      <alignment horizontal="right" vertical="center"/>
    </xf>
    <xf numFmtId="164" fontId="1" fillId="0" borderId="0" xfId="0" applyNumberFormat="1" applyFont="1" applyFill="1" applyBorder="1" applyAlignment="1" applyProtection="1">
      <alignment horizontal="right" vertical="center"/>
    </xf>
    <xf numFmtId="4" fontId="1" fillId="0" borderId="25" xfId="0" applyNumberFormat="1" applyFont="1" applyFill="1" applyBorder="1" applyAlignment="1" applyProtection="1">
      <alignment horizontal="right" vertical="center"/>
    </xf>
    <xf numFmtId="49" fontId="21" fillId="2" borderId="7" xfId="0" applyNumberFormat="1" applyFont="1" applyFill="1" applyBorder="1" applyAlignment="1" applyProtection="1">
      <alignment horizontal="left" vertical="center"/>
    </xf>
    <xf numFmtId="49" fontId="22" fillId="2" borderId="13" xfId="0" applyNumberFormat="1" applyFont="1" applyFill="1" applyBorder="1" applyAlignment="1" applyProtection="1">
      <alignment horizontal="left" vertical="center"/>
    </xf>
    <xf numFmtId="49" fontId="21" fillId="2" borderId="13" xfId="0" applyNumberFormat="1" applyFont="1" applyFill="1" applyBorder="1" applyAlignment="1" applyProtection="1">
      <alignment horizontal="left" vertical="center"/>
    </xf>
    <xf numFmtId="4" fontId="22" fillId="2" borderId="13" xfId="0" applyNumberFormat="1" applyFont="1" applyFill="1" applyBorder="1" applyAlignment="1" applyProtection="1">
      <alignment horizontal="right" vertical="center"/>
    </xf>
    <xf numFmtId="49" fontId="22" fillId="2" borderId="14" xfId="0" applyNumberFormat="1" applyFont="1" applyFill="1" applyBorder="1" applyAlignment="1" applyProtection="1">
      <alignment horizontal="right" vertical="center"/>
    </xf>
    <xf numFmtId="49" fontId="1" fillId="0" borderId="25" xfId="0" applyNumberFormat="1" applyFont="1" applyFill="1" applyBorder="1" applyAlignment="1" applyProtection="1">
      <alignment horizontal="right" vertical="center"/>
    </xf>
    <xf numFmtId="49" fontId="21" fillId="2" borderId="3" xfId="0" applyNumberFormat="1" applyFont="1" applyFill="1" applyBorder="1" applyAlignment="1" applyProtection="1">
      <alignment horizontal="left" vertical="center"/>
    </xf>
    <xf numFmtId="49" fontId="22" fillId="2" borderId="0" xfId="0" applyNumberFormat="1" applyFont="1" applyFill="1" applyBorder="1" applyAlignment="1" applyProtection="1">
      <alignment horizontal="left" vertical="center"/>
    </xf>
    <xf numFmtId="49" fontId="21" fillId="2" borderId="0" xfId="0" applyNumberFormat="1" applyFont="1" applyFill="1" applyBorder="1" applyAlignment="1" applyProtection="1">
      <alignment horizontal="left" vertical="center"/>
    </xf>
    <xf numFmtId="4" fontId="22" fillId="2" borderId="0" xfId="0" applyNumberFormat="1" applyFont="1" applyFill="1" applyBorder="1" applyAlignment="1" applyProtection="1">
      <alignment horizontal="right" vertical="center"/>
    </xf>
    <xf numFmtId="49" fontId="22" fillId="2" borderId="25" xfId="0" applyNumberFormat="1" applyFont="1" applyFill="1" applyBorder="1" applyAlignment="1" applyProtection="1">
      <alignment horizontal="right" vertical="center"/>
    </xf>
    <xf numFmtId="49" fontId="23" fillId="0" borderId="3" xfId="0" applyNumberFormat="1" applyFont="1" applyFill="1" applyBorder="1" applyAlignment="1" applyProtection="1">
      <alignment horizontal="left" vertical="center"/>
    </xf>
    <xf numFmtId="49" fontId="23" fillId="0" borderId="0" xfId="0" applyNumberFormat="1" applyFont="1" applyFill="1" applyBorder="1" applyAlignment="1" applyProtection="1">
      <alignment horizontal="left" vertical="center"/>
    </xf>
    <xf numFmtId="4" fontId="23" fillId="0" borderId="0" xfId="0" applyNumberFormat="1" applyFont="1" applyFill="1" applyBorder="1" applyAlignment="1" applyProtection="1">
      <alignment horizontal="right"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32" xfId="0" applyNumberFormat="1" applyFont="1" applyFill="1" applyBorder="1" applyAlignment="1" applyProtection="1">
      <alignment vertical="center"/>
    </xf>
    <xf numFmtId="49" fontId="3" fillId="0" borderId="36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49" fontId="19" fillId="0" borderId="29" xfId="0" applyNumberFormat="1" applyFont="1" applyFill="1" applyBorder="1" applyAlignment="1" applyProtection="1">
      <alignment horizontal="left" vertical="center"/>
    </xf>
    <xf numFmtId="0" fontId="19" fillId="0" borderId="0" xfId="0" applyNumberFormat="1" applyFont="1" applyFill="1" applyBorder="1" applyAlignment="1" applyProtection="1">
      <alignment horizontal="left" vertical="center"/>
    </xf>
    <xf numFmtId="0" fontId="19" fillId="0" borderId="46" xfId="0" applyNumberFormat="1" applyFont="1" applyFill="1" applyBorder="1" applyAlignment="1" applyProtection="1">
      <alignment horizontal="left" vertical="center"/>
    </xf>
    <xf numFmtId="49" fontId="19" fillId="0" borderId="43" xfId="0" applyNumberFormat="1" applyFont="1" applyFill="1" applyBorder="1" applyAlignment="1" applyProtection="1">
      <alignment horizontal="left" vertical="center"/>
    </xf>
    <xf numFmtId="0" fontId="19" fillId="0" borderId="10" xfId="0" applyNumberFormat="1" applyFont="1" applyFill="1" applyBorder="1" applyAlignment="1" applyProtection="1">
      <alignment horizontal="left" vertical="center"/>
    </xf>
    <xf numFmtId="0" fontId="19" fillId="0" borderId="47" xfId="0" applyNumberFormat="1" applyFont="1" applyFill="1" applyBorder="1" applyAlignment="1" applyProtection="1">
      <alignment horizontal="left" vertical="center"/>
    </xf>
    <xf numFmtId="49" fontId="18" fillId="4" borderId="40" xfId="0" applyNumberFormat="1" applyFont="1" applyFill="1" applyBorder="1" applyAlignment="1" applyProtection="1">
      <alignment horizontal="left" vertical="center"/>
    </xf>
    <xf numFmtId="0" fontId="18" fillId="4" borderId="37" xfId="0" applyNumberFormat="1" applyFont="1" applyFill="1" applyBorder="1" applyAlignment="1" applyProtection="1">
      <alignment horizontal="left" vertical="center"/>
    </xf>
    <xf numFmtId="49" fontId="19" fillId="0" borderId="42" xfId="0" applyNumberFormat="1" applyFont="1" applyFill="1" applyBorder="1" applyAlignment="1" applyProtection="1">
      <alignment horizontal="left" vertical="center"/>
    </xf>
    <xf numFmtId="0" fontId="19" fillId="0" borderId="13" xfId="0" applyNumberFormat="1" applyFont="1" applyFill="1" applyBorder="1" applyAlignment="1" applyProtection="1">
      <alignment horizontal="left" vertical="center"/>
    </xf>
    <xf numFmtId="0" fontId="19" fillId="0" borderId="45" xfId="0" applyNumberFormat="1" applyFont="1" applyFill="1" applyBorder="1" applyAlignment="1" applyProtection="1">
      <alignment horizontal="left" vertical="center"/>
    </xf>
    <xf numFmtId="49" fontId="18" fillId="0" borderId="40" xfId="0" applyNumberFormat="1" applyFont="1" applyFill="1" applyBorder="1" applyAlignment="1" applyProtection="1">
      <alignment horizontal="left" vertical="center"/>
    </xf>
    <xf numFmtId="0" fontId="18" fillId="0" borderId="44" xfId="0" applyNumberFormat="1" applyFont="1" applyFill="1" applyBorder="1" applyAlignment="1" applyProtection="1">
      <alignment horizontal="left" vertical="center"/>
    </xf>
    <xf numFmtId="49" fontId="19" fillId="0" borderId="40" xfId="0" applyNumberFormat="1" applyFont="1" applyFill="1" applyBorder="1" applyAlignment="1" applyProtection="1">
      <alignment horizontal="left" vertical="center"/>
    </xf>
    <xf numFmtId="0" fontId="19" fillId="0" borderId="44" xfId="0" applyNumberFormat="1" applyFont="1" applyFill="1" applyBorder="1" applyAlignment="1" applyProtection="1">
      <alignment horizontal="left" vertical="center"/>
    </xf>
    <xf numFmtId="49" fontId="16" fillId="0" borderId="37" xfId="0" applyNumberFormat="1" applyFont="1" applyFill="1" applyBorder="1" applyAlignment="1" applyProtection="1">
      <alignment horizontal="center" vertical="center"/>
    </xf>
    <xf numFmtId="0" fontId="16" fillId="0" borderId="37" xfId="0" applyNumberFormat="1" applyFont="1" applyFill="1" applyBorder="1" applyAlignment="1" applyProtection="1">
      <alignment horizontal="center" vertical="center"/>
    </xf>
    <xf numFmtId="49" fontId="20" fillId="0" borderId="40" xfId="0" applyNumberFormat="1" applyFont="1" applyFill="1" applyBorder="1" applyAlignment="1" applyProtection="1">
      <alignment horizontal="left" vertical="center"/>
    </xf>
    <xf numFmtId="0" fontId="20" fillId="0" borderId="44" xfId="0" applyNumberFormat="1" applyFont="1" applyFill="1" applyBorder="1" applyAlignment="1" applyProtection="1">
      <alignment horizontal="left" vertical="center"/>
    </xf>
    <xf numFmtId="0" fontId="1" fillId="0" borderId="3" xfId="0" applyNumberFormat="1" applyFont="1" applyFill="1" applyBorder="1" applyAlignment="1" applyProtection="1">
      <alignment horizontal="left" vertical="center" wrapText="1"/>
    </xf>
    <xf numFmtId="0" fontId="1" fillId="0" borderId="8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0" fontId="1" fillId="0" borderId="25" xfId="0" applyNumberFormat="1" applyFont="1" applyFill="1" applyBorder="1" applyAlignment="1" applyProtection="1">
      <alignment horizontal="left" vertical="center" wrapText="1"/>
    </xf>
    <xf numFmtId="0" fontId="1" fillId="0" borderId="28" xfId="0" applyNumberFormat="1" applyFont="1" applyFill="1" applyBorder="1" applyAlignment="1" applyProtection="1">
      <alignment horizontal="left" vertical="center"/>
    </xf>
    <xf numFmtId="0" fontId="1" fillId="0" borderId="3" xfId="0" applyNumberFormat="1" applyFont="1" applyFill="1" applyBorder="1" applyAlignment="1" applyProtection="1">
      <alignment horizontal="left" vertical="center"/>
    </xf>
    <xf numFmtId="49" fontId="1" fillId="0" borderId="25" xfId="0" applyNumberFormat="1" applyFont="1" applyFill="1" applyBorder="1" applyAlignment="1" applyProtection="1">
      <alignment horizontal="left" vertical="center"/>
    </xf>
    <xf numFmtId="0" fontId="1" fillId="0" borderId="25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left" vertical="center" wrapText="1"/>
    </xf>
    <xf numFmtId="0" fontId="1" fillId="0" borderId="9" xfId="0" applyNumberFormat="1" applyFont="1" applyFill="1" applyBorder="1" applyAlignment="1" applyProtection="1">
      <alignment horizontal="left" vertical="center"/>
    </xf>
    <xf numFmtId="0" fontId="3" fillId="0" borderId="9" xfId="0" applyNumberFormat="1" applyFont="1" applyFill="1" applyBorder="1" applyAlignment="1" applyProtection="1">
      <alignment horizontal="left" vertical="center" wrapText="1"/>
    </xf>
    <xf numFmtId="0" fontId="3" fillId="0" borderId="9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1" fillId="0" borderId="9" xfId="0" applyNumberFormat="1" applyFont="1" applyFill="1" applyBorder="1" applyAlignment="1" applyProtection="1">
      <alignment horizontal="left" vertical="center" wrapText="1"/>
    </xf>
    <xf numFmtId="49" fontId="1" fillId="0" borderId="24" xfId="0" applyNumberFormat="1" applyFont="1" applyFill="1" applyBorder="1" applyAlignment="1" applyProtection="1">
      <alignment horizontal="left" vertical="center"/>
    </xf>
    <xf numFmtId="49" fontId="23" fillId="0" borderId="0" xfId="0" applyNumberFormat="1" applyFont="1" applyFill="1" applyBorder="1" applyAlignment="1" applyProtection="1">
      <alignment horizontal="left" vertical="center"/>
    </xf>
    <xf numFmtId="0" fontId="23" fillId="0" borderId="0" xfId="0" applyNumberFormat="1" applyFont="1" applyFill="1" applyBorder="1" applyAlignment="1" applyProtection="1">
      <alignment horizontal="left" vertical="center"/>
    </xf>
    <xf numFmtId="49" fontId="2" fillId="0" borderId="1" xfId="0" applyNumberFormat="1" applyFont="1" applyFill="1" applyBorder="1" applyAlignment="1" applyProtection="1">
      <alignment horizontal="center"/>
    </xf>
    <xf numFmtId="49" fontId="1" fillId="0" borderId="9" xfId="0" applyNumberFormat="1" applyFont="1" applyFill="1" applyBorder="1" applyAlignment="1" applyProtection="1">
      <alignment horizontal="left" vertical="center"/>
    </xf>
    <xf numFmtId="0" fontId="1" fillId="0" borderId="24" xfId="0" applyNumberFormat="1" applyFont="1" applyFill="1" applyBorder="1" applyAlignment="1" applyProtection="1">
      <alignment horizontal="left" vertical="center" wrapText="1"/>
    </xf>
    <xf numFmtId="49" fontId="5" fillId="0" borderId="0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>
      <alignment horizontal="left" vertical="center"/>
    </xf>
    <xf numFmtId="49" fontId="5" fillId="0" borderId="1" xfId="0" applyNumberFormat="1" applyFont="1" applyFill="1" applyBorder="1" applyAlignment="1" applyProtection="1">
      <alignment horizontal="left" vertical="center"/>
    </xf>
    <xf numFmtId="0" fontId="5" fillId="0" borderId="1" xfId="0" applyNumberFormat="1" applyFont="1" applyFill="1" applyBorder="1" applyAlignment="1" applyProtection="1">
      <alignment horizontal="left" vertical="center"/>
    </xf>
    <xf numFmtId="49" fontId="3" fillId="0" borderId="9" xfId="0" applyNumberFormat="1" applyFont="1" applyFill="1" applyBorder="1" applyAlignment="1" applyProtection="1">
      <alignment horizontal="left" vertical="center"/>
    </xf>
    <xf numFmtId="49" fontId="22" fillId="2" borderId="0" xfId="0" applyNumberFormat="1" applyFont="1" applyFill="1" applyBorder="1" applyAlignment="1" applyProtection="1">
      <alignment horizontal="left" vertical="center"/>
    </xf>
    <xf numFmtId="0" fontId="8" fillId="2" borderId="0" xfId="0" applyNumberFormat="1" applyFont="1" applyFill="1" applyBorder="1" applyAlignment="1" applyProtection="1">
      <alignment horizontal="left" vertical="center"/>
    </xf>
    <xf numFmtId="49" fontId="9" fillId="3" borderId="0" xfId="0" applyNumberFormat="1" applyFont="1" applyFill="1" applyBorder="1" applyAlignment="1" applyProtection="1">
      <alignment horizontal="left" vertical="center"/>
    </xf>
    <xf numFmtId="0" fontId="9" fillId="3" borderId="0" xfId="0" applyNumberFormat="1" applyFont="1" applyFill="1" applyBorder="1" applyAlignment="1" applyProtection="1">
      <alignment horizontal="left" vertical="center"/>
    </xf>
    <xf numFmtId="0" fontId="11" fillId="0" borderId="0" xfId="0" applyNumberFormat="1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0" borderId="25" xfId="0" applyNumberFormat="1" applyFont="1" applyFill="1" applyBorder="1" applyAlignment="1" applyProtection="1">
      <alignment horizontal="left" vertical="center"/>
    </xf>
    <xf numFmtId="49" fontId="6" fillId="0" borderId="0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horizontal="left" vertical="center"/>
    </xf>
    <xf numFmtId="49" fontId="3" fillId="0" borderId="7" xfId="0" applyNumberFormat="1" applyFont="1" applyFill="1" applyBorder="1" applyAlignment="1" applyProtection="1">
      <alignment horizontal="left" vertical="center"/>
    </xf>
    <xf numFmtId="0" fontId="3" fillId="0" borderId="13" xfId="0" applyNumberFormat="1" applyFont="1" applyFill="1" applyBorder="1" applyAlignment="1" applyProtection="1">
      <alignment horizontal="left" vertical="center"/>
    </xf>
    <xf numFmtId="0" fontId="3" fillId="0" borderId="14" xfId="0" applyNumberFormat="1" applyFont="1" applyFill="1" applyBorder="1" applyAlignment="1" applyProtection="1">
      <alignment horizontal="left" vertical="center"/>
    </xf>
    <xf numFmtId="49" fontId="3" fillId="0" borderId="18" xfId="0" applyNumberFormat="1" applyFont="1" applyFill="1" applyBorder="1" applyAlignment="1" applyProtection="1">
      <alignment horizontal="center" vertical="center"/>
    </xf>
    <xf numFmtId="0" fontId="3" fillId="0" borderId="20" xfId="0" applyNumberFormat="1" applyFont="1" applyFill="1" applyBorder="1" applyAlignment="1" applyProtection="1">
      <alignment horizontal="center" vertical="center"/>
    </xf>
    <xf numFmtId="0" fontId="3" fillId="0" borderId="22" xfId="0" applyNumberFormat="1" applyFont="1" applyFill="1" applyBorder="1" applyAlignment="1" applyProtection="1">
      <alignment horizontal="center" vertical="center"/>
    </xf>
    <xf numFmtId="49" fontId="3" fillId="0" borderId="4" xfId="0" applyNumberFormat="1" applyFont="1" applyFill="1" applyBorder="1" applyAlignment="1" applyProtection="1">
      <alignment horizontal="left" vertical="center"/>
    </xf>
    <xf numFmtId="0" fontId="3" fillId="0" borderId="10" xfId="0" applyNumberFormat="1" applyFont="1" applyFill="1" applyBorder="1" applyAlignment="1" applyProtection="1">
      <alignment horizontal="left" vertical="center"/>
    </xf>
    <xf numFmtId="0" fontId="3" fillId="0" borderId="15" xfId="0" applyNumberFormat="1" applyFont="1" applyFill="1" applyBorder="1" applyAlignment="1" applyProtection="1">
      <alignment horizontal="left" vertical="center"/>
    </xf>
    <xf numFmtId="49" fontId="22" fillId="2" borderId="13" xfId="0" applyNumberFormat="1" applyFont="1" applyFill="1" applyBorder="1" applyAlignment="1" applyProtection="1">
      <alignment horizontal="left" vertical="center"/>
    </xf>
    <xf numFmtId="0" fontId="8" fillId="2" borderId="13" xfId="0" applyNumberFormat="1" applyFont="1" applyFill="1" applyBorder="1" applyAlignment="1" applyProtection="1">
      <alignment horizontal="left" vertical="center"/>
    </xf>
    <xf numFmtId="0" fontId="1" fillId="0" borderId="4" xfId="0" applyNumberFormat="1" applyFont="1" applyFill="1" applyBorder="1" applyAlignment="1" applyProtection="1">
      <alignment horizontal="left" vertical="center"/>
    </xf>
    <xf numFmtId="0" fontId="1" fillId="0" borderId="10" xfId="0" applyNumberFormat="1" applyFont="1" applyFill="1" applyBorder="1" applyAlignment="1" applyProtection="1">
      <alignment horizontal="left" vertical="center"/>
    </xf>
    <xf numFmtId="0" fontId="1" fillId="0" borderId="15" xfId="0" applyNumberFormat="1" applyFont="1" applyFill="1" applyBorder="1" applyAlignment="1" applyProtection="1">
      <alignment horizontal="left" vertical="center"/>
    </xf>
    <xf numFmtId="0" fontId="1" fillId="0" borderId="24" xfId="0" applyNumberFormat="1" applyFont="1" applyFill="1" applyBorder="1" applyAlignment="1" applyProtection="1">
      <alignment horizontal="left" vertical="center"/>
    </xf>
    <xf numFmtId="49" fontId="13" fillId="0" borderId="0" xfId="0" applyNumberFormat="1" applyFont="1" applyFill="1" applyBorder="1" applyAlignment="1" applyProtection="1">
      <alignment horizontal="left" vertical="center"/>
    </xf>
    <xf numFmtId="0" fontId="13" fillId="0" borderId="0" xfId="0" applyNumberFormat="1" applyFont="1" applyFill="1" applyBorder="1" applyAlignment="1" applyProtection="1">
      <alignment horizontal="left" vertical="center"/>
    </xf>
    <xf numFmtId="49" fontId="3" fillId="0" borderId="34" xfId="0" applyNumberFormat="1" applyFont="1" applyFill="1" applyBorder="1" applyAlignment="1" applyProtection="1">
      <alignment horizontal="left" vertical="center"/>
    </xf>
    <xf numFmtId="0" fontId="3" fillId="0" borderId="35" xfId="0" applyNumberFormat="1" applyFont="1" applyFill="1" applyBorder="1" applyAlignment="1" applyProtection="1">
      <alignment horizontal="left" vertical="center"/>
    </xf>
    <xf numFmtId="49" fontId="5" fillId="0" borderId="13" xfId="0" applyNumberFormat="1" applyFont="1" applyFill="1" applyBorder="1" applyAlignment="1" applyProtection="1">
      <alignment horizontal="left" vertical="center"/>
    </xf>
    <xf numFmtId="0" fontId="5" fillId="0" borderId="13" xfId="0" applyNumberFormat="1" applyFont="1" applyFill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000000"/>
      <rgbColor rgb="00000000"/>
      <rgbColor rgb="00000000"/>
      <rgbColor rgb="00DBDBDB"/>
      <rgbColor rgb="00000000"/>
      <rgbColor rgb="00C0C0C0"/>
      <rgbColor rgb="00000000"/>
      <rgbColor rgb="00C0C0C0"/>
      <rgbColor rgb="00000000"/>
      <rgbColor rgb="00000000"/>
      <rgbColor rgb="00000000"/>
      <rgbColor rgb="00000000"/>
      <rgbColor rgb="00000000"/>
      <rgbColor rgb="0000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285750</xdr:colOff>
      <xdr:row>0</xdr:row>
      <xdr:rowOff>885825</xdr:rowOff>
    </xdr:to>
    <xdr:pic>
      <xdr:nvPicPr>
        <xdr:cNvPr id="409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95350" cy="885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447675</xdr:colOff>
      <xdr:row>0</xdr:row>
      <xdr:rowOff>885825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23925" cy="885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657225</xdr:colOff>
      <xdr:row>0</xdr:row>
      <xdr:rowOff>885825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04875" cy="885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285750</xdr:colOff>
      <xdr:row>0</xdr:row>
      <xdr:rowOff>885825</xdr:rowOff>
    </xdr:to>
    <xdr:pic>
      <xdr:nvPicPr>
        <xdr:cNvPr id="30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95350" cy="885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abSelected="1" workbookViewId="0">
      <selection activeCell="C6" sqref="C6:D7"/>
    </sheetView>
  </sheetViews>
  <sheetFormatPr defaultColWidth="11.5546875" defaultRowHeight="13.2" x14ac:dyDescent="0.25"/>
  <cols>
    <col min="1" max="1" width="9.109375" customWidth="1"/>
    <col min="2" max="2" width="12.88671875" customWidth="1"/>
    <col min="3" max="3" width="22.88671875" customWidth="1"/>
    <col min="4" max="4" width="10" customWidth="1"/>
    <col min="5" max="5" width="14" customWidth="1"/>
    <col min="6" max="6" width="22.88671875" customWidth="1"/>
    <col min="7" max="7" width="9.109375" customWidth="1"/>
    <col min="8" max="8" width="12.88671875" customWidth="1"/>
    <col min="9" max="9" width="22.88671875" customWidth="1"/>
  </cols>
  <sheetData>
    <row r="1" spans="1:10" ht="72.900000000000006" customHeight="1" x14ac:dyDescent="0.25">
      <c r="A1" s="78"/>
      <c r="B1" s="62"/>
      <c r="C1" s="134" t="s">
        <v>575</v>
      </c>
      <c r="D1" s="135"/>
      <c r="E1" s="135"/>
      <c r="F1" s="135"/>
      <c r="G1" s="135"/>
      <c r="H1" s="135"/>
      <c r="I1" s="135"/>
    </row>
    <row r="2" spans="1:10" x14ac:dyDescent="0.25">
      <c r="A2" s="136" t="s">
        <v>1</v>
      </c>
      <c r="B2" s="137"/>
      <c r="C2" s="138" t="s">
        <v>604</v>
      </c>
      <c r="D2" s="139"/>
      <c r="E2" s="141" t="s">
        <v>474</v>
      </c>
      <c r="F2" s="141" t="str">
        <f>'Stavební rozpočet'!J2</f>
        <v> </v>
      </c>
      <c r="G2" s="137"/>
      <c r="H2" s="141" t="s">
        <v>600</v>
      </c>
      <c r="I2" s="142"/>
      <c r="J2" s="6"/>
    </row>
    <row r="3" spans="1:10" x14ac:dyDescent="0.25">
      <c r="A3" s="131"/>
      <c r="B3" s="105"/>
      <c r="C3" s="140"/>
      <c r="D3" s="140"/>
      <c r="E3" s="105"/>
      <c r="F3" s="105"/>
      <c r="G3" s="105"/>
      <c r="H3" s="105"/>
      <c r="I3" s="133"/>
      <c r="J3" s="6"/>
    </row>
    <row r="4" spans="1:10" x14ac:dyDescent="0.25">
      <c r="A4" s="125" t="s">
        <v>2</v>
      </c>
      <c r="B4" s="105"/>
      <c r="C4" s="104" t="str">
        <f>'Stavební rozpočet'!C4</f>
        <v xml:space="preserve"> </v>
      </c>
      <c r="D4" s="105"/>
      <c r="E4" s="104" t="s">
        <v>475</v>
      </c>
      <c r="F4" s="104" t="str">
        <f>'Stavební rozpočet'!J4</f>
        <v> </v>
      </c>
      <c r="G4" s="105"/>
      <c r="H4" s="104" t="s">
        <v>600</v>
      </c>
      <c r="I4" s="132"/>
      <c r="J4" s="6"/>
    </row>
    <row r="5" spans="1:10" x14ac:dyDescent="0.25">
      <c r="A5" s="131"/>
      <c r="B5" s="105"/>
      <c r="C5" s="105"/>
      <c r="D5" s="105"/>
      <c r="E5" s="105"/>
      <c r="F5" s="105"/>
      <c r="G5" s="105"/>
      <c r="H5" s="105"/>
      <c r="I5" s="133"/>
      <c r="J5" s="6"/>
    </row>
    <row r="6" spans="1:10" x14ac:dyDescent="0.25">
      <c r="A6" s="125" t="s">
        <v>3</v>
      </c>
      <c r="B6" s="105"/>
      <c r="C6" s="104" t="str">
        <f>'Stavební rozpočet'!C6</f>
        <v xml:space="preserve"> </v>
      </c>
      <c r="D6" s="105"/>
      <c r="E6" s="104" t="s">
        <v>476</v>
      </c>
      <c r="F6" s="104" t="str">
        <f>'Stavební rozpočet'!J6</f>
        <v> </v>
      </c>
      <c r="G6" s="105"/>
      <c r="H6" s="104" t="s">
        <v>600</v>
      </c>
      <c r="I6" s="132"/>
      <c r="J6" s="6"/>
    </row>
    <row r="7" spans="1:10" x14ac:dyDescent="0.25">
      <c r="A7" s="131"/>
      <c r="B7" s="105"/>
      <c r="C7" s="105"/>
      <c r="D7" s="105"/>
      <c r="E7" s="105"/>
      <c r="F7" s="105"/>
      <c r="G7" s="105"/>
      <c r="H7" s="105"/>
      <c r="I7" s="133"/>
      <c r="J7" s="6"/>
    </row>
    <row r="8" spans="1:10" x14ac:dyDescent="0.25">
      <c r="A8" s="125" t="s">
        <v>464</v>
      </c>
      <c r="B8" s="105"/>
      <c r="C8" s="104"/>
      <c r="D8" s="105"/>
      <c r="E8" s="104" t="s">
        <v>465</v>
      </c>
      <c r="F8" s="104"/>
      <c r="G8" s="105"/>
      <c r="H8" s="128" t="s">
        <v>601</v>
      </c>
      <c r="I8" s="132" t="s">
        <v>168</v>
      </c>
      <c r="J8" s="6"/>
    </row>
    <row r="9" spans="1:10" x14ac:dyDescent="0.25">
      <c r="A9" s="131"/>
      <c r="B9" s="105"/>
      <c r="C9" s="105"/>
      <c r="D9" s="105"/>
      <c r="E9" s="105"/>
      <c r="F9" s="105"/>
      <c r="G9" s="105"/>
      <c r="H9" s="105"/>
      <c r="I9" s="133"/>
      <c r="J9" s="6"/>
    </row>
    <row r="10" spans="1:10" x14ac:dyDescent="0.25">
      <c r="A10" s="125" t="s">
        <v>4</v>
      </c>
      <c r="B10" s="105"/>
      <c r="C10" s="104" t="str">
        <f>'Stavební rozpočet'!C8</f>
        <v xml:space="preserve"> </v>
      </c>
      <c r="D10" s="105"/>
      <c r="E10" s="104" t="s">
        <v>477</v>
      </c>
      <c r="F10" s="104" t="str">
        <f>'Stavební rozpočet'!J8</f>
        <v> </v>
      </c>
      <c r="G10" s="105"/>
      <c r="H10" s="128" t="s">
        <v>602</v>
      </c>
      <c r="I10" s="129"/>
      <c r="J10" s="6"/>
    </row>
    <row r="11" spans="1:10" x14ac:dyDescent="0.25">
      <c r="A11" s="126"/>
      <c r="B11" s="127"/>
      <c r="C11" s="127"/>
      <c r="D11" s="127"/>
      <c r="E11" s="127"/>
      <c r="F11" s="127"/>
      <c r="G11" s="127"/>
      <c r="H11" s="127"/>
      <c r="I11" s="130"/>
      <c r="J11" s="6"/>
    </row>
    <row r="12" spans="1:10" ht="23.4" customHeight="1" x14ac:dyDescent="0.25">
      <c r="A12" s="121" t="s">
        <v>560</v>
      </c>
      <c r="B12" s="122"/>
      <c r="C12" s="122"/>
      <c r="D12" s="122"/>
      <c r="E12" s="122"/>
      <c r="F12" s="122"/>
      <c r="G12" s="122"/>
      <c r="H12" s="122"/>
      <c r="I12" s="122"/>
    </row>
    <row r="13" spans="1:10" ht="26.4" customHeight="1" x14ac:dyDescent="0.25">
      <c r="A13" s="63" t="s">
        <v>561</v>
      </c>
      <c r="B13" s="123" t="s">
        <v>573</v>
      </c>
      <c r="C13" s="124"/>
      <c r="D13" s="63" t="s">
        <v>576</v>
      </c>
      <c r="E13" s="123" t="s">
        <v>586</v>
      </c>
      <c r="F13" s="124"/>
      <c r="G13" s="63" t="s">
        <v>587</v>
      </c>
      <c r="H13" s="123" t="s">
        <v>603</v>
      </c>
      <c r="I13" s="124"/>
      <c r="J13" s="6"/>
    </row>
    <row r="14" spans="1:10" ht="15.15" customHeight="1" x14ac:dyDescent="0.25">
      <c r="A14" s="64" t="s">
        <v>562</v>
      </c>
      <c r="B14" s="68" t="s">
        <v>574</v>
      </c>
      <c r="C14" s="72">
        <f>SUM('Stavební rozpočet'!AB12:AB190)</f>
        <v>0</v>
      </c>
      <c r="D14" s="119" t="s">
        <v>577</v>
      </c>
      <c r="E14" s="120"/>
      <c r="F14" s="72">
        <v>0</v>
      </c>
      <c r="G14" s="119" t="s">
        <v>454</v>
      </c>
      <c r="H14" s="120"/>
      <c r="I14" s="73" t="s">
        <v>333</v>
      </c>
      <c r="J14" s="6"/>
    </row>
    <row r="15" spans="1:10" ht="15.15" customHeight="1" x14ac:dyDescent="0.25">
      <c r="A15" s="65"/>
      <c r="B15" s="68" t="s">
        <v>484</v>
      </c>
      <c r="C15" s="72">
        <f>SUM('Stavební rozpočet'!AC12:AC190)</f>
        <v>0</v>
      </c>
      <c r="D15" s="119" t="s">
        <v>578</v>
      </c>
      <c r="E15" s="120"/>
      <c r="F15" s="72">
        <v>0</v>
      </c>
      <c r="G15" s="119" t="s">
        <v>588</v>
      </c>
      <c r="H15" s="120"/>
      <c r="I15" s="73" t="s">
        <v>333</v>
      </c>
      <c r="J15" s="6"/>
    </row>
    <row r="16" spans="1:10" ht="15.15" customHeight="1" x14ac:dyDescent="0.25">
      <c r="A16" s="64" t="s">
        <v>563</v>
      </c>
      <c r="B16" s="68" t="s">
        <v>574</v>
      </c>
      <c r="C16" s="72">
        <f>SUM('Stavební rozpočet'!AD12:AD190)</f>
        <v>0</v>
      </c>
      <c r="D16" s="119" t="s">
        <v>579</v>
      </c>
      <c r="E16" s="120"/>
      <c r="F16" s="72">
        <v>0</v>
      </c>
      <c r="G16" s="119" t="s">
        <v>589</v>
      </c>
      <c r="H16" s="120"/>
      <c r="I16" s="73" t="s">
        <v>333</v>
      </c>
      <c r="J16" s="6"/>
    </row>
    <row r="17" spans="1:10" ht="15.15" customHeight="1" x14ac:dyDescent="0.25">
      <c r="A17" s="65"/>
      <c r="B17" s="68" t="s">
        <v>484</v>
      </c>
      <c r="C17" s="72">
        <f>SUM('Stavební rozpočet'!AE12:AE190)</f>
        <v>0</v>
      </c>
      <c r="D17" s="119" t="s">
        <v>580</v>
      </c>
      <c r="E17" s="120"/>
      <c r="F17" s="72">
        <v>0</v>
      </c>
      <c r="G17" s="119" t="s">
        <v>590</v>
      </c>
      <c r="H17" s="120"/>
      <c r="I17" s="73" t="s">
        <v>333</v>
      </c>
      <c r="J17" s="6"/>
    </row>
    <row r="18" spans="1:10" ht="15.15" customHeight="1" x14ac:dyDescent="0.25">
      <c r="A18" s="64" t="s">
        <v>564</v>
      </c>
      <c r="B18" s="68" t="s">
        <v>574</v>
      </c>
      <c r="C18" s="72">
        <f>SUM('Stavební rozpočet'!AF12:AF190)</f>
        <v>0</v>
      </c>
      <c r="D18" s="119"/>
      <c r="E18" s="120"/>
      <c r="F18" s="73"/>
      <c r="G18" s="119" t="s">
        <v>591</v>
      </c>
      <c r="H18" s="120"/>
      <c r="I18" s="73" t="s">
        <v>333</v>
      </c>
      <c r="J18" s="6"/>
    </row>
    <row r="19" spans="1:10" ht="15.15" customHeight="1" x14ac:dyDescent="0.25">
      <c r="A19" s="65"/>
      <c r="B19" s="68" t="s">
        <v>484</v>
      </c>
      <c r="C19" s="72">
        <f>SUM('Stavební rozpočet'!AG12:AG190)</f>
        <v>0</v>
      </c>
      <c r="D19" s="119"/>
      <c r="E19" s="120"/>
      <c r="F19" s="73"/>
      <c r="G19" s="119" t="s">
        <v>592</v>
      </c>
      <c r="H19" s="120"/>
      <c r="I19" s="73" t="s">
        <v>333</v>
      </c>
      <c r="J19" s="6"/>
    </row>
    <row r="20" spans="1:10" ht="15.15" customHeight="1" x14ac:dyDescent="0.25">
      <c r="A20" s="117" t="s">
        <v>565</v>
      </c>
      <c r="B20" s="118"/>
      <c r="C20" s="72">
        <f>SUM('Stavební rozpočet'!AH12:AH190)</f>
        <v>0</v>
      </c>
      <c r="D20" s="119"/>
      <c r="E20" s="120"/>
      <c r="F20" s="73"/>
      <c r="G20" s="119"/>
      <c r="H20" s="120"/>
      <c r="I20" s="73"/>
      <c r="J20" s="6"/>
    </row>
    <row r="21" spans="1:10" ht="15.15" customHeight="1" x14ac:dyDescent="0.25">
      <c r="A21" s="117" t="s">
        <v>566</v>
      </c>
      <c r="B21" s="118"/>
      <c r="C21" s="72">
        <f>SUM('Stavební rozpočet'!Z12:Z190)</f>
        <v>0</v>
      </c>
      <c r="D21" s="119"/>
      <c r="E21" s="120"/>
      <c r="F21" s="73"/>
      <c r="G21" s="119"/>
      <c r="H21" s="120"/>
      <c r="I21" s="73"/>
      <c r="J21" s="6"/>
    </row>
    <row r="22" spans="1:10" ht="16.649999999999999" customHeight="1" x14ac:dyDescent="0.25">
      <c r="A22" s="117" t="s">
        <v>567</v>
      </c>
      <c r="B22" s="118"/>
      <c r="C22" s="72">
        <f>SUM(C14:C21)</f>
        <v>0</v>
      </c>
      <c r="D22" s="117" t="s">
        <v>581</v>
      </c>
      <c r="E22" s="118"/>
      <c r="F22" s="72">
        <v>0</v>
      </c>
      <c r="G22" s="117" t="s">
        <v>593</v>
      </c>
      <c r="H22" s="118"/>
      <c r="I22" s="72">
        <f>SUM(I14:I21)</f>
        <v>0</v>
      </c>
      <c r="J22" s="6"/>
    </row>
    <row r="23" spans="1:10" ht="15.15" customHeight="1" x14ac:dyDescent="0.25">
      <c r="A23" s="8"/>
      <c r="B23" s="8"/>
      <c r="C23" s="70"/>
      <c r="D23" s="117" t="s">
        <v>582</v>
      </c>
      <c r="E23" s="118"/>
      <c r="F23" s="74">
        <v>0</v>
      </c>
      <c r="G23" s="117" t="s">
        <v>594</v>
      </c>
      <c r="H23" s="118"/>
      <c r="I23" s="72">
        <v>0</v>
      </c>
      <c r="J23" s="6"/>
    </row>
    <row r="24" spans="1:10" ht="15.15" customHeight="1" x14ac:dyDescent="0.25">
      <c r="D24" s="8"/>
      <c r="E24" s="8"/>
      <c r="F24" s="75"/>
      <c r="G24" s="117" t="s">
        <v>595</v>
      </c>
      <c r="H24" s="118"/>
      <c r="I24" s="76"/>
    </row>
    <row r="25" spans="1:10" ht="15.15" customHeight="1" x14ac:dyDescent="0.25">
      <c r="F25" s="58"/>
      <c r="G25" s="117" t="s">
        <v>596</v>
      </c>
      <c r="H25" s="118"/>
      <c r="I25" s="72">
        <v>0</v>
      </c>
      <c r="J25" s="6"/>
    </row>
    <row r="26" spans="1:10" x14ac:dyDescent="0.25">
      <c r="A26" s="62"/>
      <c r="B26" s="62"/>
      <c r="C26" s="62"/>
      <c r="G26" s="8"/>
      <c r="H26" s="8"/>
      <c r="I26" s="8"/>
    </row>
    <row r="27" spans="1:10" ht="15.15" customHeight="1" x14ac:dyDescent="0.25">
      <c r="A27" s="112" t="s">
        <v>568</v>
      </c>
      <c r="B27" s="113"/>
      <c r="C27" s="77">
        <f>SUM('Stavební rozpočet'!AJ12:AJ190)</f>
        <v>0</v>
      </c>
      <c r="D27" s="71"/>
      <c r="E27" s="62"/>
      <c r="F27" s="62"/>
      <c r="G27" s="62"/>
      <c r="H27" s="62"/>
      <c r="I27" s="62"/>
    </row>
    <row r="28" spans="1:10" ht="15.15" customHeight="1" x14ac:dyDescent="0.25">
      <c r="A28" s="112" t="s">
        <v>569</v>
      </c>
      <c r="B28" s="113"/>
      <c r="C28" s="77">
        <f>SUM('Stavební rozpočet'!AK12:AK190)</f>
        <v>0</v>
      </c>
      <c r="D28" s="112" t="s">
        <v>583</v>
      </c>
      <c r="E28" s="113"/>
      <c r="F28" s="77">
        <f>ROUND(C28*(15/100),2)</f>
        <v>0</v>
      </c>
      <c r="G28" s="112" t="s">
        <v>597</v>
      </c>
      <c r="H28" s="113"/>
      <c r="I28" s="77">
        <f>SUM(C27:C29)</f>
        <v>0</v>
      </c>
      <c r="J28" s="6"/>
    </row>
    <row r="29" spans="1:10" ht="15.15" customHeight="1" x14ac:dyDescent="0.25">
      <c r="A29" s="112" t="s">
        <v>570</v>
      </c>
      <c r="B29" s="113"/>
      <c r="C29" s="77">
        <f>SUM('Stavební rozpočet'!AL12:AL190)+(F22+I22+F23+I23+I24+I25)</f>
        <v>0</v>
      </c>
      <c r="D29" s="112" t="s">
        <v>584</v>
      </c>
      <c r="E29" s="113"/>
      <c r="F29" s="77">
        <f>ROUND(C29*(21/100),2)</f>
        <v>0</v>
      </c>
      <c r="G29" s="112" t="s">
        <v>598</v>
      </c>
      <c r="H29" s="113"/>
      <c r="I29" s="77">
        <f>SUM(F28:F29)+I28</f>
        <v>0</v>
      </c>
      <c r="J29" s="6"/>
    </row>
    <row r="30" spans="1:10" x14ac:dyDescent="0.25">
      <c r="A30" s="66"/>
      <c r="B30" s="66"/>
      <c r="C30" s="66"/>
      <c r="D30" s="66"/>
      <c r="E30" s="66"/>
      <c r="F30" s="66"/>
      <c r="G30" s="66"/>
      <c r="H30" s="66"/>
      <c r="I30" s="66"/>
    </row>
    <row r="31" spans="1:10" ht="14.4" customHeight="1" x14ac:dyDescent="0.25">
      <c r="A31" s="114" t="s">
        <v>571</v>
      </c>
      <c r="B31" s="115"/>
      <c r="C31" s="116"/>
      <c r="D31" s="114" t="s">
        <v>585</v>
      </c>
      <c r="E31" s="115"/>
      <c r="F31" s="116"/>
      <c r="G31" s="114" t="s">
        <v>599</v>
      </c>
      <c r="H31" s="115"/>
      <c r="I31" s="116"/>
      <c r="J31" s="34"/>
    </row>
    <row r="32" spans="1:10" ht="14.4" customHeight="1" x14ac:dyDescent="0.25">
      <c r="A32" s="106"/>
      <c r="B32" s="107"/>
      <c r="C32" s="108"/>
      <c r="D32" s="106"/>
      <c r="E32" s="107"/>
      <c r="F32" s="108"/>
      <c r="G32" s="106"/>
      <c r="H32" s="107"/>
      <c r="I32" s="108"/>
      <c r="J32" s="34"/>
    </row>
    <row r="33" spans="1:10" ht="14.4" customHeight="1" x14ac:dyDescent="0.25">
      <c r="A33" s="106"/>
      <c r="B33" s="107"/>
      <c r="C33" s="108"/>
      <c r="D33" s="106"/>
      <c r="E33" s="107"/>
      <c r="F33" s="108"/>
      <c r="G33" s="106"/>
      <c r="H33" s="107"/>
      <c r="I33" s="108"/>
      <c r="J33" s="34"/>
    </row>
    <row r="34" spans="1:10" ht="14.4" customHeight="1" x14ac:dyDescent="0.25">
      <c r="A34" s="106"/>
      <c r="B34" s="107"/>
      <c r="C34" s="108"/>
      <c r="D34" s="106"/>
      <c r="E34" s="107"/>
      <c r="F34" s="108"/>
      <c r="G34" s="106"/>
      <c r="H34" s="107"/>
      <c r="I34" s="108"/>
      <c r="J34" s="34"/>
    </row>
    <row r="35" spans="1:10" ht="14.4" customHeight="1" x14ac:dyDescent="0.25">
      <c r="A35" s="109" t="s">
        <v>572</v>
      </c>
      <c r="B35" s="110"/>
      <c r="C35" s="111"/>
      <c r="D35" s="109" t="s">
        <v>572</v>
      </c>
      <c r="E35" s="110"/>
      <c r="F35" s="111"/>
      <c r="G35" s="109" t="s">
        <v>572</v>
      </c>
      <c r="H35" s="110"/>
      <c r="I35" s="111"/>
      <c r="J35" s="34"/>
    </row>
    <row r="36" spans="1:10" ht="11.25" customHeight="1" x14ac:dyDescent="0.25">
      <c r="A36" s="67" t="s">
        <v>169</v>
      </c>
      <c r="B36" s="69"/>
      <c r="C36" s="69"/>
      <c r="D36" s="69"/>
      <c r="E36" s="69"/>
      <c r="F36" s="69"/>
      <c r="G36" s="69"/>
      <c r="H36" s="69"/>
      <c r="I36" s="69"/>
    </row>
    <row r="37" spans="1:10" x14ac:dyDescent="0.25">
      <c r="A37" s="104"/>
      <c r="B37" s="105"/>
      <c r="C37" s="105"/>
      <c r="D37" s="105"/>
      <c r="E37" s="105"/>
      <c r="F37" s="105"/>
      <c r="G37" s="105"/>
      <c r="H37" s="105"/>
      <c r="I37" s="105"/>
    </row>
  </sheetData>
  <mergeCells count="83">
    <mergeCell ref="C1:I1"/>
    <mergeCell ref="A2:B3"/>
    <mergeCell ref="C2:D3"/>
    <mergeCell ref="E2:E3"/>
    <mergeCell ref="F2:G3"/>
    <mergeCell ref="H2:H3"/>
    <mergeCell ref="I2:I3"/>
    <mergeCell ref="I6:I7"/>
    <mergeCell ref="A4:B5"/>
    <mergeCell ref="C4:D5"/>
    <mergeCell ref="E4:E5"/>
    <mergeCell ref="F4:G5"/>
    <mergeCell ref="H4:H5"/>
    <mergeCell ref="I4:I5"/>
    <mergeCell ref="A6:B7"/>
    <mergeCell ref="C6:D7"/>
    <mergeCell ref="E6:E7"/>
    <mergeCell ref="F6:G7"/>
    <mergeCell ref="H6:H7"/>
    <mergeCell ref="I10:I11"/>
    <mergeCell ref="A8:B9"/>
    <mergeCell ref="C8:D9"/>
    <mergeCell ref="E8:E9"/>
    <mergeCell ref="F8:G9"/>
    <mergeCell ref="H8:H9"/>
    <mergeCell ref="I8:I9"/>
    <mergeCell ref="A10:B11"/>
    <mergeCell ref="C10:D11"/>
    <mergeCell ref="E10:E11"/>
    <mergeCell ref="F10:G11"/>
    <mergeCell ref="H10:H11"/>
    <mergeCell ref="A12:I12"/>
    <mergeCell ref="B13:C13"/>
    <mergeCell ref="E13:F13"/>
    <mergeCell ref="H13:I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A20:B20"/>
    <mergeCell ref="D20:E20"/>
    <mergeCell ref="G20:H20"/>
    <mergeCell ref="A28:B28"/>
    <mergeCell ref="D28:E28"/>
    <mergeCell ref="G28:H28"/>
    <mergeCell ref="A21:B21"/>
    <mergeCell ref="D21:E21"/>
    <mergeCell ref="G21:H21"/>
    <mergeCell ref="A22:B22"/>
    <mergeCell ref="D22:E22"/>
    <mergeCell ref="G22:H22"/>
    <mergeCell ref="D23:E23"/>
    <mergeCell ref="G23:H23"/>
    <mergeCell ref="G24:H24"/>
    <mergeCell ref="G25:H25"/>
    <mergeCell ref="A27:B27"/>
    <mergeCell ref="A29:B29"/>
    <mergeCell ref="D29:E29"/>
    <mergeCell ref="G29:H29"/>
    <mergeCell ref="A31:C31"/>
    <mergeCell ref="D31:F31"/>
    <mergeCell ref="G31:I31"/>
    <mergeCell ref="A32:C32"/>
    <mergeCell ref="D32:F32"/>
    <mergeCell ref="G32:I32"/>
    <mergeCell ref="A33:C33"/>
    <mergeCell ref="D33:F33"/>
    <mergeCell ref="G33:I33"/>
    <mergeCell ref="A37:I37"/>
    <mergeCell ref="A34:C34"/>
    <mergeCell ref="D34:F34"/>
    <mergeCell ref="G34:I34"/>
    <mergeCell ref="A35:C35"/>
    <mergeCell ref="D35:F35"/>
    <mergeCell ref="G35:I35"/>
  </mergeCells>
  <pageMargins left="0.39400000000000002" right="0.39400000000000002" top="0.59099999999999997" bottom="0.59099999999999997" header="0.5" footer="0.5"/>
  <pageSetup paperSize="0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workbookViewId="0">
      <pane ySplit="10" topLeftCell="A11" activePane="bottomLeft" state="frozenSplit"/>
      <selection pane="bottomLeft" activeCell="A2" sqref="A2:B3"/>
    </sheetView>
  </sheetViews>
  <sheetFormatPr defaultColWidth="11.5546875" defaultRowHeight="13.2" x14ac:dyDescent="0.25"/>
  <cols>
    <col min="1" max="2" width="7.109375" customWidth="1"/>
    <col min="3" max="3" width="57.109375" customWidth="1"/>
    <col min="4" max="4" width="16.109375" customWidth="1"/>
    <col min="5" max="5" width="22.109375" hidden="1" customWidth="1"/>
    <col min="6" max="6" width="21" hidden="1" customWidth="1"/>
    <col min="7" max="7" width="20.88671875" customWidth="1"/>
    <col min="8" max="9" width="0" hidden="1" customWidth="1"/>
  </cols>
  <sheetData>
    <row r="1" spans="1:9" ht="72.900000000000006" customHeight="1" x14ac:dyDescent="0.4">
      <c r="A1" s="145" t="s">
        <v>527</v>
      </c>
      <c r="B1" s="135"/>
      <c r="C1" s="135"/>
      <c r="D1" s="135"/>
      <c r="E1" s="135"/>
      <c r="F1" s="135"/>
      <c r="G1" s="135"/>
    </row>
    <row r="2" spans="1:9" x14ac:dyDescent="0.25">
      <c r="A2" s="136" t="s">
        <v>1</v>
      </c>
      <c r="B2" s="137"/>
      <c r="C2" s="138" t="str">
        <f>'Stavební rozpočet'!C2</f>
        <v>Energetické úspory objektu ZŠ Kaplického v Liberci</v>
      </c>
      <c r="D2" s="146" t="s">
        <v>463</v>
      </c>
      <c r="E2" s="146" t="s">
        <v>6</v>
      </c>
      <c r="F2" s="141" t="s">
        <v>474</v>
      </c>
      <c r="G2" s="147" t="str">
        <f>'Stavební rozpočet'!J2</f>
        <v> </v>
      </c>
      <c r="H2" s="6"/>
    </row>
    <row r="3" spans="1:9" x14ac:dyDescent="0.25">
      <c r="A3" s="131"/>
      <c r="B3" s="105"/>
      <c r="C3" s="140"/>
      <c r="D3" s="105"/>
      <c r="E3" s="105"/>
      <c r="F3" s="105"/>
      <c r="G3" s="133"/>
      <c r="H3" s="6"/>
    </row>
    <row r="4" spans="1:9" x14ac:dyDescent="0.25">
      <c r="A4" s="125" t="s">
        <v>2</v>
      </c>
      <c r="B4" s="105"/>
      <c r="C4" s="104" t="str">
        <f>'Stavební rozpočet'!C4</f>
        <v xml:space="preserve"> </v>
      </c>
      <c r="D4" s="128" t="s">
        <v>464</v>
      </c>
      <c r="E4" s="128"/>
      <c r="F4" s="104" t="s">
        <v>475</v>
      </c>
      <c r="G4" s="129" t="str">
        <f>'Stavební rozpočet'!J4</f>
        <v> </v>
      </c>
      <c r="H4" s="6"/>
    </row>
    <row r="5" spans="1:9" x14ac:dyDescent="0.25">
      <c r="A5" s="131"/>
      <c r="B5" s="105"/>
      <c r="C5" s="105"/>
      <c r="D5" s="105"/>
      <c r="E5" s="105"/>
      <c r="F5" s="105"/>
      <c r="G5" s="133"/>
      <c r="H5" s="6"/>
    </row>
    <row r="6" spans="1:9" x14ac:dyDescent="0.25">
      <c r="A6" s="125" t="s">
        <v>3</v>
      </c>
      <c r="B6" s="105"/>
      <c r="C6" s="104" t="str">
        <f>'Stavební rozpočet'!C6</f>
        <v xml:space="preserve"> </v>
      </c>
      <c r="D6" s="128" t="s">
        <v>465</v>
      </c>
      <c r="E6" s="128"/>
      <c r="F6" s="104" t="s">
        <v>476</v>
      </c>
      <c r="G6" s="129" t="str">
        <f>'Stavební rozpočet'!J6</f>
        <v> </v>
      </c>
      <c r="H6" s="6"/>
    </row>
    <row r="7" spans="1:9" x14ac:dyDescent="0.25">
      <c r="A7" s="131"/>
      <c r="B7" s="105"/>
      <c r="C7" s="105"/>
      <c r="D7" s="105"/>
      <c r="E7" s="105"/>
      <c r="F7" s="105"/>
      <c r="G7" s="133"/>
      <c r="H7" s="6"/>
    </row>
    <row r="8" spans="1:9" x14ac:dyDescent="0.25">
      <c r="A8" s="125" t="s">
        <v>477</v>
      </c>
      <c r="B8" s="105"/>
      <c r="C8" s="104" t="str">
        <f>'Stavební rozpočet'!J8</f>
        <v> </v>
      </c>
      <c r="D8" s="128" t="s">
        <v>466</v>
      </c>
      <c r="E8" s="128"/>
      <c r="F8" s="128" t="s">
        <v>466</v>
      </c>
      <c r="G8" s="129"/>
      <c r="H8" s="6"/>
    </row>
    <row r="9" spans="1:9" ht="13.8" thickBot="1" x14ac:dyDescent="0.3">
      <c r="A9" s="131"/>
      <c r="B9" s="105"/>
      <c r="C9" s="105"/>
      <c r="D9" s="105"/>
      <c r="E9" s="105"/>
      <c r="F9" s="105"/>
      <c r="G9" s="133"/>
      <c r="H9" s="6"/>
    </row>
    <row r="10" spans="1:9" ht="13.8" thickBot="1" x14ac:dyDescent="0.3">
      <c r="A10" s="43" t="s">
        <v>528</v>
      </c>
      <c r="B10" s="45" t="s">
        <v>170</v>
      </c>
      <c r="C10" s="46" t="s">
        <v>529</v>
      </c>
      <c r="D10" s="102"/>
      <c r="E10" s="47" t="s">
        <v>530</v>
      </c>
      <c r="F10" s="47" t="s">
        <v>531</v>
      </c>
      <c r="G10" s="103" t="s">
        <v>532</v>
      </c>
      <c r="H10" s="101"/>
    </row>
    <row r="11" spans="1:9" x14ac:dyDescent="0.25">
      <c r="A11" s="98" t="s">
        <v>498</v>
      </c>
      <c r="B11" s="99"/>
      <c r="C11" s="143" t="s">
        <v>349</v>
      </c>
      <c r="D11" s="144"/>
      <c r="E11" s="100">
        <f>'Stavební rozpočet'!J12</f>
        <v>0</v>
      </c>
      <c r="F11" s="100">
        <f>'Stavební rozpočet'!K12</f>
        <v>0</v>
      </c>
      <c r="G11" s="100">
        <f>'Stavební rozpočet'!L12</f>
        <v>0</v>
      </c>
      <c r="H11" s="36" t="s">
        <v>533</v>
      </c>
      <c r="I11" s="36">
        <f t="shared" ref="I11:I26" si="0">IF(H11="F",0,G11)</f>
        <v>0</v>
      </c>
    </row>
    <row r="12" spans="1:9" x14ac:dyDescent="0.25">
      <c r="A12" s="44" t="s">
        <v>498</v>
      </c>
      <c r="B12" s="17" t="s">
        <v>100</v>
      </c>
      <c r="C12" s="128" t="s">
        <v>350</v>
      </c>
      <c r="D12" s="105"/>
      <c r="E12" s="36">
        <f>'Stavební rozpočet'!J13</f>
        <v>0</v>
      </c>
      <c r="F12" s="36">
        <f>'Stavební rozpočet'!K13</f>
        <v>0</v>
      </c>
      <c r="G12" s="36">
        <f>'Stavební rozpočet'!L13</f>
        <v>0</v>
      </c>
      <c r="H12" s="36" t="s">
        <v>534</v>
      </c>
      <c r="I12" s="36">
        <f t="shared" si="0"/>
        <v>0</v>
      </c>
    </row>
    <row r="13" spans="1:9" x14ac:dyDescent="0.25">
      <c r="A13" s="44" t="s">
        <v>498</v>
      </c>
      <c r="B13" s="17" t="s">
        <v>172</v>
      </c>
      <c r="C13" s="128" t="s">
        <v>352</v>
      </c>
      <c r="D13" s="105"/>
      <c r="E13" s="36">
        <f>'Stavební rozpočet'!J15</f>
        <v>0</v>
      </c>
      <c r="F13" s="36">
        <f>'Stavební rozpočet'!K15</f>
        <v>0</v>
      </c>
      <c r="G13" s="36">
        <f>'Stavební rozpočet'!L15</f>
        <v>0</v>
      </c>
      <c r="H13" s="36" t="s">
        <v>534</v>
      </c>
      <c r="I13" s="36">
        <f t="shared" si="0"/>
        <v>0</v>
      </c>
    </row>
    <row r="14" spans="1:9" x14ac:dyDescent="0.25">
      <c r="A14" s="44" t="s">
        <v>498</v>
      </c>
      <c r="B14" s="17" t="s">
        <v>183</v>
      </c>
      <c r="C14" s="128" t="s">
        <v>363</v>
      </c>
      <c r="D14" s="105"/>
      <c r="E14" s="36">
        <f>'Stavební rozpočet'!J26</f>
        <v>0</v>
      </c>
      <c r="F14" s="36">
        <f>'Stavební rozpočet'!K26</f>
        <v>0</v>
      </c>
      <c r="G14" s="36">
        <f>'Stavební rozpočet'!L26</f>
        <v>0</v>
      </c>
      <c r="H14" s="36" t="s">
        <v>534</v>
      </c>
      <c r="I14" s="36">
        <f t="shared" si="0"/>
        <v>0</v>
      </c>
    </row>
    <row r="15" spans="1:9" x14ac:dyDescent="0.25">
      <c r="A15" s="44" t="s">
        <v>498</v>
      </c>
      <c r="B15" s="17" t="s">
        <v>192</v>
      </c>
      <c r="C15" s="128" t="s">
        <v>372</v>
      </c>
      <c r="D15" s="105"/>
      <c r="E15" s="36">
        <f>'Stavební rozpočet'!J36</f>
        <v>0</v>
      </c>
      <c r="F15" s="36">
        <f>'Stavební rozpočet'!K36</f>
        <v>0</v>
      </c>
      <c r="G15" s="36">
        <f>'Stavební rozpočet'!L36</f>
        <v>0</v>
      </c>
      <c r="H15" s="36" t="s">
        <v>534</v>
      </c>
      <c r="I15" s="36">
        <f t="shared" si="0"/>
        <v>0</v>
      </c>
    </row>
    <row r="16" spans="1:9" x14ac:dyDescent="0.25">
      <c r="A16" s="44" t="s">
        <v>498</v>
      </c>
      <c r="B16" s="17" t="s">
        <v>197</v>
      </c>
      <c r="C16" s="128" t="s">
        <v>377</v>
      </c>
      <c r="D16" s="105"/>
      <c r="E16" s="36">
        <f>'Stavební rozpočet'!J41</f>
        <v>0</v>
      </c>
      <c r="F16" s="36">
        <f>'Stavební rozpočet'!K41</f>
        <v>0</v>
      </c>
      <c r="G16" s="36">
        <f>'Stavební rozpočet'!L41</f>
        <v>0</v>
      </c>
      <c r="H16" s="36" t="s">
        <v>534</v>
      </c>
      <c r="I16" s="36">
        <f t="shared" si="0"/>
        <v>0</v>
      </c>
    </row>
    <row r="17" spans="1:9" x14ac:dyDescent="0.25">
      <c r="A17" s="44" t="s">
        <v>498</v>
      </c>
      <c r="B17" s="17" t="s">
        <v>201</v>
      </c>
      <c r="C17" s="128" t="s">
        <v>381</v>
      </c>
      <c r="D17" s="105"/>
      <c r="E17" s="36">
        <f>'Stavební rozpočet'!J45</f>
        <v>0</v>
      </c>
      <c r="F17" s="36">
        <f>'Stavební rozpočet'!K45</f>
        <v>0</v>
      </c>
      <c r="G17" s="36">
        <f>'Stavební rozpočet'!L45</f>
        <v>0</v>
      </c>
      <c r="H17" s="36" t="s">
        <v>534</v>
      </c>
      <c r="I17" s="36">
        <f t="shared" si="0"/>
        <v>0</v>
      </c>
    </row>
    <row r="18" spans="1:9" x14ac:dyDescent="0.25">
      <c r="A18" s="44" t="s">
        <v>498</v>
      </c>
      <c r="B18" s="17" t="s">
        <v>237</v>
      </c>
      <c r="C18" s="128" t="s">
        <v>417</v>
      </c>
      <c r="D18" s="105"/>
      <c r="E18" s="36">
        <f>'Stavební rozpočet'!J81</f>
        <v>0</v>
      </c>
      <c r="F18" s="36">
        <f>'Stavební rozpočet'!K81</f>
        <v>0</v>
      </c>
      <c r="G18" s="36">
        <f>'Stavební rozpočet'!L81</f>
        <v>0</v>
      </c>
      <c r="H18" s="36" t="s">
        <v>534</v>
      </c>
      <c r="I18" s="36">
        <f t="shared" si="0"/>
        <v>0</v>
      </c>
    </row>
    <row r="19" spans="1:9" x14ac:dyDescent="0.25">
      <c r="A19" s="44" t="s">
        <v>498</v>
      </c>
      <c r="B19" s="17" t="s">
        <v>254</v>
      </c>
      <c r="C19" s="128" t="s">
        <v>424</v>
      </c>
      <c r="D19" s="105"/>
      <c r="E19" s="36">
        <f>'Stavební rozpočet'!J98</f>
        <v>0</v>
      </c>
      <c r="F19" s="36">
        <f>'Stavební rozpočet'!K98</f>
        <v>0</v>
      </c>
      <c r="G19" s="36">
        <f>'Stavební rozpočet'!L98</f>
        <v>0</v>
      </c>
      <c r="H19" s="36" t="s">
        <v>534</v>
      </c>
      <c r="I19" s="36">
        <f t="shared" si="0"/>
        <v>0</v>
      </c>
    </row>
    <row r="20" spans="1:9" x14ac:dyDescent="0.25">
      <c r="A20" s="44" t="s">
        <v>498</v>
      </c>
      <c r="B20" s="17" t="s">
        <v>275</v>
      </c>
      <c r="C20" s="128" t="s">
        <v>428</v>
      </c>
      <c r="D20" s="105"/>
      <c r="E20" s="36">
        <f>'Stavební rozpočet'!J119</f>
        <v>0</v>
      </c>
      <c r="F20" s="36">
        <f>'Stavební rozpočet'!K119</f>
        <v>0</v>
      </c>
      <c r="G20" s="36">
        <f>'Stavební rozpočet'!L119</f>
        <v>0</v>
      </c>
      <c r="H20" s="36" t="s">
        <v>534</v>
      </c>
      <c r="I20" s="36">
        <f t="shared" si="0"/>
        <v>0</v>
      </c>
    </row>
    <row r="21" spans="1:9" x14ac:dyDescent="0.25">
      <c r="A21" s="44" t="s">
        <v>498</v>
      </c>
      <c r="B21" s="17" t="s">
        <v>295</v>
      </c>
      <c r="C21" s="128" t="s">
        <v>433</v>
      </c>
      <c r="D21" s="105"/>
      <c r="E21" s="36">
        <f>'Stavební rozpočet'!J139</f>
        <v>0</v>
      </c>
      <c r="F21" s="36">
        <f>'Stavební rozpočet'!K139</f>
        <v>0</v>
      </c>
      <c r="G21" s="36">
        <f>'Stavební rozpočet'!L139</f>
        <v>0</v>
      </c>
      <c r="H21" s="36" t="s">
        <v>534</v>
      </c>
      <c r="I21" s="36">
        <f t="shared" si="0"/>
        <v>0</v>
      </c>
    </row>
    <row r="22" spans="1:9" x14ac:dyDescent="0.25">
      <c r="A22" s="44" t="s">
        <v>498</v>
      </c>
      <c r="B22" s="17" t="s">
        <v>303</v>
      </c>
      <c r="C22" s="128" t="s">
        <v>434</v>
      </c>
      <c r="D22" s="105"/>
      <c r="E22" s="36">
        <f>'Stavební rozpočet'!J147</f>
        <v>0</v>
      </c>
      <c r="F22" s="36">
        <f>'Stavební rozpočet'!K147</f>
        <v>0</v>
      </c>
      <c r="G22" s="36">
        <f>'Stavební rozpočet'!L147</f>
        <v>0</v>
      </c>
      <c r="H22" s="36" t="s">
        <v>534</v>
      </c>
      <c r="I22" s="36">
        <f t="shared" si="0"/>
        <v>0</v>
      </c>
    </row>
    <row r="23" spans="1:9" x14ac:dyDescent="0.25">
      <c r="A23" s="44" t="s">
        <v>498</v>
      </c>
      <c r="B23" s="17" t="s">
        <v>317</v>
      </c>
      <c r="C23" s="128" t="s">
        <v>436</v>
      </c>
      <c r="D23" s="105"/>
      <c r="E23" s="36">
        <f>'Stavební rozpočet'!J161</f>
        <v>0</v>
      </c>
      <c r="F23" s="36">
        <f>'Stavební rozpočet'!K161</f>
        <v>0</v>
      </c>
      <c r="G23" s="36">
        <f>'Stavební rozpočet'!L161</f>
        <v>0</v>
      </c>
      <c r="H23" s="36" t="s">
        <v>534</v>
      </c>
      <c r="I23" s="36">
        <f t="shared" si="0"/>
        <v>0</v>
      </c>
    </row>
    <row r="24" spans="1:9" x14ac:dyDescent="0.25">
      <c r="A24" s="44" t="s">
        <v>498</v>
      </c>
      <c r="B24" s="17" t="s">
        <v>325</v>
      </c>
      <c r="C24" s="128" t="s">
        <v>444</v>
      </c>
      <c r="D24" s="105"/>
      <c r="E24" s="36">
        <f>'Stavební rozpočet'!J169</f>
        <v>0</v>
      </c>
      <c r="F24" s="36">
        <f>'Stavební rozpočet'!K169</f>
        <v>0</v>
      </c>
      <c r="G24" s="36">
        <f>'Stavební rozpočet'!L169</f>
        <v>0</v>
      </c>
      <c r="H24" s="36" t="s">
        <v>534</v>
      </c>
      <c r="I24" s="36">
        <f t="shared" si="0"/>
        <v>0</v>
      </c>
    </row>
    <row r="25" spans="1:9" x14ac:dyDescent="0.25">
      <c r="A25" s="98" t="s">
        <v>499</v>
      </c>
      <c r="B25" s="99"/>
      <c r="C25" s="143" t="s">
        <v>449</v>
      </c>
      <c r="D25" s="144"/>
      <c r="E25" s="100">
        <f>'Stavební rozpočet'!J177</f>
        <v>0</v>
      </c>
      <c r="F25" s="100">
        <f>'Stavební rozpočet'!K177</f>
        <v>0</v>
      </c>
      <c r="G25" s="100">
        <f>'Stavební rozpočet'!L177</f>
        <v>0</v>
      </c>
      <c r="H25" s="36" t="s">
        <v>533</v>
      </c>
      <c r="I25" s="36">
        <f t="shared" si="0"/>
        <v>0</v>
      </c>
    </row>
    <row r="26" spans="1:9" x14ac:dyDescent="0.25">
      <c r="A26" s="44" t="s">
        <v>499</v>
      </c>
      <c r="B26" s="17" t="s">
        <v>333</v>
      </c>
      <c r="C26" s="128" t="s">
        <v>450</v>
      </c>
      <c r="D26" s="105"/>
      <c r="E26" s="36">
        <f>'Stavební rozpočet'!J178</f>
        <v>0</v>
      </c>
      <c r="F26" s="36">
        <f>'Stavební rozpočet'!K178</f>
        <v>0</v>
      </c>
      <c r="G26" s="36">
        <f>'Stavební rozpočet'!L178</f>
        <v>0</v>
      </c>
      <c r="H26" s="36" t="s">
        <v>534</v>
      </c>
      <c r="I26" s="36">
        <f t="shared" si="0"/>
        <v>0</v>
      </c>
    </row>
    <row r="27" spans="1:9" x14ac:dyDescent="0.25">
      <c r="F27" s="48" t="s">
        <v>483</v>
      </c>
      <c r="G27" s="49">
        <f>SUM(I11:I26)</f>
        <v>0</v>
      </c>
    </row>
  </sheetData>
  <mergeCells count="41">
    <mergeCell ref="G4:G5"/>
    <mergeCell ref="A1:G1"/>
    <mergeCell ref="A2:B3"/>
    <mergeCell ref="C2:C3"/>
    <mergeCell ref="D2:D3"/>
    <mergeCell ref="E2:E3"/>
    <mergeCell ref="F2:F3"/>
    <mergeCell ref="G2:G3"/>
    <mergeCell ref="A4:B5"/>
    <mergeCell ref="C4:C5"/>
    <mergeCell ref="D4:D5"/>
    <mergeCell ref="E4:E5"/>
    <mergeCell ref="F4:F5"/>
    <mergeCell ref="F8:F9"/>
    <mergeCell ref="G8:G9"/>
    <mergeCell ref="A6:B7"/>
    <mergeCell ref="C6:C7"/>
    <mergeCell ref="D6:D7"/>
    <mergeCell ref="E6:E7"/>
    <mergeCell ref="F6:F7"/>
    <mergeCell ref="G6:G7"/>
    <mergeCell ref="C16:D16"/>
    <mergeCell ref="A8:B9"/>
    <mergeCell ref="C8:C9"/>
    <mergeCell ref="D8:D9"/>
    <mergeCell ref="E8:E9"/>
    <mergeCell ref="C11:D11"/>
    <mergeCell ref="C12:D12"/>
    <mergeCell ref="C13:D13"/>
    <mergeCell ref="C14:D14"/>
    <mergeCell ref="C15:D15"/>
    <mergeCell ref="C23:D23"/>
    <mergeCell ref="C24:D24"/>
    <mergeCell ref="C25:D25"/>
    <mergeCell ref="C26:D26"/>
    <mergeCell ref="C17:D17"/>
    <mergeCell ref="C18:D18"/>
    <mergeCell ref="C19:D19"/>
    <mergeCell ref="C20:D20"/>
    <mergeCell ref="C21:D21"/>
    <mergeCell ref="C22:D22"/>
  </mergeCells>
  <pageMargins left="0.39400000000000002" right="0.39400000000000002" top="0.59099999999999997" bottom="0.59099999999999997" header="0.5" footer="0.5"/>
  <pageSetup paperSize="9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193"/>
  <sheetViews>
    <sheetView workbookViewId="0">
      <pane ySplit="11" topLeftCell="A12" activePane="bottomLeft" state="frozenSplit"/>
      <selection pane="bottomLeft" activeCell="I172" activeCellId="1" sqref="I13:I170 I172:I190"/>
    </sheetView>
  </sheetViews>
  <sheetFormatPr defaultColWidth="11.5546875" defaultRowHeight="13.2" x14ac:dyDescent="0.25"/>
  <cols>
    <col min="1" max="1" width="3.6640625" customWidth="1"/>
    <col min="2" max="2" width="14.33203125" customWidth="1"/>
    <col min="3" max="3" width="1.44140625" customWidth="1"/>
    <col min="4" max="4" width="128.44140625" customWidth="1"/>
    <col min="7" max="7" width="4.33203125" customWidth="1"/>
    <col min="8" max="8" width="12.88671875" customWidth="1"/>
    <col min="9" max="9" width="12" customWidth="1"/>
    <col min="10" max="11" width="14.33203125" hidden="1" customWidth="1"/>
    <col min="12" max="12" width="14.33203125" customWidth="1"/>
    <col min="13" max="13" width="11.6640625" hidden="1" customWidth="1"/>
    <col min="25" max="64" width="12.109375" hidden="1" customWidth="1"/>
  </cols>
  <sheetData>
    <row r="1" spans="1:64" ht="72.900000000000006" customHeight="1" x14ac:dyDescent="0.4">
      <c r="A1" s="145" t="s">
        <v>0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</row>
    <row r="2" spans="1:64" x14ac:dyDescent="0.25">
      <c r="A2" s="136" t="s">
        <v>1</v>
      </c>
      <c r="B2" s="137"/>
      <c r="C2" s="138" t="s">
        <v>346</v>
      </c>
      <c r="D2" s="139"/>
      <c r="E2" s="146" t="s">
        <v>463</v>
      </c>
      <c r="F2" s="137"/>
      <c r="G2" s="146" t="s">
        <v>6</v>
      </c>
      <c r="H2" s="137"/>
      <c r="I2" s="141" t="s">
        <v>474</v>
      </c>
      <c r="J2" s="146" t="s">
        <v>480</v>
      </c>
      <c r="K2" s="137"/>
      <c r="L2" s="137"/>
      <c r="M2" s="176"/>
      <c r="N2" s="6"/>
    </row>
    <row r="3" spans="1:64" x14ac:dyDescent="0.25">
      <c r="A3" s="131"/>
      <c r="B3" s="105"/>
      <c r="C3" s="140"/>
      <c r="D3" s="140"/>
      <c r="E3" s="105"/>
      <c r="F3" s="105"/>
      <c r="G3" s="105"/>
      <c r="H3" s="105"/>
      <c r="I3" s="105"/>
      <c r="J3" s="105"/>
      <c r="K3" s="105"/>
      <c r="L3" s="105"/>
      <c r="M3" s="133"/>
      <c r="N3" s="6"/>
    </row>
    <row r="4" spans="1:64" x14ac:dyDescent="0.25">
      <c r="A4" s="125" t="s">
        <v>2</v>
      </c>
      <c r="B4" s="105"/>
      <c r="C4" s="104" t="s">
        <v>6</v>
      </c>
      <c r="D4" s="105"/>
      <c r="E4" s="128" t="s">
        <v>464</v>
      </c>
      <c r="F4" s="105"/>
      <c r="G4" s="128"/>
      <c r="H4" s="105"/>
      <c r="I4" s="104" t="s">
        <v>475</v>
      </c>
      <c r="J4" s="128" t="s">
        <v>480</v>
      </c>
      <c r="K4" s="105"/>
      <c r="L4" s="105"/>
      <c r="M4" s="133"/>
      <c r="N4" s="6"/>
    </row>
    <row r="5" spans="1:64" x14ac:dyDescent="0.25">
      <c r="A5" s="131"/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33"/>
      <c r="N5" s="6"/>
    </row>
    <row r="6" spans="1:64" x14ac:dyDescent="0.25">
      <c r="A6" s="125" t="s">
        <v>3</v>
      </c>
      <c r="B6" s="105"/>
      <c r="C6" s="104" t="s">
        <v>6</v>
      </c>
      <c r="D6" s="105"/>
      <c r="E6" s="128" t="s">
        <v>465</v>
      </c>
      <c r="F6" s="105"/>
      <c r="G6" s="128"/>
      <c r="H6" s="105"/>
      <c r="I6" s="104" t="s">
        <v>476</v>
      </c>
      <c r="J6" s="128" t="s">
        <v>480</v>
      </c>
      <c r="K6" s="105"/>
      <c r="L6" s="105"/>
      <c r="M6" s="133"/>
      <c r="N6" s="6"/>
    </row>
    <row r="7" spans="1:64" x14ac:dyDescent="0.25">
      <c r="A7" s="131"/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33"/>
      <c r="N7" s="6"/>
    </row>
    <row r="8" spans="1:64" x14ac:dyDescent="0.25">
      <c r="A8" s="125" t="s">
        <v>4</v>
      </c>
      <c r="B8" s="105"/>
      <c r="C8" s="104" t="s">
        <v>6</v>
      </c>
      <c r="D8" s="105"/>
      <c r="E8" s="128" t="s">
        <v>466</v>
      </c>
      <c r="F8" s="105"/>
      <c r="G8" s="128"/>
      <c r="H8" s="105"/>
      <c r="I8" s="104" t="s">
        <v>477</v>
      </c>
      <c r="J8" s="128" t="s">
        <v>480</v>
      </c>
      <c r="K8" s="105"/>
      <c r="L8" s="105"/>
      <c r="M8" s="133"/>
      <c r="N8" s="6"/>
    </row>
    <row r="9" spans="1:64" x14ac:dyDescent="0.25">
      <c r="A9" s="173"/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5"/>
      <c r="N9" s="6"/>
    </row>
    <row r="10" spans="1:64" x14ac:dyDescent="0.25">
      <c r="A10" s="1" t="s">
        <v>5</v>
      </c>
      <c r="B10" s="10" t="s">
        <v>170</v>
      </c>
      <c r="C10" s="162" t="s">
        <v>347</v>
      </c>
      <c r="D10" s="163"/>
      <c r="E10" s="163"/>
      <c r="F10" s="164"/>
      <c r="G10" s="10" t="s">
        <v>467</v>
      </c>
      <c r="H10" s="19" t="s">
        <v>473</v>
      </c>
      <c r="I10" s="23" t="s">
        <v>478</v>
      </c>
      <c r="J10" s="165" t="s">
        <v>481</v>
      </c>
      <c r="K10" s="166"/>
      <c r="L10" s="167"/>
      <c r="M10" s="28" t="s">
        <v>486</v>
      </c>
      <c r="N10" s="34"/>
      <c r="BK10" s="35" t="s">
        <v>523</v>
      </c>
      <c r="BL10" s="40" t="s">
        <v>526</v>
      </c>
    </row>
    <row r="11" spans="1:64" x14ac:dyDescent="0.25">
      <c r="A11" s="2" t="s">
        <v>6</v>
      </c>
      <c r="B11" s="11" t="s">
        <v>6</v>
      </c>
      <c r="C11" s="168" t="s">
        <v>348</v>
      </c>
      <c r="D11" s="169"/>
      <c r="E11" s="169"/>
      <c r="F11" s="170"/>
      <c r="G11" s="11" t="s">
        <v>6</v>
      </c>
      <c r="H11" s="11" t="s">
        <v>6</v>
      </c>
      <c r="I11" s="24" t="s">
        <v>479</v>
      </c>
      <c r="J11" s="25" t="s">
        <v>482</v>
      </c>
      <c r="K11" s="26" t="s">
        <v>484</v>
      </c>
      <c r="L11" s="27" t="s">
        <v>485</v>
      </c>
      <c r="M11" s="29" t="s">
        <v>487</v>
      </c>
      <c r="N11" s="34"/>
      <c r="Z11" s="35" t="s">
        <v>489</v>
      </c>
      <c r="AA11" s="35" t="s">
        <v>490</v>
      </c>
      <c r="AB11" s="35" t="s">
        <v>491</v>
      </c>
      <c r="AC11" s="35" t="s">
        <v>492</v>
      </c>
      <c r="AD11" s="35" t="s">
        <v>493</v>
      </c>
      <c r="AE11" s="35" t="s">
        <v>494</v>
      </c>
      <c r="AF11" s="35" t="s">
        <v>495</v>
      </c>
      <c r="AG11" s="35" t="s">
        <v>496</v>
      </c>
      <c r="AH11" s="35" t="s">
        <v>497</v>
      </c>
      <c r="BH11" s="35" t="s">
        <v>520</v>
      </c>
      <c r="BI11" s="35" t="s">
        <v>521</v>
      </c>
      <c r="BJ11" s="35" t="s">
        <v>522</v>
      </c>
    </row>
    <row r="12" spans="1:64" x14ac:dyDescent="0.25">
      <c r="A12" s="87"/>
      <c r="B12" s="88"/>
      <c r="C12" s="171" t="s">
        <v>349</v>
      </c>
      <c r="D12" s="172"/>
      <c r="E12" s="172"/>
      <c r="F12" s="172"/>
      <c r="G12" s="89" t="s">
        <v>6</v>
      </c>
      <c r="H12" s="89" t="s">
        <v>6</v>
      </c>
      <c r="I12" s="89" t="s">
        <v>6</v>
      </c>
      <c r="J12" s="90">
        <f>J13+J15+J26+J36+J41+J45+J81+J98+J119+J139+J147+J161+J169</f>
        <v>0</v>
      </c>
      <c r="K12" s="90">
        <f>K13+K15+K26+K36+K41+K45+K81+K98+K119+K139+K147+K161+K169</f>
        <v>0</v>
      </c>
      <c r="L12" s="90">
        <f>L13+L15+L26+L36+L41+L45+L81+L98+L119+L139+L147+L161+L169</f>
        <v>0</v>
      </c>
      <c r="M12" s="91"/>
      <c r="N12" s="6"/>
    </row>
    <row r="13" spans="1:64" x14ac:dyDescent="0.25">
      <c r="A13" s="3"/>
      <c r="B13" s="12" t="s">
        <v>100</v>
      </c>
      <c r="C13" s="155" t="s">
        <v>350</v>
      </c>
      <c r="D13" s="156"/>
      <c r="E13" s="156"/>
      <c r="F13" s="156"/>
      <c r="G13" s="18" t="s">
        <v>6</v>
      </c>
      <c r="H13" s="18" t="s">
        <v>6</v>
      </c>
      <c r="I13" s="18" t="s">
        <v>6</v>
      </c>
      <c r="J13" s="41">
        <f>SUM(J14:J14)</f>
        <v>0</v>
      </c>
      <c r="K13" s="41">
        <f>SUM(K14:K14)</f>
        <v>0</v>
      </c>
      <c r="L13" s="41">
        <f>SUM(L14:L14)</f>
        <v>0</v>
      </c>
      <c r="M13" s="30"/>
      <c r="N13" s="6"/>
      <c r="AI13" s="35" t="s">
        <v>498</v>
      </c>
      <c r="AS13" s="41">
        <f>SUM(AJ14:AJ14)</f>
        <v>0</v>
      </c>
      <c r="AT13" s="41">
        <f>SUM(AK14:AK14)</f>
        <v>0</v>
      </c>
      <c r="AU13" s="41">
        <f>SUM(AL14:AL14)</f>
        <v>0</v>
      </c>
    </row>
    <row r="14" spans="1:64" x14ac:dyDescent="0.25">
      <c r="A14" s="4" t="s">
        <v>7</v>
      </c>
      <c r="B14" s="13" t="s">
        <v>171</v>
      </c>
      <c r="C14" s="148" t="s">
        <v>351</v>
      </c>
      <c r="D14" s="149"/>
      <c r="E14" s="149"/>
      <c r="F14" s="149"/>
      <c r="G14" s="13" t="s">
        <v>468</v>
      </c>
      <c r="H14" s="80">
        <v>20</v>
      </c>
      <c r="I14" s="20">
        <v>0</v>
      </c>
      <c r="J14" s="20">
        <f>H14*AO14</f>
        <v>0</v>
      </c>
      <c r="K14" s="20">
        <f>H14*AP14</f>
        <v>0</v>
      </c>
      <c r="L14" s="20">
        <f>H14*I14</f>
        <v>0</v>
      </c>
      <c r="M14" s="31" t="s">
        <v>488</v>
      </c>
      <c r="N14" s="6"/>
      <c r="Z14" s="36">
        <f>IF(AQ14="5",BJ14,0)</f>
        <v>0</v>
      </c>
      <c r="AB14" s="36">
        <f>IF(AQ14="1",BH14,0)</f>
        <v>0</v>
      </c>
      <c r="AC14" s="36">
        <f>IF(AQ14="1",BI14,0)</f>
        <v>0</v>
      </c>
      <c r="AD14" s="36">
        <f>IF(AQ14="7",BH14,0)</f>
        <v>0</v>
      </c>
      <c r="AE14" s="36">
        <f>IF(AQ14="7",BI14,0)</f>
        <v>0</v>
      </c>
      <c r="AF14" s="36">
        <f>IF(AQ14="2",BH14,0)</f>
        <v>0</v>
      </c>
      <c r="AG14" s="36">
        <f>IF(AQ14="2",BI14,0)</f>
        <v>0</v>
      </c>
      <c r="AH14" s="36">
        <f>IF(AQ14="0",BJ14,0)</f>
        <v>0</v>
      </c>
      <c r="AI14" s="35" t="s">
        <v>498</v>
      </c>
      <c r="AJ14" s="20">
        <f>IF(AN14=0,L14,0)</f>
        <v>0</v>
      </c>
      <c r="AK14" s="20">
        <f>IF(AN14=15,L14,0)</f>
        <v>0</v>
      </c>
      <c r="AL14" s="20">
        <f>IF(AN14=21,L14,0)</f>
        <v>0</v>
      </c>
      <c r="AN14" s="36">
        <v>21</v>
      </c>
      <c r="AO14" s="36">
        <f>I14*0</f>
        <v>0</v>
      </c>
      <c r="AP14" s="36">
        <f>I14*(1-0)</f>
        <v>0</v>
      </c>
      <c r="AQ14" s="37" t="s">
        <v>7</v>
      </c>
      <c r="AV14" s="36">
        <f>AW14+AX14</f>
        <v>0</v>
      </c>
      <c r="AW14" s="36">
        <f>H14*AO14</f>
        <v>0</v>
      </c>
      <c r="AX14" s="36">
        <f>H14*AP14</f>
        <v>0</v>
      </c>
      <c r="AY14" s="39" t="s">
        <v>500</v>
      </c>
      <c r="AZ14" s="39" t="s">
        <v>514</v>
      </c>
      <c r="BA14" s="35" t="s">
        <v>518</v>
      </c>
      <c r="BC14" s="36">
        <f>AW14+AX14</f>
        <v>0</v>
      </c>
      <c r="BD14" s="36">
        <f>I14/(100-BE14)*100</f>
        <v>0</v>
      </c>
      <c r="BE14" s="36">
        <v>0</v>
      </c>
      <c r="BF14" s="36">
        <f>14</f>
        <v>14</v>
      </c>
      <c r="BH14" s="20">
        <f>H14*AO14</f>
        <v>0</v>
      </c>
      <c r="BI14" s="20">
        <f>H14*AP14</f>
        <v>0</v>
      </c>
      <c r="BJ14" s="20">
        <f>H14*I14</f>
        <v>0</v>
      </c>
      <c r="BK14" s="20" t="s">
        <v>524</v>
      </c>
      <c r="BL14" s="36">
        <v>94</v>
      </c>
    </row>
    <row r="15" spans="1:64" x14ac:dyDescent="0.25">
      <c r="A15" s="3"/>
      <c r="B15" s="12" t="s">
        <v>172</v>
      </c>
      <c r="C15" s="155" t="s">
        <v>352</v>
      </c>
      <c r="D15" s="156"/>
      <c r="E15" s="156"/>
      <c r="F15" s="156"/>
      <c r="G15" s="18" t="s">
        <v>6</v>
      </c>
      <c r="H15" s="18" t="s">
        <v>6</v>
      </c>
      <c r="I15" s="18" t="s">
        <v>6</v>
      </c>
      <c r="J15" s="41">
        <f>SUM(J16:J25)</f>
        <v>0</v>
      </c>
      <c r="K15" s="41">
        <f>SUM(K16:K25)</f>
        <v>0</v>
      </c>
      <c r="L15" s="41">
        <f>SUM(L16:L25)</f>
        <v>0</v>
      </c>
      <c r="M15" s="30"/>
      <c r="N15" s="6"/>
      <c r="AI15" s="35" t="s">
        <v>498</v>
      </c>
      <c r="AS15" s="41">
        <f>SUM(AJ16:AJ25)</f>
        <v>0</v>
      </c>
      <c r="AT15" s="41">
        <f>SUM(AK16:AK25)</f>
        <v>0</v>
      </c>
      <c r="AU15" s="41">
        <f>SUM(AL16:AL25)</f>
        <v>0</v>
      </c>
    </row>
    <row r="16" spans="1:64" x14ac:dyDescent="0.25">
      <c r="A16" s="4" t="s">
        <v>8</v>
      </c>
      <c r="B16" s="13" t="s">
        <v>173</v>
      </c>
      <c r="C16" s="148" t="s">
        <v>353</v>
      </c>
      <c r="D16" s="149"/>
      <c r="E16" s="149"/>
      <c r="F16" s="149"/>
      <c r="G16" s="13" t="s">
        <v>469</v>
      </c>
      <c r="H16" s="80">
        <v>6.085</v>
      </c>
      <c r="I16" s="20">
        <v>0</v>
      </c>
      <c r="J16" s="20">
        <f t="shared" ref="J16:J25" si="0">H16*AO16</f>
        <v>0</v>
      </c>
      <c r="K16" s="20">
        <f t="shared" ref="K16:K25" si="1">H16*AP16</f>
        <v>0</v>
      </c>
      <c r="L16" s="20">
        <f t="shared" ref="L16:L25" si="2">H16*I16</f>
        <v>0</v>
      </c>
      <c r="M16" s="31" t="s">
        <v>488</v>
      </c>
      <c r="N16" s="6"/>
      <c r="Z16" s="36">
        <f t="shared" ref="Z16:Z25" si="3">IF(AQ16="5",BJ16,0)</f>
        <v>0</v>
      </c>
      <c r="AB16" s="36">
        <f t="shared" ref="AB16:AB25" si="4">IF(AQ16="1",BH16,0)</f>
        <v>0</v>
      </c>
      <c r="AC16" s="36">
        <f t="shared" ref="AC16:AC25" si="5">IF(AQ16="1",BI16,0)</f>
        <v>0</v>
      </c>
      <c r="AD16" s="36">
        <f t="shared" ref="AD16:AD25" si="6">IF(AQ16="7",BH16,0)</f>
        <v>0</v>
      </c>
      <c r="AE16" s="36">
        <f t="shared" ref="AE16:AE25" si="7">IF(AQ16="7",BI16,0)</f>
        <v>0</v>
      </c>
      <c r="AF16" s="36">
        <f t="shared" ref="AF16:AF25" si="8">IF(AQ16="2",BH16,0)</f>
        <v>0</v>
      </c>
      <c r="AG16" s="36">
        <f t="shared" ref="AG16:AG25" si="9">IF(AQ16="2",BI16,0)</f>
        <v>0</v>
      </c>
      <c r="AH16" s="36">
        <f t="shared" ref="AH16:AH25" si="10">IF(AQ16="0",BJ16,0)</f>
        <v>0</v>
      </c>
      <c r="AI16" s="35" t="s">
        <v>498</v>
      </c>
      <c r="AJ16" s="20">
        <f t="shared" ref="AJ16:AJ25" si="11">IF(AN16=0,L16,0)</f>
        <v>0</v>
      </c>
      <c r="AK16" s="20">
        <f t="shared" ref="AK16:AK25" si="12">IF(AN16=15,L16,0)</f>
        <v>0</v>
      </c>
      <c r="AL16" s="20">
        <f t="shared" ref="AL16:AL25" si="13">IF(AN16=21,L16,0)</f>
        <v>0</v>
      </c>
      <c r="AN16" s="36">
        <v>21</v>
      </c>
      <c r="AO16" s="36">
        <f t="shared" ref="AO16:AO25" si="14">I16*0</f>
        <v>0</v>
      </c>
      <c r="AP16" s="36">
        <f t="shared" ref="AP16:AP25" si="15">I16*(1-0)</f>
        <v>0</v>
      </c>
      <c r="AQ16" s="37" t="s">
        <v>11</v>
      </c>
      <c r="AV16" s="36">
        <f t="shared" ref="AV16:AV25" si="16">AW16+AX16</f>
        <v>0</v>
      </c>
      <c r="AW16" s="36">
        <f t="shared" ref="AW16:AW25" si="17">H16*AO16</f>
        <v>0</v>
      </c>
      <c r="AX16" s="36">
        <f t="shared" ref="AX16:AX25" si="18">H16*AP16</f>
        <v>0</v>
      </c>
      <c r="AY16" s="39" t="s">
        <v>501</v>
      </c>
      <c r="AZ16" s="39" t="s">
        <v>514</v>
      </c>
      <c r="BA16" s="35" t="s">
        <v>518</v>
      </c>
      <c r="BC16" s="36">
        <f t="shared" ref="BC16:BC25" si="19">AW16+AX16</f>
        <v>0</v>
      </c>
      <c r="BD16" s="36">
        <f t="shared" ref="BD16:BD25" si="20">I16/(100-BE16)*100</f>
        <v>0</v>
      </c>
      <c r="BE16" s="36">
        <v>0</v>
      </c>
      <c r="BF16" s="36">
        <f>16</f>
        <v>16</v>
      </c>
      <c r="BH16" s="20">
        <f t="shared" ref="BH16:BH25" si="21">H16*AO16</f>
        <v>0</v>
      </c>
      <c r="BI16" s="20">
        <f t="shared" ref="BI16:BI25" si="22">H16*AP16</f>
        <v>0</v>
      </c>
      <c r="BJ16" s="20">
        <f t="shared" ref="BJ16:BJ25" si="23">H16*I16</f>
        <v>0</v>
      </c>
      <c r="BK16" s="20" t="s">
        <v>524</v>
      </c>
      <c r="BL16" s="36" t="s">
        <v>172</v>
      </c>
    </row>
    <row r="17" spans="1:64" x14ac:dyDescent="0.25">
      <c r="A17" s="4" t="s">
        <v>9</v>
      </c>
      <c r="B17" s="13" t="s">
        <v>174</v>
      </c>
      <c r="C17" s="148" t="s">
        <v>354</v>
      </c>
      <c r="D17" s="149"/>
      <c r="E17" s="149"/>
      <c r="F17" s="149"/>
      <c r="G17" s="13" t="s">
        <v>469</v>
      </c>
      <c r="H17" s="80">
        <v>6.085</v>
      </c>
      <c r="I17" s="20">
        <v>0</v>
      </c>
      <c r="J17" s="20">
        <f t="shared" si="0"/>
        <v>0</v>
      </c>
      <c r="K17" s="20">
        <f t="shared" si="1"/>
        <v>0</v>
      </c>
      <c r="L17" s="20">
        <f t="shared" si="2"/>
        <v>0</v>
      </c>
      <c r="M17" s="31" t="s">
        <v>488</v>
      </c>
      <c r="N17" s="6"/>
      <c r="Z17" s="36">
        <f t="shared" si="3"/>
        <v>0</v>
      </c>
      <c r="AB17" s="36">
        <f t="shared" si="4"/>
        <v>0</v>
      </c>
      <c r="AC17" s="36">
        <f t="shared" si="5"/>
        <v>0</v>
      </c>
      <c r="AD17" s="36">
        <f t="shared" si="6"/>
        <v>0</v>
      </c>
      <c r="AE17" s="36">
        <f t="shared" si="7"/>
        <v>0</v>
      </c>
      <c r="AF17" s="36">
        <f t="shared" si="8"/>
        <v>0</v>
      </c>
      <c r="AG17" s="36">
        <f t="shared" si="9"/>
        <v>0</v>
      </c>
      <c r="AH17" s="36">
        <f t="shared" si="10"/>
        <v>0</v>
      </c>
      <c r="AI17" s="35" t="s">
        <v>498</v>
      </c>
      <c r="AJ17" s="20">
        <f t="shared" si="11"/>
        <v>0</v>
      </c>
      <c r="AK17" s="20">
        <f t="shared" si="12"/>
        <v>0</v>
      </c>
      <c r="AL17" s="20">
        <f t="shared" si="13"/>
        <v>0</v>
      </c>
      <c r="AN17" s="36">
        <v>21</v>
      </c>
      <c r="AO17" s="36">
        <f t="shared" si="14"/>
        <v>0</v>
      </c>
      <c r="AP17" s="36">
        <f t="shared" si="15"/>
        <v>0</v>
      </c>
      <c r="AQ17" s="37" t="s">
        <v>11</v>
      </c>
      <c r="AV17" s="36">
        <f t="shared" si="16"/>
        <v>0</v>
      </c>
      <c r="AW17" s="36">
        <f t="shared" si="17"/>
        <v>0</v>
      </c>
      <c r="AX17" s="36">
        <f t="shared" si="18"/>
        <v>0</v>
      </c>
      <c r="AY17" s="39" t="s">
        <v>501</v>
      </c>
      <c r="AZ17" s="39" t="s">
        <v>514</v>
      </c>
      <c r="BA17" s="35" t="s">
        <v>518</v>
      </c>
      <c r="BC17" s="36">
        <f t="shared" si="19"/>
        <v>0</v>
      </c>
      <c r="BD17" s="36">
        <f t="shared" si="20"/>
        <v>0</v>
      </c>
      <c r="BE17" s="36">
        <v>0</v>
      </c>
      <c r="BF17" s="36">
        <f>17</f>
        <v>17</v>
      </c>
      <c r="BH17" s="20">
        <f t="shared" si="21"/>
        <v>0</v>
      </c>
      <c r="BI17" s="20">
        <f t="shared" si="22"/>
        <v>0</v>
      </c>
      <c r="BJ17" s="20">
        <f t="shared" si="23"/>
        <v>0</v>
      </c>
      <c r="BK17" s="20" t="s">
        <v>524</v>
      </c>
      <c r="BL17" s="36" t="s">
        <v>172</v>
      </c>
    </row>
    <row r="18" spans="1:64" x14ac:dyDescent="0.25">
      <c r="A18" s="4" t="s">
        <v>10</v>
      </c>
      <c r="B18" s="13" t="s">
        <v>175</v>
      </c>
      <c r="C18" s="148" t="s">
        <v>355</v>
      </c>
      <c r="D18" s="149"/>
      <c r="E18" s="149"/>
      <c r="F18" s="149"/>
      <c r="G18" s="13" t="s">
        <v>469</v>
      </c>
      <c r="H18" s="80">
        <v>146.04</v>
      </c>
      <c r="I18" s="20">
        <v>0</v>
      </c>
      <c r="J18" s="20">
        <f t="shared" si="0"/>
        <v>0</v>
      </c>
      <c r="K18" s="20">
        <f t="shared" si="1"/>
        <v>0</v>
      </c>
      <c r="L18" s="20">
        <f t="shared" si="2"/>
        <v>0</v>
      </c>
      <c r="M18" s="31" t="s">
        <v>488</v>
      </c>
      <c r="N18" s="6"/>
      <c r="Z18" s="36">
        <f t="shared" si="3"/>
        <v>0</v>
      </c>
      <c r="AB18" s="36">
        <f t="shared" si="4"/>
        <v>0</v>
      </c>
      <c r="AC18" s="36">
        <f t="shared" si="5"/>
        <v>0</v>
      </c>
      <c r="AD18" s="36">
        <f t="shared" si="6"/>
        <v>0</v>
      </c>
      <c r="AE18" s="36">
        <f t="shared" si="7"/>
        <v>0</v>
      </c>
      <c r="AF18" s="36">
        <f t="shared" si="8"/>
        <v>0</v>
      </c>
      <c r="AG18" s="36">
        <f t="shared" si="9"/>
        <v>0</v>
      </c>
      <c r="AH18" s="36">
        <f t="shared" si="10"/>
        <v>0</v>
      </c>
      <c r="AI18" s="35" t="s">
        <v>498</v>
      </c>
      <c r="AJ18" s="20">
        <f t="shared" si="11"/>
        <v>0</v>
      </c>
      <c r="AK18" s="20">
        <f t="shared" si="12"/>
        <v>0</v>
      </c>
      <c r="AL18" s="20">
        <f t="shared" si="13"/>
        <v>0</v>
      </c>
      <c r="AN18" s="36">
        <v>21</v>
      </c>
      <c r="AO18" s="36">
        <f t="shared" si="14"/>
        <v>0</v>
      </c>
      <c r="AP18" s="36">
        <f t="shared" si="15"/>
        <v>0</v>
      </c>
      <c r="AQ18" s="37" t="s">
        <v>11</v>
      </c>
      <c r="AV18" s="36">
        <f t="shared" si="16"/>
        <v>0</v>
      </c>
      <c r="AW18" s="36">
        <f t="shared" si="17"/>
        <v>0</v>
      </c>
      <c r="AX18" s="36">
        <f t="shared" si="18"/>
        <v>0</v>
      </c>
      <c r="AY18" s="39" t="s">
        <v>501</v>
      </c>
      <c r="AZ18" s="39" t="s">
        <v>514</v>
      </c>
      <c r="BA18" s="35" t="s">
        <v>518</v>
      </c>
      <c r="BC18" s="36">
        <f t="shared" si="19"/>
        <v>0</v>
      </c>
      <c r="BD18" s="36">
        <f t="shared" si="20"/>
        <v>0</v>
      </c>
      <c r="BE18" s="36">
        <v>0</v>
      </c>
      <c r="BF18" s="36">
        <f>18</f>
        <v>18</v>
      </c>
      <c r="BH18" s="20">
        <f t="shared" si="21"/>
        <v>0</v>
      </c>
      <c r="BI18" s="20">
        <f t="shared" si="22"/>
        <v>0</v>
      </c>
      <c r="BJ18" s="20">
        <f t="shared" si="23"/>
        <v>0</v>
      </c>
      <c r="BK18" s="20" t="s">
        <v>524</v>
      </c>
      <c r="BL18" s="36" t="s">
        <v>172</v>
      </c>
    </row>
    <row r="19" spans="1:64" x14ac:dyDescent="0.25">
      <c r="A19" s="4" t="s">
        <v>11</v>
      </c>
      <c r="B19" s="13" t="s">
        <v>176</v>
      </c>
      <c r="C19" s="148" t="s">
        <v>356</v>
      </c>
      <c r="D19" s="149"/>
      <c r="E19" s="149"/>
      <c r="F19" s="149"/>
      <c r="G19" s="13" t="s">
        <v>469</v>
      </c>
      <c r="H19" s="80">
        <v>6.085</v>
      </c>
      <c r="I19" s="20">
        <v>0</v>
      </c>
      <c r="J19" s="20">
        <f t="shared" si="0"/>
        <v>0</v>
      </c>
      <c r="K19" s="20">
        <f t="shared" si="1"/>
        <v>0</v>
      </c>
      <c r="L19" s="20">
        <f t="shared" si="2"/>
        <v>0</v>
      </c>
      <c r="M19" s="31" t="s">
        <v>488</v>
      </c>
      <c r="N19" s="6"/>
      <c r="Z19" s="36">
        <f t="shared" si="3"/>
        <v>0</v>
      </c>
      <c r="AB19" s="36">
        <f t="shared" si="4"/>
        <v>0</v>
      </c>
      <c r="AC19" s="36">
        <f t="shared" si="5"/>
        <v>0</v>
      </c>
      <c r="AD19" s="36">
        <f t="shared" si="6"/>
        <v>0</v>
      </c>
      <c r="AE19" s="36">
        <f t="shared" si="7"/>
        <v>0</v>
      </c>
      <c r="AF19" s="36">
        <f t="shared" si="8"/>
        <v>0</v>
      </c>
      <c r="AG19" s="36">
        <f t="shared" si="9"/>
        <v>0</v>
      </c>
      <c r="AH19" s="36">
        <f t="shared" si="10"/>
        <v>0</v>
      </c>
      <c r="AI19" s="35" t="s">
        <v>498</v>
      </c>
      <c r="AJ19" s="20">
        <f t="shared" si="11"/>
        <v>0</v>
      </c>
      <c r="AK19" s="20">
        <f t="shared" si="12"/>
        <v>0</v>
      </c>
      <c r="AL19" s="20">
        <f t="shared" si="13"/>
        <v>0</v>
      </c>
      <c r="AN19" s="36">
        <v>21</v>
      </c>
      <c r="AO19" s="36">
        <f t="shared" si="14"/>
        <v>0</v>
      </c>
      <c r="AP19" s="36">
        <f t="shared" si="15"/>
        <v>0</v>
      </c>
      <c r="AQ19" s="37" t="s">
        <v>11</v>
      </c>
      <c r="AV19" s="36">
        <f t="shared" si="16"/>
        <v>0</v>
      </c>
      <c r="AW19" s="36">
        <f t="shared" si="17"/>
        <v>0</v>
      </c>
      <c r="AX19" s="36">
        <f t="shared" si="18"/>
        <v>0</v>
      </c>
      <c r="AY19" s="39" t="s">
        <v>501</v>
      </c>
      <c r="AZ19" s="39" t="s">
        <v>514</v>
      </c>
      <c r="BA19" s="35" t="s">
        <v>518</v>
      </c>
      <c r="BC19" s="36">
        <f t="shared" si="19"/>
        <v>0</v>
      </c>
      <c r="BD19" s="36">
        <f t="shared" si="20"/>
        <v>0</v>
      </c>
      <c r="BE19" s="36">
        <v>0</v>
      </c>
      <c r="BF19" s="36">
        <f>19</f>
        <v>19</v>
      </c>
      <c r="BH19" s="20">
        <f t="shared" si="21"/>
        <v>0</v>
      </c>
      <c r="BI19" s="20">
        <f t="shared" si="22"/>
        <v>0</v>
      </c>
      <c r="BJ19" s="20">
        <f t="shared" si="23"/>
        <v>0</v>
      </c>
      <c r="BK19" s="20" t="s">
        <v>524</v>
      </c>
      <c r="BL19" s="36" t="s">
        <v>172</v>
      </c>
    </row>
    <row r="20" spans="1:64" x14ac:dyDescent="0.25">
      <c r="A20" s="4" t="s">
        <v>12</v>
      </c>
      <c r="B20" s="13" t="s">
        <v>177</v>
      </c>
      <c r="C20" s="148" t="s">
        <v>357</v>
      </c>
      <c r="D20" s="149"/>
      <c r="E20" s="149"/>
      <c r="F20" s="149"/>
      <c r="G20" s="13" t="s">
        <v>469</v>
      </c>
      <c r="H20" s="80">
        <v>36.51</v>
      </c>
      <c r="I20" s="20">
        <v>0</v>
      </c>
      <c r="J20" s="20">
        <f t="shared" si="0"/>
        <v>0</v>
      </c>
      <c r="K20" s="20">
        <f t="shared" si="1"/>
        <v>0</v>
      </c>
      <c r="L20" s="20">
        <f t="shared" si="2"/>
        <v>0</v>
      </c>
      <c r="M20" s="31" t="s">
        <v>488</v>
      </c>
      <c r="N20" s="6"/>
      <c r="Z20" s="36">
        <f t="shared" si="3"/>
        <v>0</v>
      </c>
      <c r="AB20" s="36">
        <f t="shared" si="4"/>
        <v>0</v>
      </c>
      <c r="AC20" s="36">
        <f t="shared" si="5"/>
        <v>0</v>
      </c>
      <c r="AD20" s="36">
        <f t="shared" si="6"/>
        <v>0</v>
      </c>
      <c r="AE20" s="36">
        <f t="shared" si="7"/>
        <v>0</v>
      </c>
      <c r="AF20" s="36">
        <f t="shared" si="8"/>
        <v>0</v>
      </c>
      <c r="AG20" s="36">
        <f t="shared" si="9"/>
        <v>0</v>
      </c>
      <c r="AH20" s="36">
        <f t="shared" si="10"/>
        <v>0</v>
      </c>
      <c r="AI20" s="35" t="s">
        <v>498</v>
      </c>
      <c r="AJ20" s="20">
        <f t="shared" si="11"/>
        <v>0</v>
      </c>
      <c r="AK20" s="20">
        <f t="shared" si="12"/>
        <v>0</v>
      </c>
      <c r="AL20" s="20">
        <f t="shared" si="13"/>
        <v>0</v>
      </c>
      <c r="AN20" s="36">
        <v>21</v>
      </c>
      <c r="AO20" s="36">
        <f t="shared" si="14"/>
        <v>0</v>
      </c>
      <c r="AP20" s="36">
        <f t="shared" si="15"/>
        <v>0</v>
      </c>
      <c r="AQ20" s="37" t="s">
        <v>11</v>
      </c>
      <c r="AV20" s="36">
        <f t="shared" si="16"/>
        <v>0</v>
      </c>
      <c r="AW20" s="36">
        <f t="shared" si="17"/>
        <v>0</v>
      </c>
      <c r="AX20" s="36">
        <f t="shared" si="18"/>
        <v>0</v>
      </c>
      <c r="AY20" s="39" t="s">
        <v>501</v>
      </c>
      <c r="AZ20" s="39" t="s">
        <v>514</v>
      </c>
      <c r="BA20" s="35" t="s">
        <v>518</v>
      </c>
      <c r="BC20" s="36">
        <f t="shared" si="19"/>
        <v>0</v>
      </c>
      <c r="BD20" s="36">
        <f t="shared" si="20"/>
        <v>0</v>
      </c>
      <c r="BE20" s="36">
        <v>0</v>
      </c>
      <c r="BF20" s="36">
        <f>20</f>
        <v>20</v>
      </c>
      <c r="BH20" s="20">
        <f t="shared" si="21"/>
        <v>0</v>
      </c>
      <c r="BI20" s="20">
        <f t="shared" si="22"/>
        <v>0</v>
      </c>
      <c r="BJ20" s="20">
        <f t="shared" si="23"/>
        <v>0</v>
      </c>
      <c r="BK20" s="20" t="s">
        <v>524</v>
      </c>
      <c r="BL20" s="36" t="s">
        <v>172</v>
      </c>
    </row>
    <row r="21" spans="1:64" x14ac:dyDescent="0.25">
      <c r="A21" s="4" t="s">
        <v>13</v>
      </c>
      <c r="B21" s="13" t="s">
        <v>178</v>
      </c>
      <c r="C21" s="148" t="s">
        <v>358</v>
      </c>
      <c r="D21" s="149"/>
      <c r="E21" s="149"/>
      <c r="F21" s="149"/>
      <c r="G21" s="13" t="s">
        <v>469</v>
      </c>
      <c r="H21" s="80">
        <v>6.085</v>
      </c>
      <c r="I21" s="20">
        <v>0</v>
      </c>
      <c r="J21" s="20">
        <f t="shared" si="0"/>
        <v>0</v>
      </c>
      <c r="K21" s="20">
        <f t="shared" si="1"/>
        <v>0</v>
      </c>
      <c r="L21" s="20">
        <f t="shared" si="2"/>
        <v>0</v>
      </c>
      <c r="M21" s="31" t="s">
        <v>488</v>
      </c>
      <c r="N21" s="6"/>
      <c r="Z21" s="36">
        <f t="shared" si="3"/>
        <v>0</v>
      </c>
      <c r="AB21" s="36">
        <f t="shared" si="4"/>
        <v>0</v>
      </c>
      <c r="AC21" s="36">
        <f t="shared" si="5"/>
        <v>0</v>
      </c>
      <c r="AD21" s="36">
        <f t="shared" si="6"/>
        <v>0</v>
      </c>
      <c r="AE21" s="36">
        <f t="shared" si="7"/>
        <v>0</v>
      </c>
      <c r="AF21" s="36">
        <f t="shared" si="8"/>
        <v>0</v>
      </c>
      <c r="AG21" s="36">
        <f t="shared" si="9"/>
        <v>0</v>
      </c>
      <c r="AH21" s="36">
        <f t="shared" si="10"/>
        <v>0</v>
      </c>
      <c r="AI21" s="35" t="s">
        <v>498</v>
      </c>
      <c r="AJ21" s="20">
        <f t="shared" si="11"/>
        <v>0</v>
      </c>
      <c r="AK21" s="20">
        <f t="shared" si="12"/>
        <v>0</v>
      </c>
      <c r="AL21" s="20">
        <f t="shared" si="13"/>
        <v>0</v>
      </c>
      <c r="AN21" s="36">
        <v>21</v>
      </c>
      <c r="AO21" s="36">
        <f t="shared" si="14"/>
        <v>0</v>
      </c>
      <c r="AP21" s="36">
        <f t="shared" si="15"/>
        <v>0</v>
      </c>
      <c r="AQ21" s="37" t="s">
        <v>11</v>
      </c>
      <c r="AV21" s="36">
        <f t="shared" si="16"/>
        <v>0</v>
      </c>
      <c r="AW21" s="36">
        <f t="shared" si="17"/>
        <v>0</v>
      </c>
      <c r="AX21" s="36">
        <f t="shared" si="18"/>
        <v>0</v>
      </c>
      <c r="AY21" s="39" t="s">
        <v>501</v>
      </c>
      <c r="AZ21" s="39" t="s">
        <v>514</v>
      </c>
      <c r="BA21" s="35" t="s">
        <v>518</v>
      </c>
      <c r="BC21" s="36">
        <f t="shared" si="19"/>
        <v>0</v>
      </c>
      <c r="BD21" s="36">
        <f t="shared" si="20"/>
        <v>0</v>
      </c>
      <c r="BE21" s="36">
        <v>0</v>
      </c>
      <c r="BF21" s="36">
        <f>21</f>
        <v>21</v>
      </c>
      <c r="BH21" s="20">
        <f t="shared" si="21"/>
        <v>0</v>
      </c>
      <c r="BI21" s="20">
        <f t="shared" si="22"/>
        <v>0</v>
      </c>
      <c r="BJ21" s="20">
        <f t="shared" si="23"/>
        <v>0</v>
      </c>
      <c r="BK21" s="20" t="s">
        <v>524</v>
      </c>
      <c r="BL21" s="36" t="s">
        <v>172</v>
      </c>
    </row>
    <row r="22" spans="1:64" x14ac:dyDescent="0.25">
      <c r="A22" s="4" t="s">
        <v>14</v>
      </c>
      <c r="B22" s="13" t="s">
        <v>179</v>
      </c>
      <c r="C22" s="148" t="s">
        <v>359</v>
      </c>
      <c r="D22" s="149"/>
      <c r="E22" s="149"/>
      <c r="F22" s="149"/>
      <c r="G22" s="13" t="s">
        <v>469</v>
      </c>
      <c r="H22" s="80">
        <v>6.085</v>
      </c>
      <c r="I22" s="20">
        <v>0</v>
      </c>
      <c r="J22" s="20">
        <f t="shared" si="0"/>
        <v>0</v>
      </c>
      <c r="K22" s="20">
        <f t="shared" si="1"/>
        <v>0</v>
      </c>
      <c r="L22" s="20">
        <f t="shared" si="2"/>
        <v>0</v>
      </c>
      <c r="M22" s="31" t="s">
        <v>488</v>
      </c>
      <c r="N22" s="6"/>
      <c r="Z22" s="36">
        <f t="shared" si="3"/>
        <v>0</v>
      </c>
      <c r="AB22" s="36">
        <f t="shared" si="4"/>
        <v>0</v>
      </c>
      <c r="AC22" s="36">
        <f t="shared" si="5"/>
        <v>0</v>
      </c>
      <c r="AD22" s="36">
        <f t="shared" si="6"/>
        <v>0</v>
      </c>
      <c r="AE22" s="36">
        <f t="shared" si="7"/>
        <v>0</v>
      </c>
      <c r="AF22" s="36">
        <f t="shared" si="8"/>
        <v>0</v>
      </c>
      <c r="AG22" s="36">
        <f t="shared" si="9"/>
        <v>0</v>
      </c>
      <c r="AH22" s="36">
        <f t="shared" si="10"/>
        <v>0</v>
      </c>
      <c r="AI22" s="35" t="s">
        <v>498</v>
      </c>
      <c r="AJ22" s="20">
        <f t="shared" si="11"/>
        <v>0</v>
      </c>
      <c r="AK22" s="20">
        <f t="shared" si="12"/>
        <v>0</v>
      </c>
      <c r="AL22" s="20">
        <f t="shared" si="13"/>
        <v>0</v>
      </c>
      <c r="AN22" s="36">
        <v>21</v>
      </c>
      <c r="AO22" s="36">
        <f t="shared" si="14"/>
        <v>0</v>
      </c>
      <c r="AP22" s="36">
        <f t="shared" si="15"/>
        <v>0</v>
      </c>
      <c r="AQ22" s="37" t="s">
        <v>11</v>
      </c>
      <c r="AV22" s="36">
        <f t="shared" si="16"/>
        <v>0</v>
      </c>
      <c r="AW22" s="36">
        <f t="shared" si="17"/>
        <v>0</v>
      </c>
      <c r="AX22" s="36">
        <f t="shared" si="18"/>
        <v>0</v>
      </c>
      <c r="AY22" s="39" t="s">
        <v>501</v>
      </c>
      <c r="AZ22" s="39" t="s">
        <v>514</v>
      </c>
      <c r="BA22" s="35" t="s">
        <v>518</v>
      </c>
      <c r="BC22" s="36">
        <f t="shared" si="19"/>
        <v>0</v>
      </c>
      <c r="BD22" s="36">
        <f t="shared" si="20"/>
        <v>0</v>
      </c>
      <c r="BE22" s="36">
        <v>0</v>
      </c>
      <c r="BF22" s="36">
        <f>22</f>
        <v>22</v>
      </c>
      <c r="BH22" s="20">
        <f t="shared" si="21"/>
        <v>0</v>
      </c>
      <c r="BI22" s="20">
        <f t="shared" si="22"/>
        <v>0</v>
      </c>
      <c r="BJ22" s="20">
        <f t="shared" si="23"/>
        <v>0</v>
      </c>
      <c r="BK22" s="20" t="s">
        <v>524</v>
      </c>
      <c r="BL22" s="36" t="s">
        <v>172</v>
      </c>
    </row>
    <row r="23" spans="1:64" x14ac:dyDescent="0.25">
      <c r="A23" s="4" t="s">
        <v>15</v>
      </c>
      <c r="B23" s="13" t="s">
        <v>180</v>
      </c>
      <c r="C23" s="148" t="s">
        <v>360</v>
      </c>
      <c r="D23" s="149"/>
      <c r="E23" s="149"/>
      <c r="F23" s="149"/>
      <c r="G23" s="13" t="s">
        <v>469</v>
      </c>
      <c r="H23" s="80">
        <v>0.76</v>
      </c>
      <c r="I23" s="20">
        <v>0</v>
      </c>
      <c r="J23" s="20">
        <f t="shared" si="0"/>
        <v>0</v>
      </c>
      <c r="K23" s="20">
        <f t="shared" si="1"/>
        <v>0</v>
      </c>
      <c r="L23" s="20">
        <f t="shared" si="2"/>
        <v>0</v>
      </c>
      <c r="M23" s="31" t="s">
        <v>488</v>
      </c>
      <c r="N23" s="6"/>
      <c r="Z23" s="36">
        <f t="shared" si="3"/>
        <v>0</v>
      </c>
      <c r="AB23" s="36">
        <f t="shared" si="4"/>
        <v>0</v>
      </c>
      <c r="AC23" s="36">
        <f t="shared" si="5"/>
        <v>0</v>
      </c>
      <c r="AD23" s="36">
        <f t="shared" si="6"/>
        <v>0</v>
      </c>
      <c r="AE23" s="36">
        <f t="shared" si="7"/>
        <v>0</v>
      </c>
      <c r="AF23" s="36">
        <f t="shared" si="8"/>
        <v>0</v>
      </c>
      <c r="AG23" s="36">
        <f t="shared" si="9"/>
        <v>0</v>
      </c>
      <c r="AH23" s="36">
        <f t="shared" si="10"/>
        <v>0</v>
      </c>
      <c r="AI23" s="35" t="s">
        <v>498</v>
      </c>
      <c r="AJ23" s="20">
        <f t="shared" si="11"/>
        <v>0</v>
      </c>
      <c r="AK23" s="20">
        <f t="shared" si="12"/>
        <v>0</v>
      </c>
      <c r="AL23" s="20">
        <f t="shared" si="13"/>
        <v>0</v>
      </c>
      <c r="AN23" s="36">
        <v>21</v>
      </c>
      <c r="AO23" s="36">
        <f t="shared" si="14"/>
        <v>0</v>
      </c>
      <c r="AP23" s="36">
        <f t="shared" si="15"/>
        <v>0</v>
      </c>
      <c r="AQ23" s="37" t="s">
        <v>11</v>
      </c>
      <c r="AV23" s="36">
        <f t="shared" si="16"/>
        <v>0</v>
      </c>
      <c r="AW23" s="36">
        <f t="shared" si="17"/>
        <v>0</v>
      </c>
      <c r="AX23" s="36">
        <f t="shared" si="18"/>
        <v>0</v>
      </c>
      <c r="AY23" s="39" t="s">
        <v>501</v>
      </c>
      <c r="AZ23" s="39" t="s">
        <v>514</v>
      </c>
      <c r="BA23" s="35" t="s">
        <v>518</v>
      </c>
      <c r="BC23" s="36">
        <f t="shared" si="19"/>
        <v>0</v>
      </c>
      <c r="BD23" s="36">
        <f t="shared" si="20"/>
        <v>0</v>
      </c>
      <c r="BE23" s="36">
        <v>0</v>
      </c>
      <c r="BF23" s="36">
        <f>23</f>
        <v>23</v>
      </c>
      <c r="BH23" s="20">
        <f t="shared" si="21"/>
        <v>0</v>
      </c>
      <c r="BI23" s="20">
        <f t="shared" si="22"/>
        <v>0</v>
      </c>
      <c r="BJ23" s="20">
        <f t="shared" si="23"/>
        <v>0</v>
      </c>
      <c r="BK23" s="20" t="s">
        <v>524</v>
      </c>
      <c r="BL23" s="36" t="s">
        <v>172</v>
      </c>
    </row>
    <row r="24" spans="1:64" x14ac:dyDescent="0.25">
      <c r="A24" s="4" t="s">
        <v>16</v>
      </c>
      <c r="B24" s="13" t="s">
        <v>181</v>
      </c>
      <c r="C24" s="148" t="s">
        <v>361</v>
      </c>
      <c r="D24" s="149"/>
      <c r="E24" s="149"/>
      <c r="F24" s="149"/>
      <c r="G24" s="13" t="s">
        <v>469</v>
      </c>
      <c r="H24" s="80">
        <v>4.109</v>
      </c>
      <c r="I24" s="20">
        <v>0</v>
      </c>
      <c r="J24" s="20">
        <f t="shared" si="0"/>
        <v>0</v>
      </c>
      <c r="K24" s="20">
        <f t="shared" si="1"/>
        <v>0</v>
      </c>
      <c r="L24" s="20">
        <f t="shared" si="2"/>
        <v>0</v>
      </c>
      <c r="M24" s="31" t="s">
        <v>488</v>
      </c>
      <c r="N24" s="6"/>
      <c r="Z24" s="36">
        <f t="shared" si="3"/>
        <v>0</v>
      </c>
      <c r="AB24" s="36">
        <f t="shared" si="4"/>
        <v>0</v>
      </c>
      <c r="AC24" s="36">
        <f t="shared" si="5"/>
        <v>0</v>
      </c>
      <c r="AD24" s="36">
        <f t="shared" si="6"/>
        <v>0</v>
      </c>
      <c r="AE24" s="36">
        <f t="shared" si="7"/>
        <v>0</v>
      </c>
      <c r="AF24" s="36">
        <f t="shared" si="8"/>
        <v>0</v>
      </c>
      <c r="AG24" s="36">
        <f t="shared" si="9"/>
        <v>0</v>
      </c>
      <c r="AH24" s="36">
        <f t="shared" si="10"/>
        <v>0</v>
      </c>
      <c r="AI24" s="35" t="s">
        <v>498</v>
      </c>
      <c r="AJ24" s="20">
        <f t="shared" si="11"/>
        <v>0</v>
      </c>
      <c r="AK24" s="20">
        <f t="shared" si="12"/>
        <v>0</v>
      </c>
      <c r="AL24" s="20">
        <f t="shared" si="13"/>
        <v>0</v>
      </c>
      <c r="AN24" s="36">
        <v>21</v>
      </c>
      <c r="AO24" s="36">
        <f t="shared" si="14"/>
        <v>0</v>
      </c>
      <c r="AP24" s="36">
        <f t="shared" si="15"/>
        <v>0</v>
      </c>
      <c r="AQ24" s="37" t="s">
        <v>11</v>
      </c>
      <c r="AV24" s="36">
        <f t="shared" si="16"/>
        <v>0</v>
      </c>
      <c r="AW24" s="36">
        <f t="shared" si="17"/>
        <v>0</v>
      </c>
      <c r="AX24" s="36">
        <f t="shared" si="18"/>
        <v>0</v>
      </c>
      <c r="AY24" s="39" t="s">
        <v>501</v>
      </c>
      <c r="AZ24" s="39" t="s">
        <v>514</v>
      </c>
      <c r="BA24" s="35" t="s">
        <v>518</v>
      </c>
      <c r="BC24" s="36">
        <f t="shared" si="19"/>
        <v>0</v>
      </c>
      <c r="BD24" s="36">
        <f t="shared" si="20"/>
        <v>0</v>
      </c>
      <c r="BE24" s="36">
        <v>0</v>
      </c>
      <c r="BF24" s="36">
        <f>24</f>
        <v>24</v>
      </c>
      <c r="BH24" s="20">
        <f t="shared" si="21"/>
        <v>0</v>
      </c>
      <c r="BI24" s="20">
        <f t="shared" si="22"/>
        <v>0</v>
      </c>
      <c r="BJ24" s="20">
        <f t="shared" si="23"/>
        <v>0</v>
      </c>
      <c r="BK24" s="20" t="s">
        <v>524</v>
      </c>
      <c r="BL24" s="36" t="s">
        <v>172</v>
      </c>
    </row>
    <row r="25" spans="1:64" x14ac:dyDescent="0.25">
      <c r="A25" s="4" t="s">
        <v>17</v>
      </c>
      <c r="B25" s="13" t="s">
        <v>182</v>
      </c>
      <c r="C25" s="148" t="s">
        <v>362</v>
      </c>
      <c r="D25" s="149"/>
      <c r="E25" s="149"/>
      <c r="F25" s="149"/>
      <c r="G25" s="13" t="s">
        <v>469</v>
      </c>
      <c r="H25" s="80">
        <v>1.216</v>
      </c>
      <c r="I25" s="20">
        <v>0</v>
      </c>
      <c r="J25" s="20">
        <f t="shared" si="0"/>
        <v>0</v>
      </c>
      <c r="K25" s="20">
        <f t="shared" si="1"/>
        <v>0</v>
      </c>
      <c r="L25" s="20">
        <f t="shared" si="2"/>
        <v>0</v>
      </c>
      <c r="M25" s="31" t="s">
        <v>488</v>
      </c>
      <c r="N25" s="6"/>
      <c r="Z25" s="36">
        <f t="shared" si="3"/>
        <v>0</v>
      </c>
      <c r="AB25" s="36">
        <f t="shared" si="4"/>
        <v>0</v>
      </c>
      <c r="AC25" s="36">
        <f t="shared" si="5"/>
        <v>0</v>
      </c>
      <c r="AD25" s="36">
        <f t="shared" si="6"/>
        <v>0</v>
      </c>
      <c r="AE25" s="36">
        <f t="shared" si="7"/>
        <v>0</v>
      </c>
      <c r="AF25" s="36">
        <f t="shared" si="8"/>
        <v>0</v>
      </c>
      <c r="AG25" s="36">
        <f t="shared" si="9"/>
        <v>0</v>
      </c>
      <c r="AH25" s="36">
        <f t="shared" si="10"/>
        <v>0</v>
      </c>
      <c r="AI25" s="35" t="s">
        <v>498</v>
      </c>
      <c r="AJ25" s="20">
        <f t="shared" si="11"/>
        <v>0</v>
      </c>
      <c r="AK25" s="20">
        <f t="shared" si="12"/>
        <v>0</v>
      </c>
      <c r="AL25" s="20">
        <f t="shared" si="13"/>
        <v>0</v>
      </c>
      <c r="AN25" s="36">
        <v>21</v>
      </c>
      <c r="AO25" s="36">
        <f t="shared" si="14"/>
        <v>0</v>
      </c>
      <c r="AP25" s="36">
        <f t="shared" si="15"/>
        <v>0</v>
      </c>
      <c r="AQ25" s="37" t="s">
        <v>11</v>
      </c>
      <c r="AV25" s="36">
        <f t="shared" si="16"/>
        <v>0</v>
      </c>
      <c r="AW25" s="36">
        <f t="shared" si="17"/>
        <v>0</v>
      </c>
      <c r="AX25" s="36">
        <f t="shared" si="18"/>
        <v>0</v>
      </c>
      <c r="AY25" s="39" t="s">
        <v>501</v>
      </c>
      <c r="AZ25" s="39" t="s">
        <v>514</v>
      </c>
      <c r="BA25" s="35" t="s">
        <v>518</v>
      </c>
      <c r="BC25" s="36">
        <f t="shared" si="19"/>
        <v>0</v>
      </c>
      <c r="BD25" s="36">
        <f t="shared" si="20"/>
        <v>0</v>
      </c>
      <c r="BE25" s="36">
        <v>0</v>
      </c>
      <c r="BF25" s="36">
        <f>25</f>
        <v>25</v>
      </c>
      <c r="BH25" s="20">
        <f t="shared" si="21"/>
        <v>0</v>
      </c>
      <c r="BI25" s="20">
        <f t="shared" si="22"/>
        <v>0</v>
      </c>
      <c r="BJ25" s="20">
        <f t="shared" si="23"/>
        <v>0</v>
      </c>
      <c r="BK25" s="20" t="s">
        <v>524</v>
      </c>
      <c r="BL25" s="36" t="s">
        <v>172</v>
      </c>
    </row>
    <row r="26" spans="1:64" x14ac:dyDescent="0.25">
      <c r="A26" s="3"/>
      <c r="B26" s="12" t="s">
        <v>183</v>
      </c>
      <c r="C26" s="155" t="s">
        <v>363</v>
      </c>
      <c r="D26" s="156"/>
      <c r="E26" s="156"/>
      <c r="F26" s="156"/>
      <c r="G26" s="18" t="s">
        <v>6</v>
      </c>
      <c r="H26" s="18" t="s">
        <v>6</v>
      </c>
      <c r="I26" s="18" t="s">
        <v>6</v>
      </c>
      <c r="J26" s="41">
        <f>SUM(J27:J35)</f>
        <v>0</v>
      </c>
      <c r="K26" s="41">
        <f>SUM(K27:K35)</f>
        <v>0</v>
      </c>
      <c r="L26" s="41">
        <f>SUM(L27:L35)</f>
        <v>0</v>
      </c>
      <c r="M26" s="30"/>
      <c r="N26" s="6"/>
      <c r="AI26" s="35" t="s">
        <v>498</v>
      </c>
      <c r="AS26" s="41">
        <f>SUM(AJ27:AJ35)</f>
        <v>0</v>
      </c>
      <c r="AT26" s="41">
        <f>SUM(AK27:AK35)</f>
        <v>0</v>
      </c>
      <c r="AU26" s="41">
        <f>SUM(AL27:AL35)</f>
        <v>0</v>
      </c>
    </row>
    <row r="27" spans="1:64" x14ac:dyDescent="0.25">
      <c r="A27" s="4" t="s">
        <v>18</v>
      </c>
      <c r="B27" s="13" t="s">
        <v>184</v>
      </c>
      <c r="C27" s="148" t="s">
        <v>364</v>
      </c>
      <c r="D27" s="149"/>
      <c r="E27" s="149"/>
      <c r="F27" s="149"/>
      <c r="G27" s="13" t="s">
        <v>470</v>
      </c>
      <c r="H27" s="80">
        <v>2054.2620000000002</v>
      </c>
      <c r="I27" s="20">
        <v>0</v>
      </c>
      <c r="J27" s="20">
        <f t="shared" ref="J27:J35" si="24">H27*AO27</f>
        <v>0</v>
      </c>
      <c r="K27" s="20">
        <f t="shared" ref="K27:K35" si="25">H27*AP27</f>
        <v>0</v>
      </c>
      <c r="L27" s="20">
        <f t="shared" ref="L27:L35" si="26">H27*I27</f>
        <v>0</v>
      </c>
      <c r="M27" s="31" t="s">
        <v>488</v>
      </c>
      <c r="N27" s="6"/>
      <c r="Z27" s="36">
        <f t="shared" ref="Z27:Z35" si="27">IF(AQ27="5",BJ27,0)</f>
        <v>0</v>
      </c>
      <c r="AB27" s="36">
        <f t="shared" ref="AB27:AB35" si="28">IF(AQ27="1",BH27,0)</f>
        <v>0</v>
      </c>
      <c r="AC27" s="36">
        <f t="shared" ref="AC27:AC35" si="29">IF(AQ27="1",BI27,0)</f>
        <v>0</v>
      </c>
      <c r="AD27" s="36">
        <f t="shared" ref="AD27:AD35" si="30">IF(AQ27="7",BH27,0)</f>
        <v>0</v>
      </c>
      <c r="AE27" s="36">
        <f t="shared" ref="AE27:AE35" si="31">IF(AQ27="7",BI27,0)</f>
        <v>0</v>
      </c>
      <c r="AF27" s="36">
        <f t="shared" ref="AF27:AF35" si="32">IF(AQ27="2",BH27,0)</f>
        <v>0</v>
      </c>
      <c r="AG27" s="36">
        <f t="shared" ref="AG27:AG35" si="33">IF(AQ27="2",BI27,0)</f>
        <v>0</v>
      </c>
      <c r="AH27" s="36">
        <f t="shared" ref="AH27:AH35" si="34">IF(AQ27="0",BJ27,0)</f>
        <v>0</v>
      </c>
      <c r="AI27" s="35" t="s">
        <v>498</v>
      </c>
      <c r="AJ27" s="20">
        <f t="shared" ref="AJ27:AJ35" si="35">IF(AN27=0,L27,0)</f>
        <v>0</v>
      </c>
      <c r="AK27" s="20">
        <f t="shared" ref="AK27:AK35" si="36">IF(AN27=15,L27,0)</f>
        <v>0</v>
      </c>
      <c r="AL27" s="20">
        <f t="shared" ref="AL27:AL35" si="37">IF(AN27=21,L27,0)</f>
        <v>0</v>
      </c>
      <c r="AN27" s="36">
        <v>21</v>
      </c>
      <c r="AO27" s="36">
        <f>I27*0</f>
        <v>0</v>
      </c>
      <c r="AP27" s="36">
        <f>I27*(1-0)</f>
        <v>0</v>
      </c>
      <c r="AQ27" s="37" t="s">
        <v>13</v>
      </c>
      <c r="AV27" s="36">
        <f t="shared" ref="AV27:AV35" si="38">AW27+AX27</f>
        <v>0</v>
      </c>
      <c r="AW27" s="36">
        <f t="shared" ref="AW27:AW35" si="39">H27*AO27</f>
        <v>0</v>
      </c>
      <c r="AX27" s="36">
        <f t="shared" ref="AX27:AX35" si="40">H27*AP27</f>
        <v>0</v>
      </c>
      <c r="AY27" s="39" t="s">
        <v>502</v>
      </c>
      <c r="AZ27" s="39" t="s">
        <v>515</v>
      </c>
      <c r="BA27" s="35" t="s">
        <v>518</v>
      </c>
      <c r="BC27" s="36">
        <f t="shared" ref="BC27:BC35" si="41">AW27+AX27</f>
        <v>0</v>
      </c>
      <c r="BD27" s="36">
        <f t="shared" ref="BD27:BD35" si="42">I27/(100-BE27)*100</f>
        <v>0</v>
      </c>
      <c r="BE27" s="36">
        <v>0</v>
      </c>
      <c r="BF27" s="36">
        <f>27</f>
        <v>27</v>
      </c>
      <c r="BH27" s="20">
        <f t="shared" ref="BH27:BH35" si="43">H27*AO27</f>
        <v>0</v>
      </c>
      <c r="BI27" s="20">
        <f t="shared" ref="BI27:BI35" si="44">H27*AP27</f>
        <v>0</v>
      </c>
      <c r="BJ27" s="20">
        <f t="shared" ref="BJ27:BJ35" si="45">H27*I27</f>
        <v>0</v>
      </c>
      <c r="BK27" s="20" t="s">
        <v>524</v>
      </c>
      <c r="BL27" s="36">
        <v>712</v>
      </c>
    </row>
    <row r="28" spans="1:64" x14ac:dyDescent="0.25">
      <c r="A28" s="4" t="s">
        <v>19</v>
      </c>
      <c r="B28" s="13" t="s">
        <v>185</v>
      </c>
      <c r="C28" s="148" t="s">
        <v>365</v>
      </c>
      <c r="D28" s="149"/>
      <c r="E28" s="149"/>
      <c r="F28" s="149"/>
      <c r="G28" s="13" t="s">
        <v>471</v>
      </c>
      <c r="H28" s="80">
        <v>27</v>
      </c>
      <c r="I28" s="20">
        <v>0</v>
      </c>
      <c r="J28" s="20">
        <f t="shared" si="24"/>
        <v>0</v>
      </c>
      <c r="K28" s="20">
        <f t="shared" si="25"/>
        <v>0</v>
      </c>
      <c r="L28" s="20">
        <f t="shared" si="26"/>
        <v>0</v>
      </c>
      <c r="M28" s="31" t="s">
        <v>488</v>
      </c>
      <c r="N28" s="6"/>
      <c r="Z28" s="36">
        <f t="shared" si="27"/>
        <v>0</v>
      </c>
      <c r="AB28" s="36">
        <f t="shared" si="28"/>
        <v>0</v>
      </c>
      <c r="AC28" s="36">
        <f t="shared" si="29"/>
        <v>0</v>
      </c>
      <c r="AD28" s="36">
        <f t="shared" si="30"/>
        <v>0</v>
      </c>
      <c r="AE28" s="36">
        <f t="shared" si="31"/>
        <v>0</v>
      </c>
      <c r="AF28" s="36">
        <f t="shared" si="32"/>
        <v>0</v>
      </c>
      <c r="AG28" s="36">
        <f t="shared" si="33"/>
        <v>0</v>
      </c>
      <c r="AH28" s="36">
        <f t="shared" si="34"/>
        <v>0</v>
      </c>
      <c r="AI28" s="35" t="s">
        <v>498</v>
      </c>
      <c r="AJ28" s="20">
        <f t="shared" si="35"/>
        <v>0</v>
      </c>
      <c r="AK28" s="20">
        <f t="shared" si="36"/>
        <v>0</v>
      </c>
      <c r="AL28" s="20">
        <f t="shared" si="37"/>
        <v>0</v>
      </c>
      <c r="AN28" s="36">
        <v>21</v>
      </c>
      <c r="AO28" s="36">
        <f>I28*0.757797480299435</f>
        <v>0</v>
      </c>
      <c r="AP28" s="36">
        <f>I28*(1-0.757797480299435)</f>
        <v>0</v>
      </c>
      <c r="AQ28" s="37" t="s">
        <v>13</v>
      </c>
      <c r="AV28" s="36">
        <f t="shared" si="38"/>
        <v>0</v>
      </c>
      <c r="AW28" s="36">
        <f t="shared" si="39"/>
        <v>0</v>
      </c>
      <c r="AX28" s="36">
        <f t="shared" si="40"/>
        <v>0</v>
      </c>
      <c r="AY28" s="39" t="s">
        <v>502</v>
      </c>
      <c r="AZ28" s="39" t="s">
        <v>515</v>
      </c>
      <c r="BA28" s="35" t="s">
        <v>518</v>
      </c>
      <c r="BC28" s="36">
        <f t="shared" si="41"/>
        <v>0</v>
      </c>
      <c r="BD28" s="36">
        <f t="shared" si="42"/>
        <v>0</v>
      </c>
      <c r="BE28" s="36">
        <v>0</v>
      </c>
      <c r="BF28" s="36">
        <f>28</f>
        <v>28</v>
      </c>
      <c r="BH28" s="20">
        <f t="shared" si="43"/>
        <v>0</v>
      </c>
      <c r="BI28" s="20">
        <f t="shared" si="44"/>
        <v>0</v>
      </c>
      <c r="BJ28" s="20">
        <f t="shared" si="45"/>
        <v>0</v>
      </c>
      <c r="BK28" s="20" t="s">
        <v>524</v>
      </c>
      <c r="BL28" s="36">
        <v>712</v>
      </c>
    </row>
    <row r="29" spans="1:64" x14ac:dyDescent="0.25">
      <c r="A29" s="4" t="s">
        <v>20</v>
      </c>
      <c r="B29" s="13" t="s">
        <v>186</v>
      </c>
      <c r="C29" s="148" t="s">
        <v>366</v>
      </c>
      <c r="D29" s="149"/>
      <c r="E29" s="149"/>
      <c r="F29" s="149"/>
      <c r="G29" s="13" t="s">
        <v>471</v>
      </c>
      <c r="H29" s="80">
        <v>8</v>
      </c>
      <c r="I29" s="20">
        <v>0</v>
      </c>
      <c r="J29" s="20">
        <f t="shared" si="24"/>
        <v>0</v>
      </c>
      <c r="K29" s="20">
        <f t="shared" si="25"/>
        <v>0</v>
      </c>
      <c r="L29" s="20">
        <f t="shared" si="26"/>
        <v>0</v>
      </c>
      <c r="M29" s="31" t="s">
        <v>488</v>
      </c>
      <c r="N29" s="6"/>
      <c r="Z29" s="36">
        <f t="shared" si="27"/>
        <v>0</v>
      </c>
      <c r="AB29" s="36">
        <f t="shared" si="28"/>
        <v>0</v>
      </c>
      <c r="AC29" s="36">
        <f t="shared" si="29"/>
        <v>0</v>
      </c>
      <c r="AD29" s="36">
        <f t="shared" si="30"/>
        <v>0</v>
      </c>
      <c r="AE29" s="36">
        <f t="shared" si="31"/>
        <v>0</v>
      </c>
      <c r="AF29" s="36">
        <f t="shared" si="32"/>
        <v>0</v>
      </c>
      <c r="AG29" s="36">
        <f t="shared" si="33"/>
        <v>0</v>
      </c>
      <c r="AH29" s="36">
        <f t="shared" si="34"/>
        <v>0</v>
      </c>
      <c r="AI29" s="35" t="s">
        <v>498</v>
      </c>
      <c r="AJ29" s="20">
        <f t="shared" si="35"/>
        <v>0</v>
      </c>
      <c r="AK29" s="20">
        <f t="shared" si="36"/>
        <v>0</v>
      </c>
      <c r="AL29" s="20">
        <f t="shared" si="37"/>
        <v>0</v>
      </c>
      <c r="AN29" s="36">
        <v>21</v>
      </c>
      <c r="AO29" s="36">
        <f>I29*0.750766666666667</f>
        <v>0</v>
      </c>
      <c r="AP29" s="36">
        <f>I29*(1-0.750766666666667)</f>
        <v>0</v>
      </c>
      <c r="AQ29" s="37" t="s">
        <v>13</v>
      </c>
      <c r="AV29" s="36">
        <f t="shared" si="38"/>
        <v>0</v>
      </c>
      <c r="AW29" s="36">
        <f t="shared" si="39"/>
        <v>0</v>
      </c>
      <c r="AX29" s="36">
        <f t="shared" si="40"/>
        <v>0</v>
      </c>
      <c r="AY29" s="39" t="s">
        <v>502</v>
      </c>
      <c r="AZ29" s="39" t="s">
        <v>515</v>
      </c>
      <c r="BA29" s="35" t="s">
        <v>518</v>
      </c>
      <c r="BC29" s="36">
        <f t="shared" si="41"/>
        <v>0</v>
      </c>
      <c r="BD29" s="36">
        <f t="shared" si="42"/>
        <v>0</v>
      </c>
      <c r="BE29" s="36">
        <v>0</v>
      </c>
      <c r="BF29" s="36">
        <f>29</f>
        <v>29</v>
      </c>
      <c r="BH29" s="20">
        <f t="shared" si="43"/>
        <v>0</v>
      </c>
      <c r="BI29" s="20">
        <f t="shared" si="44"/>
        <v>0</v>
      </c>
      <c r="BJ29" s="20">
        <f t="shared" si="45"/>
        <v>0</v>
      </c>
      <c r="BK29" s="20" t="s">
        <v>524</v>
      </c>
      <c r="BL29" s="36">
        <v>712</v>
      </c>
    </row>
    <row r="30" spans="1:64" x14ac:dyDescent="0.25">
      <c r="A30" s="4" t="s">
        <v>21</v>
      </c>
      <c r="B30" s="13" t="s">
        <v>187</v>
      </c>
      <c r="C30" s="148" t="s">
        <v>367</v>
      </c>
      <c r="D30" s="149"/>
      <c r="E30" s="149"/>
      <c r="F30" s="149"/>
      <c r="G30" s="13" t="s">
        <v>470</v>
      </c>
      <c r="H30" s="80">
        <v>1944.354</v>
      </c>
      <c r="I30" s="20">
        <v>0</v>
      </c>
      <c r="J30" s="20">
        <f t="shared" si="24"/>
        <v>0</v>
      </c>
      <c r="K30" s="20">
        <f t="shared" si="25"/>
        <v>0</v>
      </c>
      <c r="L30" s="20">
        <f t="shared" si="26"/>
        <v>0</v>
      </c>
      <c r="M30" s="31" t="s">
        <v>488</v>
      </c>
      <c r="N30" s="6"/>
      <c r="Z30" s="36">
        <f t="shared" si="27"/>
        <v>0</v>
      </c>
      <c r="AB30" s="36">
        <f t="shared" si="28"/>
        <v>0</v>
      </c>
      <c r="AC30" s="36">
        <f t="shared" si="29"/>
        <v>0</v>
      </c>
      <c r="AD30" s="36">
        <f t="shared" si="30"/>
        <v>0</v>
      </c>
      <c r="AE30" s="36">
        <f t="shared" si="31"/>
        <v>0</v>
      </c>
      <c r="AF30" s="36">
        <f t="shared" si="32"/>
        <v>0</v>
      </c>
      <c r="AG30" s="36">
        <f t="shared" si="33"/>
        <v>0</v>
      </c>
      <c r="AH30" s="36">
        <f t="shared" si="34"/>
        <v>0</v>
      </c>
      <c r="AI30" s="35" t="s">
        <v>498</v>
      </c>
      <c r="AJ30" s="20">
        <f t="shared" si="35"/>
        <v>0</v>
      </c>
      <c r="AK30" s="20">
        <f t="shared" si="36"/>
        <v>0</v>
      </c>
      <c r="AL30" s="20">
        <f t="shared" si="37"/>
        <v>0</v>
      </c>
      <c r="AN30" s="36">
        <v>21</v>
      </c>
      <c r="AO30" s="36">
        <f>I30*0.117130045383328</f>
        <v>0</v>
      </c>
      <c r="AP30" s="36">
        <f>I30*(1-0.117130045383328)</f>
        <v>0</v>
      </c>
      <c r="AQ30" s="37" t="s">
        <v>13</v>
      </c>
      <c r="AV30" s="36">
        <f t="shared" si="38"/>
        <v>0</v>
      </c>
      <c r="AW30" s="36">
        <f t="shared" si="39"/>
        <v>0</v>
      </c>
      <c r="AX30" s="36">
        <f t="shared" si="40"/>
        <v>0</v>
      </c>
      <c r="AY30" s="39" t="s">
        <v>502</v>
      </c>
      <c r="AZ30" s="39" t="s">
        <v>515</v>
      </c>
      <c r="BA30" s="35" t="s">
        <v>518</v>
      </c>
      <c r="BC30" s="36">
        <f t="shared" si="41"/>
        <v>0</v>
      </c>
      <c r="BD30" s="36">
        <f t="shared" si="42"/>
        <v>0</v>
      </c>
      <c r="BE30" s="36">
        <v>0</v>
      </c>
      <c r="BF30" s="36">
        <f>30</f>
        <v>30</v>
      </c>
      <c r="BH30" s="20">
        <f t="shared" si="43"/>
        <v>0</v>
      </c>
      <c r="BI30" s="20">
        <f t="shared" si="44"/>
        <v>0</v>
      </c>
      <c r="BJ30" s="20">
        <f t="shared" si="45"/>
        <v>0</v>
      </c>
      <c r="BK30" s="20" t="s">
        <v>524</v>
      </c>
      <c r="BL30" s="36">
        <v>712</v>
      </c>
    </row>
    <row r="31" spans="1:64" x14ac:dyDescent="0.25">
      <c r="A31" s="5" t="s">
        <v>22</v>
      </c>
      <c r="B31" s="14" t="s">
        <v>188</v>
      </c>
      <c r="C31" s="160" t="s">
        <v>368</v>
      </c>
      <c r="D31" s="161"/>
      <c r="E31" s="161"/>
      <c r="F31" s="161"/>
      <c r="G31" s="14" t="s">
        <v>470</v>
      </c>
      <c r="H31" s="82">
        <v>2138.7890000000002</v>
      </c>
      <c r="I31" s="21">
        <v>0</v>
      </c>
      <c r="J31" s="21">
        <f t="shared" si="24"/>
        <v>0</v>
      </c>
      <c r="K31" s="21">
        <f t="shared" si="25"/>
        <v>0</v>
      </c>
      <c r="L31" s="21">
        <f t="shared" si="26"/>
        <v>0</v>
      </c>
      <c r="M31" s="32" t="s">
        <v>488</v>
      </c>
      <c r="N31" s="6"/>
      <c r="Z31" s="36">
        <f t="shared" si="27"/>
        <v>0</v>
      </c>
      <c r="AB31" s="36">
        <f t="shared" si="28"/>
        <v>0</v>
      </c>
      <c r="AC31" s="36">
        <f t="shared" si="29"/>
        <v>0</v>
      </c>
      <c r="AD31" s="36">
        <f t="shared" si="30"/>
        <v>0</v>
      </c>
      <c r="AE31" s="36">
        <f t="shared" si="31"/>
        <v>0</v>
      </c>
      <c r="AF31" s="36">
        <f t="shared" si="32"/>
        <v>0</v>
      </c>
      <c r="AG31" s="36">
        <f t="shared" si="33"/>
        <v>0</v>
      </c>
      <c r="AH31" s="36">
        <f t="shared" si="34"/>
        <v>0</v>
      </c>
      <c r="AI31" s="35" t="s">
        <v>498</v>
      </c>
      <c r="AJ31" s="21">
        <f t="shared" si="35"/>
        <v>0</v>
      </c>
      <c r="AK31" s="21">
        <f t="shared" si="36"/>
        <v>0</v>
      </c>
      <c r="AL31" s="21">
        <f t="shared" si="37"/>
        <v>0</v>
      </c>
      <c r="AN31" s="36">
        <v>21</v>
      </c>
      <c r="AO31" s="36">
        <f>I31*1</f>
        <v>0</v>
      </c>
      <c r="AP31" s="36">
        <f>I31*(1-1)</f>
        <v>0</v>
      </c>
      <c r="AQ31" s="38" t="s">
        <v>13</v>
      </c>
      <c r="AV31" s="36">
        <f t="shared" si="38"/>
        <v>0</v>
      </c>
      <c r="AW31" s="36">
        <f t="shared" si="39"/>
        <v>0</v>
      </c>
      <c r="AX31" s="36">
        <f t="shared" si="40"/>
        <v>0</v>
      </c>
      <c r="AY31" s="39" t="s">
        <v>502</v>
      </c>
      <c r="AZ31" s="39" t="s">
        <v>515</v>
      </c>
      <c r="BA31" s="35" t="s">
        <v>518</v>
      </c>
      <c r="BC31" s="36">
        <f t="shared" si="41"/>
        <v>0</v>
      </c>
      <c r="BD31" s="36">
        <f t="shared" si="42"/>
        <v>0</v>
      </c>
      <c r="BE31" s="36">
        <v>0</v>
      </c>
      <c r="BF31" s="36">
        <f>31</f>
        <v>31</v>
      </c>
      <c r="BH31" s="21">
        <f t="shared" si="43"/>
        <v>0</v>
      </c>
      <c r="BI31" s="21">
        <f t="shared" si="44"/>
        <v>0</v>
      </c>
      <c r="BJ31" s="21">
        <f t="shared" si="45"/>
        <v>0</v>
      </c>
      <c r="BK31" s="21" t="s">
        <v>525</v>
      </c>
      <c r="BL31" s="36">
        <v>712</v>
      </c>
    </row>
    <row r="32" spans="1:64" x14ac:dyDescent="0.25">
      <c r="A32" s="4" t="s">
        <v>23</v>
      </c>
      <c r="B32" s="13" t="s">
        <v>189</v>
      </c>
      <c r="C32" s="148" t="s">
        <v>369</v>
      </c>
      <c r="D32" s="149"/>
      <c r="E32" s="149"/>
      <c r="F32" s="149"/>
      <c r="G32" s="13" t="s">
        <v>471</v>
      </c>
      <c r="H32" s="80">
        <v>5</v>
      </c>
      <c r="I32" s="20">
        <v>0</v>
      </c>
      <c r="J32" s="20">
        <f t="shared" si="24"/>
        <v>0</v>
      </c>
      <c r="K32" s="20">
        <f t="shared" si="25"/>
        <v>0</v>
      </c>
      <c r="L32" s="20">
        <f t="shared" si="26"/>
        <v>0</v>
      </c>
      <c r="M32" s="31" t="s">
        <v>488</v>
      </c>
      <c r="N32" s="6"/>
      <c r="Z32" s="36">
        <f t="shared" si="27"/>
        <v>0</v>
      </c>
      <c r="AB32" s="36">
        <f t="shared" si="28"/>
        <v>0</v>
      </c>
      <c r="AC32" s="36">
        <f t="shared" si="29"/>
        <v>0</v>
      </c>
      <c r="AD32" s="36">
        <f t="shared" si="30"/>
        <v>0</v>
      </c>
      <c r="AE32" s="36">
        <f t="shared" si="31"/>
        <v>0</v>
      </c>
      <c r="AF32" s="36">
        <f t="shared" si="32"/>
        <v>0</v>
      </c>
      <c r="AG32" s="36">
        <f t="shared" si="33"/>
        <v>0</v>
      </c>
      <c r="AH32" s="36">
        <f t="shared" si="34"/>
        <v>0</v>
      </c>
      <c r="AI32" s="35" t="s">
        <v>498</v>
      </c>
      <c r="AJ32" s="20">
        <f t="shared" si="35"/>
        <v>0</v>
      </c>
      <c r="AK32" s="20">
        <f t="shared" si="36"/>
        <v>0</v>
      </c>
      <c r="AL32" s="20">
        <f t="shared" si="37"/>
        <v>0</v>
      </c>
      <c r="AN32" s="36">
        <v>21</v>
      </c>
      <c r="AO32" s="36">
        <f>I32*0.802234848484848</f>
        <v>0</v>
      </c>
      <c r="AP32" s="36">
        <f>I32*(1-0.802234848484848)</f>
        <v>0</v>
      </c>
      <c r="AQ32" s="37" t="s">
        <v>13</v>
      </c>
      <c r="AV32" s="36">
        <f t="shared" si="38"/>
        <v>0</v>
      </c>
      <c r="AW32" s="36">
        <f t="shared" si="39"/>
        <v>0</v>
      </c>
      <c r="AX32" s="36">
        <f t="shared" si="40"/>
        <v>0</v>
      </c>
      <c r="AY32" s="39" t="s">
        <v>502</v>
      </c>
      <c r="AZ32" s="39" t="s">
        <v>515</v>
      </c>
      <c r="BA32" s="35" t="s">
        <v>518</v>
      </c>
      <c r="BC32" s="36">
        <f t="shared" si="41"/>
        <v>0</v>
      </c>
      <c r="BD32" s="36">
        <f t="shared" si="42"/>
        <v>0</v>
      </c>
      <c r="BE32" s="36">
        <v>0</v>
      </c>
      <c r="BF32" s="36">
        <f>32</f>
        <v>32</v>
      </c>
      <c r="BH32" s="20">
        <f t="shared" si="43"/>
        <v>0</v>
      </c>
      <c r="BI32" s="20">
        <f t="shared" si="44"/>
        <v>0</v>
      </c>
      <c r="BJ32" s="20">
        <f t="shared" si="45"/>
        <v>0</v>
      </c>
      <c r="BK32" s="20" t="s">
        <v>524</v>
      </c>
      <c r="BL32" s="36">
        <v>712</v>
      </c>
    </row>
    <row r="33" spans="1:64" x14ac:dyDescent="0.25">
      <c r="A33" s="4" t="s">
        <v>24</v>
      </c>
      <c r="B33" s="13" t="s">
        <v>190</v>
      </c>
      <c r="C33" s="148" t="s">
        <v>370</v>
      </c>
      <c r="D33" s="149"/>
      <c r="E33" s="149"/>
      <c r="F33" s="149"/>
      <c r="G33" s="13" t="s">
        <v>470</v>
      </c>
      <c r="H33" s="80">
        <v>273.54199999999997</v>
      </c>
      <c r="I33" s="20">
        <v>0</v>
      </c>
      <c r="J33" s="20">
        <f t="shared" si="24"/>
        <v>0</v>
      </c>
      <c r="K33" s="20">
        <f t="shared" si="25"/>
        <v>0</v>
      </c>
      <c r="L33" s="20">
        <f t="shared" si="26"/>
        <v>0</v>
      </c>
      <c r="M33" s="31" t="s">
        <v>488</v>
      </c>
      <c r="N33" s="6"/>
      <c r="Z33" s="36">
        <f t="shared" si="27"/>
        <v>0</v>
      </c>
      <c r="AB33" s="36">
        <f t="shared" si="28"/>
        <v>0</v>
      </c>
      <c r="AC33" s="36">
        <f t="shared" si="29"/>
        <v>0</v>
      </c>
      <c r="AD33" s="36">
        <f t="shared" si="30"/>
        <v>0</v>
      </c>
      <c r="AE33" s="36">
        <f t="shared" si="31"/>
        <v>0</v>
      </c>
      <c r="AF33" s="36">
        <f t="shared" si="32"/>
        <v>0</v>
      </c>
      <c r="AG33" s="36">
        <f t="shared" si="33"/>
        <v>0</v>
      </c>
      <c r="AH33" s="36">
        <f t="shared" si="34"/>
        <v>0</v>
      </c>
      <c r="AI33" s="35" t="s">
        <v>498</v>
      </c>
      <c r="AJ33" s="20">
        <f t="shared" si="35"/>
        <v>0</v>
      </c>
      <c r="AK33" s="20">
        <f t="shared" si="36"/>
        <v>0</v>
      </c>
      <c r="AL33" s="20">
        <f t="shared" si="37"/>
        <v>0</v>
      </c>
      <c r="AN33" s="36">
        <v>21</v>
      </c>
      <c r="AO33" s="36">
        <f>I33*0.0608580902141592</f>
        <v>0</v>
      </c>
      <c r="AP33" s="36">
        <f>I33*(1-0.0608580902141592)</f>
        <v>0</v>
      </c>
      <c r="AQ33" s="37" t="s">
        <v>13</v>
      </c>
      <c r="AV33" s="36">
        <f t="shared" si="38"/>
        <v>0</v>
      </c>
      <c r="AW33" s="36">
        <f t="shared" si="39"/>
        <v>0</v>
      </c>
      <c r="AX33" s="36">
        <f t="shared" si="40"/>
        <v>0</v>
      </c>
      <c r="AY33" s="39" t="s">
        <v>502</v>
      </c>
      <c r="AZ33" s="39" t="s">
        <v>515</v>
      </c>
      <c r="BA33" s="35" t="s">
        <v>518</v>
      </c>
      <c r="BC33" s="36">
        <f t="shared" si="41"/>
        <v>0</v>
      </c>
      <c r="BD33" s="36">
        <f t="shared" si="42"/>
        <v>0</v>
      </c>
      <c r="BE33" s="36">
        <v>0</v>
      </c>
      <c r="BF33" s="36">
        <f>33</f>
        <v>33</v>
      </c>
      <c r="BH33" s="20">
        <f t="shared" si="43"/>
        <v>0</v>
      </c>
      <c r="BI33" s="20">
        <f t="shared" si="44"/>
        <v>0</v>
      </c>
      <c r="BJ33" s="20">
        <f t="shared" si="45"/>
        <v>0</v>
      </c>
      <c r="BK33" s="20" t="s">
        <v>524</v>
      </c>
      <c r="BL33" s="36">
        <v>712</v>
      </c>
    </row>
    <row r="34" spans="1:64" x14ac:dyDescent="0.25">
      <c r="A34" s="5" t="s">
        <v>25</v>
      </c>
      <c r="B34" s="14" t="s">
        <v>188</v>
      </c>
      <c r="C34" s="160" t="s">
        <v>368</v>
      </c>
      <c r="D34" s="161"/>
      <c r="E34" s="161"/>
      <c r="F34" s="161"/>
      <c r="G34" s="14" t="s">
        <v>470</v>
      </c>
      <c r="H34" s="82">
        <v>314.57299999999998</v>
      </c>
      <c r="I34" s="21">
        <v>0</v>
      </c>
      <c r="J34" s="21">
        <f t="shared" si="24"/>
        <v>0</v>
      </c>
      <c r="K34" s="21">
        <f t="shared" si="25"/>
        <v>0</v>
      </c>
      <c r="L34" s="21">
        <f t="shared" si="26"/>
        <v>0</v>
      </c>
      <c r="M34" s="32" t="s">
        <v>488</v>
      </c>
      <c r="N34" s="6"/>
      <c r="Z34" s="36">
        <f t="shared" si="27"/>
        <v>0</v>
      </c>
      <c r="AB34" s="36">
        <f t="shared" si="28"/>
        <v>0</v>
      </c>
      <c r="AC34" s="36">
        <f t="shared" si="29"/>
        <v>0</v>
      </c>
      <c r="AD34" s="36">
        <f t="shared" si="30"/>
        <v>0</v>
      </c>
      <c r="AE34" s="36">
        <f t="shared" si="31"/>
        <v>0</v>
      </c>
      <c r="AF34" s="36">
        <f t="shared" si="32"/>
        <v>0</v>
      </c>
      <c r="AG34" s="36">
        <f t="shared" si="33"/>
        <v>0</v>
      </c>
      <c r="AH34" s="36">
        <f t="shared" si="34"/>
        <v>0</v>
      </c>
      <c r="AI34" s="35" t="s">
        <v>498</v>
      </c>
      <c r="AJ34" s="21">
        <f t="shared" si="35"/>
        <v>0</v>
      </c>
      <c r="AK34" s="21">
        <f t="shared" si="36"/>
        <v>0</v>
      </c>
      <c r="AL34" s="21">
        <f t="shared" si="37"/>
        <v>0</v>
      </c>
      <c r="AN34" s="36">
        <v>21</v>
      </c>
      <c r="AO34" s="36">
        <f>I34*1</f>
        <v>0</v>
      </c>
      <c r="AP34" s="36">
        <f>I34*(1-1)</f>
        <v>0</v>
      </c>
      <c r="AQ34" s="38" t="s">
        <v>13</v>
      </c>
      <c r="AV34" s="36">
        <f t="shared" si="38"/>
        <v>0</v>
      </c>
      <c r="AW34" s="36">
        <f t="shared" si="39"/>
        <v>0</v>
      </c>
      <c r="AX34" s="36">
        <f t="shared" si="40"/>
        <v>0</v>
      </c>
      <c r="AY34" s="39" t="s">
        <v>502</v>
      </c>
      <c r="AZ34" s="39" t="s">
        <v>515</v>
      </c>
      <c r="BA34" s="35" t="s">
        <v>518</v>
      </c>
      <c r="BC34" s="36">
        <f t="shared" si="41"/>
        <v>0</v>
      </c>
      <c r="BD34" s="36">
        <f t="shared" si="42"/>
        <v>0</v>
      </c>
      <c r="BE34" s="36">
        <v>0</v>
      </c>
      <c r="BF34" s="36">
        <f>34</f>
        <v>34</v>
      </c>
      <c r="BH34" s="21">
        <f t="shared" si="43"/>
        <v>0</v>
      </c>
      <c r="BI34" s="21">
        <f t="shared" si="44"/>
        <v>0</v>
      </c>
      <c r="BJ34" s="21">
        <f t="shared" si="45"/>
        <v>0</v>
      </c>
      <c r="BK34" s="21" t="s">
        <v>525</v>
      </c>
      <c r="BL34" s="36">
        <v>712</v>
      </c>
    </row>
    <row r="35" spans="1:64" x14ac:dyDescent="0.25">
      <c r="A35" s="4" t="s">
        <v>26</v>
      </c>
      <c r="B35" s="13" t="s">
        <v>191</v>
      </c>
      <c r="C35" s="148" t="s">
        <v>371</v>
      </c>
      <c r="D35" s="149"/>
      <c r="E35" s="149"/>
      <c r="F35" s="149"/>
      <c r="G35" s="13" t="s">
        <v>469</v>
      </c>
      <c r="H35" s="80">
        <v>19.125</v>
      </c>
      <c r="I35" s="20">
        <v>0</v>
      </c>
      <c r="J35" s="20">
        <f t="shared" si="24"/>
        <v>0</v>
      </c>
      <c r="K35" s="20">
        <f t="shared" si="25"/>
        <v>0</v>
      </c>
      <c r="L35" s="20">
        <f t="shared" si="26"/>
        <v>0</v>
      </c>
      <c r="M35" s="31" t="s">
        <v>488</v>
      </c>
      <c r="N35" s="6"/>
      <c r="Z35" s="36">
        <f t="shared" si="27"/>
        <v>0</v>
      </c>
      <c r="AB35" s="36">
        <f t="shared" si="28"/>
        <v>0</v>
      </c>
      <c r="AC35" s="36">
        <f t="shared" si="29"/>
        <v>0</v>
      </c>
      <c r="AD35" s="36">
        <f t="shared" si="30"/>
        <v>0</v>
      </c>
      <c r="AE35" s="36">
        <f t="shared" si="31"/>
        <v>0</v>
      </c>
      <c r="AF35" s="36">
        <f t="shared" si="32"/>
        <v>0</v>
      </c>
      <c r="AG35" s="36">
        <f t="shared" si="33"/>
        <v>0</v>
      </c>
      <c r="AH35" s="36">
        <f t="shared" si="34"/>
        <v>0</v>
      </c>
      <c r="AI35" s="35" t="s">
        <v>498</v>
      </c>
      <c r="AJ35" s="20">
        <f t="shared" si="35"/>
        <v>0</v>
      </c>
      <c r="AK35" s="20">
        <f t="shared" si="36"/>
        <v>0</v>
      </c>
      <c r="AL35" s="20">
        <f t="shared" si="37"/>
        <v>0</v>
      </c>
      <c r="AN35" s="36">
        <v>21</v>
      </c>
      <c r="AO35" s="36">
        <f>I35*0</f>
        <v>0</v>
      </c>
      <c r="AP35" s="36">
        <f>I35*(1-0)</f>
        <v>0</v>
      </c>
      <c r="AQ35" s="37" t="s">
        <v>11</v>
      </c>
      <c r="AV35" s="36">
        <f t="shared" si="38"/>
        <v>0</v>
      </c>
      <c r="AW35" s="36">
        <f t="shared" si="39"/>
        <v>0</v>
      </c>
      <c r="AX35" s="36">
        <f t="shared" si="40"/>
        <v>0</v>
      </c>
      <c r="AY35" s="39" t="s">
        <v>502</v>
      </c>
      <c r="AZ35" s="39" t="s">
        <v>515</v>
      </c>
      <c r="BA35" s="35" t="s">
        <v>518</v>
      </c>
      <c r="BC35" s="36">
        <f t="shared" si="41"/>
        <v>0</v>
      </c>
      <c r="BD35" s="36">
        <f t="shared" si="42"/>
        <v>0</v>
      </c>
      <c r="BE35" s="36">
        <v>0</v>
      </c>
      <c r="BF35" s="36">
        <f>35</f>
        <v>35</v>
      </c>
      <c r="BH35" s="20">
        <f t="shared" si="43"/>
        <v>0</v>
      </c>
      <c r="BI35" s="20">
        <f t="shared" si="44"/>
        <v>0</v>
      </c>
      <c r="BJ35" s="20">
        <f t="shared" si="45"/>
        <v>0</v>
      </c>
      <c r="BK35" s="20" t="s">
        <v>524</v>
      </c>
      <c r="BL35" s="36">
        <v>712</v>
      </c>
    </row>
    <row r="36" spans="1:64" x14ac:dyDescent="0.25">
      <c r="A36" s="3"/>
      <c r="B36" s="12" t="s">
        <v>192</v>
      </c>
      <c r="C36" s="155" t="s">
        <v>372</v>
      </c>
      <c r="D36" s="156"/>
      <c r="E36" s="156"/>
      <c r="F36" s="156"/>
      <c r="G36" s="18" t="s">
        <v>6</v>
      </c>
      <c r="H36" s="18" t="s">
        <v>6</v>
      </c>
      <c r="I36" s="18" t="s">
        <v>6</v>
      </c>
      <c r="J36" s="41">
        <f>SUM(J37:J40)</f>
        <v>0</v>
      </c>
      <c r="K36" s="41">
        <f>SUM(K37:K40)</f>
        <v>0</v>
      </c>
      <c r="L36" s="41">
        <f>SUM(L37:L40)</f>
        <v>0</v>
      </c>
      <c r="M36" s="30"/>
      <c r="N36" s="6"/>
      <c r="AI36" s="35" t="s">
        <v>498</v>
      </c>
      <c r="AS36" s="41">
        <f>SUM(AJ37:AJ40)</f>
        <v>0</v>
      </c>
      <c r="AT36" s="41">
        <f>SUM(AK37:AK40)</f>
        <v>0</v>
      </c>
      <c r="AU36" s="41">
        <f>SUM(AL37:AL40)</f>
        <v>0</v>
      </c>
    </row>
    <row r="37" spans="1:64" x14ac:dyDescent="0.25">
      <c r="A37" s="4" t="s">
        <v>27</v>
      </c>
      <c r="B37" s="13" t="s">
        <v>193</v>
      </c>
      <c r="C37" s="148" t="s">
        <v>373</v>
      </c>
      <c r="D37" s="149"/>
      <c r="E37" s="149"/>
      <c r="F37" s="149"/>
      <c r="G37" s="13" t="s">
        <v>470</v>
      </c>
      <c r="H37" s="80">
        <v>121.6</v>
      </c>
      <c r="I37" s="20">
        <v>0</v>
      </c>
      <c r="J37" s="20">
        <f>H37*AO37</f>
        <v>0</v>
      </c>
      <c r="K37" s="20">
        <f>H37*AP37</f>
        <v>0</v>
      </c>
      <c r="L37" s="20">
        <f>H37*I37</f>
        <v>0</v>
      </c>
      <c r="M37" s="31" t="s">
        <v>488</v>
      </c>
      <c r="N37" s="6"/>
      <c r="Z37" s="36">
        <f>IF(AQ37="5",BJ37,0)</f>
        <v>0</v>
      </c>
      <c r="AB37" s="36">
        <f>IF(AQ37="1",BH37,0)</f>
        <v>0</v>
      </c>
      <c r="AC37" s="36">
        <f>IF(AQ37="1",BI37,0)</f>
        <v>0</v>
      </c>
      <c r="AD37" s="36">
        <f>IF(AQ37="7",BH37,0)</f>
        <v>0</v>
      </c>
      <c r="AE37" s="36">
        <f>IF(AQ37="7",BI37,0)</f>
        <v>0</v>
      </c>
      <c r="AF37" s="36">
        <f>IF(AQ37="2",BH37,0)</f>
        <v>0</v>
      </c>
      <c r="AG37" s="36">
        <f>IF(AQ37="2",BI37,0)</f>
        <v>0</v>
      </c>
      <c r="AH37" s="36">
        <f>IF(AQ37="0",BJ37,0)</f>
        <v>0</v>
      </c>
      <c r="AI37" s="35" t="s">
        <v>498</v>
      </c>
      <c r="AJ37" s="20">
        <f>IF(AN37=0,L37,0)</f>
        <v>0</v>
      </c>
      <c r="AK37" s="20">
        <f>IF(AN37=15,L37,0)</f>
        <v>0</v>
      </c>
      <c r="AL37" s="20">
        <f>IF(AN37=21,L37,0)</f>
        <v>0</v>
      </c>
      <c r="AN37" s="36">
        <v>21</v>
      </c>
      <c r="AO37" s="36">
        <f>I37*0.557316616398892</f>
        <v>0</v>
      </c>
      <c r="AP37" s="36">
        <f>I37*(1-0.557316616398892)</f>
        <v>0</v>
      </c>
      <c r="AQ37" s="37" t="s">
        <v>13</v>
      </c>
      <c r="AV37" s="36">
        <f>AW37+AX37</f>
        <v>0</v>
      </c>
      <c r="AW37" s="36">
        <f>H37*AO37</f>
        <v>0</v>
      </c>
      <c r="AX37" s="36">
        <f>H37*AP37</f>
        <v>0</v>
      </c>
      <c r="AY37" s="39" t="s">
        <v>503</v>
      </c>
      <c r="AZ37" s="39" t="s">
        <v>516</v>
      </c>
      <c r="BA37" s="35" t="s">
        <v>518</v>
      </c>
      <c r="BC37" s="36">
        <f>AW37+AX37</f>
        <v>0</v>
      </c>
      <c r="BD37" s="36">
        <f>I37/(100-BE37)*100</f>
        <v>0</v>
      </c>
      <c r="BE37" s="36">
        <v>0</v>
      </c>
      <c r="BF37" s="36">
        <f>37</f>
        <v>37</v>
      </c>
      <c r="BH37" s="20">
        <f>H37*AO37</f>
        <v>0</v>
      </c>
      <c r="BI37" s="20">
        <f>H37*AP37</f>
        <v>0</v>
      </c>
      <c r="BJ37" s="20">
        <f>H37*I37</f>
        <v>0</v>
      </c>
      <c r="BK37" s="20" t="s">
        <v>524</v>
      </c>
      <c r="BL37" s="36">
        <v>762</v>
      </c>
    </row>
    <row r="38" spans="1:64" x14ac:dyDescent="0.25">
      <c r="A38" s="4" t="s">
        <v>28</v>
      </c>
      <c r="B38" s="13" t="s">
        <v>194</v>
      </c>
      <c r="C38" s="148" t="s">
        <v>374</v>
      </c>
      <c r="D38" s="149"/>
      <c r="E38" s="149"/>
      <c r="F38" s="149"/>
      <c r="G38" s="13" t="s">
        <v>470</v>
      </c>
      <c r="H38" s="80">
        <v>121.6</v>
      </c>
      <c r="I38" s="20">
        <v>0</v>
      </c>
      <c r="J38" s="20">
        <f>H38*AO38</f>
        <v>0</v>
      </c>
      <c r="K38" s="20">
        <f>H38*AP38</f>
        <v>0</v>
      </c>
      <c r="L38" s="20">
        <f>H38*I38</f>
        <v>0</v>
      </c>
      <c r="M38" s="31" t="s">
        <v>488</v>
      </c>
      <c r="N38" s="6"/>
      <c r="Z38" s="36">
        <f>IF(AQ38="5",BJ38,0)</f>
        <v>0</v>
      </c>
      <c r="AB38" s="36">
        <f>IF(AQ38="1",BH38,0)</f>
        <v>0</v>
      </c>
      <c r="AC38" s="36">
        <f>IF(AQ38="1",BI38,0)</f>
        <v>0</v>
      </c>
      <c r="AD38" s="36">
        <f>IF(AQ38="7",BH38,0)</f>
        <v>0</v>
      </c>
      <c r="AE38" s="36">
        <f>IF(AQ38="7",BI38,0)</f>
        <v>0</v>
      </c>
      <c r="AF38" s="36">
        <f>IF(AQ38="2",BH38,0)</f>
        <v>0</v>
      </c>
      <c r="AG38" s="36">
        <f>IF(AQ38="2",BI38,0)</f>
        <v>0</v>
      </c>
      <c r="AH38" s="36">
        <f>IF(AQ38="0",BJ38,0)</f>
        <v>0</v>
      </c>
      <c r="AI38" s="35" t="s">
        <v>498</v>
      </c>
      <c r="AJ38" s="20">
        <f>IF(AN38=0,L38,0)</f>
        <v>0</v>
      </c>
      <c r="AK38" s="20">
        <f>IF(AN38=15,L38,0)</f>
        <v>0</v>
      </c>
      <c r="AL38" s="20">
        <f>IF(AN38=21,L38,0)</f>
        <v>0</v>
      </c>
      <c r="AN38" s="36">
        <v>21</v>
      </c>
      <c r="AO38" s="36">
        <f>I38*1</f>
        <v>0</v>
      </c>
      <c r="AP38" s="36">
        <f>I38*(1-1)</f>
        <v>0</v>
      </c>
      <c r="AQ38" s="37" t="s">
        <v>13</v>
      </c>
      <c r="AV38" s="36">
        <f>AW38+AX38</f>
        <v>0</v>
      </c>
      <c r="AW38" s="36">
        <f>H38*AO38</f>
        <v>0</v>
      </c>
      <c r="AX38" s="36">
        <f>H38*AP38</f>
        <v>0</v>
      </c>
      <c r="AY38" s="39" t="s">
        <v>503</v>
      </c>
      <c r="AZ38" s="39" t="s">
        <v>516</v>
      </c>
      <c r="BA38" s="35" t="s">
        <v>518</v>
      </c>
      <c r="BC38" s="36">
        <f>AW38+AX38</f>
        <v>0</v>
      </c>
      <c r="BD38" s="36">
        <f>I38/(100-BE38)*100</f>
        <v>0</v>
      </c>
      <c r="BE38" s="36">
        <v>0</v>
      </c>
      <c r="BF38" s="36">
        <f>38</f>
        <v>38</v>
      </c>
      <c r="BH38" s="20">
        <f>H38*AO38</f>
        <v>0</v>
      </c>
      <c r="BI38" s="20">
        <f>H38*AP38</f>
        <v>0</v>
      </c>
      <c r="BJ38" s="20">
        <f>H38*I38</f>
        <v>0</v>
      </c>
      <c r="BK38" s="20" t="s">
        <v>524</v>
      </c>
      <c r="BL38" s="36">
        <v>762</v>
      </c>
    </row>
    <row r="39" spans="1:64" x14ac:dyDescent="0.25">
      <c r="A39" s="4" t="s">
        <v>29</v>
      </c>
      <c r="B39" s="13" t="s">
        <v>195</v>
      </c>
      <c r="C39" s="148" t="s">
        <v>375</v>
      </c>
      <c r="D39" s="149"/>
      <c r="E39" s="149"/>
      <c r="F39" s="149"/>
      <c r="G39" s="13" t="s">
        <v>470</v>
      </c>
      <c r="H39" s="80">
        <v>121.6</v>
      </c>
      <c r="I39" s="20">
        <v>0</v>
      </c>
      <c r="J39" s="20">
        <f>H39*AO39</f>
        <v>0</v>
      </c>
      <c r="K39" s="20">
        <f>H39*AP39</f>
        <v>0</v>
      </c>
      <c r="L39" s="20">
        <f>H39*I39</f>
        <v>0</v>
      </c>
      <c r="M39" s="31" t="s">
        <v>488</v>
      </c>
      <c r="N39" s="6"/>
      <c r="Z39" s="36">
        <f>IF(AQ39="5",BJ39,0)</f>
        <v>0</v>
      </c>
      <c r="AB39" s="36">
        <f>IF(AQ39="1",BH39,0)</f>
        <v>0</v>
      </c>
      <c r="AC39" s="36">
        <f>IF(AQ39="1",BI39,0)</f>
        <v>0</v>
      </c>
      <c r="AD39" s="36">
        <f>IF(AQ39="7",BH39,0)</f>
        <v>0</v>
      </c>
      <c r="AE39" s="36">
        <f>IF(AQ39="7",BI39,0)</f>
        <v>0</v>
      </c>
      <c r="AF39" s="36">
        <f>IF(AQ39="2",BH39,0)</f>
        <v>0</v>
      </c>
      <c r="AG39" s="36">
        <f>IF(AQ39="2",BI39,0)</f>
        <v>0</v>
      </c>
      <c r="AH39" s="36">
        <f>IF(AQ39="0",BJ39,0)</f>
        <v>0</v>
      </c>
      <c r="AI39" s="35" t="s">
        <v>498</v>
      </c>
      <c r="AJ39" s="20">
        <f>IF(AN39=0,L39,0)</f>
        <v>0</v>
      </c>
      <c r="AK39" s="20">
        <f>IF(AN39=15,L39,0)</f>
        <v>0</v>
      </c>
      <c r="AL39" s="20">
        <f>IF(AN39=21,L39,0)</f>
        <v>0</v>
      </c>
      <c r="AN39" s="36">
        <v>21</v>
      </c>
      <c r="AO39" s="36">
        <f>I39*0</f>
        <v>0</v>
      </c>
      <c r="AP39" s="36">
        <f>I39*(1-0)</f>
        <v>0</v>
      </c>
      <c r="AQ39" s="37" t="s">
        <v>13</v>
      </c>
      <c r="AV39" s="36">
        <f>AW39+AX39</f>
        <v>0</v>
      </c>
      <c r="AW39" s="36">
        <f>H39*AO39</f>
        <v>0</v>
      </c>
      <c r="AX39" s="36">
        <f>H39*AP39</f>
        <v>0</v>
      </c>
      <c r="AY39" s="39" t="s">
        <v>503</v>
      </c>
      <c r="AZ39" s="39" t="s">
        <v>516</v>
      </c>
      <c r="BA39" s="35" t="s">
        <v>518</v>
      </c>
      <c r="BC39" s="36">
        <f>AW39+AX39</f>
        <v>0</v>
      </c>
      <c r="BD39" s="36">
        <f>I39/(100-BE39)*100</f>
        <v>0</v>
      </c>
      <c r="BE39" s="36">
        <v>0</v>
      </c>
      <c r="BF39" s="36">
        <f>39</f>
        <v>39</v>
      </c>
      <c r="BH39" s="20">
        <f>H39*AO39</f>
        <v>0</v>
      </c>
      <c r="BI39" s="20">
        <f>H39*AP39</f>
        <v>0</v>
      </c>
      <c r="BJ39" s="20">
        <f>H39*I39</f>
        <v>0</v>
      </c>
      <c r="BK39" s="20" t="s">
        <v>524</v>
      </c>
      <c r="BL39" s="36">
        <v>762</v>
      </c>
    </row>
    <row r="40" spans="1:64" x14ac:dyDescent="0.25">
      <c r="A40" s="4" t="s">
        <v>30</v>
      </c>
      <c r="B40" s="13" t="s">
        <v>196</v>
      </c>
      <c r="C40" s="148" t="s">
        <v>376</v>
      </c>
      <c r="D40" s="149"/>
      <c r="E40" s="149"/>
      <c r="F40" s="149"/>
      <c r="G40" s="13" t="s">
        <v>469</v>
      </c>
      <c r="H40" s="80">
        <v>2.952</v>
      </c>
      <c r="I40" s="20">
        <v>0</v>
      </c>
      <c r="J40" s="20">
        <f>H40*AO40</f>
        <v>0</v>
      </c>
      <c r="K40" s="20">
        <f>H40*AP40</f>
        <v>0</v>
      </c>
      <c r="L40" s="20">
        <f>H40*I40</f>
        <v>0</v>
      </c>
      <c r="M40" s="31" t="s">
        <v>488</v>
      </c>
      <c r="N40" s="6"/>
      <c r="Z40" s="36">
        <f>IF(AQ40="5",BJ40,0)</f>
        <v>0</v>
      </c>
      <c r="AB40" s="36">
        <f>IF(AQ40="1",BH40,0)</f>
        <v>0</v>
      </c>
      <c r="AC40" s="36">
        <f>IF(AQ40="1",BI40,0)</f>
        <v>0</v>
      </c>
      <c r="AD40" s="36">
        <f>IF(AQ40="7",BH40,0)</f>
        <v>0</v>
      </c>
      <c r="AE40" s="36">
        <f>IF(AQ40="7",BI40,0)</f>
        <v>0</v>
      </c>
      <c r="AF40" s="36">
        <f>IF(AQ40="2",BH40,0)</f>
        <v>0</v>
      </c>
      <c r="AG40" s="36">
        <f>IF(AQ40="2",BI40,0)</f>
        <v>0</v>
      </c>
      <c r="AH40" s="36">
        <f>IF(AQ40="0",BJ40,0)</f>
        <v>0</v>
      </c>
      <c r="AI40" s="35" t="s">
        <v>498</v>
      </c>
      <c r="AJ40" s="20">
        <f>IF(AN40=0,L40,0)</f>
        <v>0</v>
      </c>
      <c r="AK40" s="20">
        <f>IF(AN40=15,L40,0)</f>
        <v>0</v>
      </c>
      <c r="AL40" s="20">
        <f>IF(AN40=21,L40,0)</f>
        <v>0</v>
      </c>
      <c r="AN40" s="36">
        <v>21</v>
      </c>
      <c r="AO40" s="36">
        <f>I40*0</f>
        <v>0</v>
      </c>
      <c r="AP40" s="36">
        <f>I40*(1-0)</f>
        <v>0</v>
      </c>
      <c r="AQ40" s="37" t="s">
        <v>11</v>
      </c>
      <c r="AV40" s="36">
        <f>AW40+AX40</f>
        <v>0</v>
      </c>
      <c r="AW40" s="36">
        <f>H40*AO40</f>
        <v>0</v>
      </c>
      <c r="AX40" s="36">
        <f>H40*AP40</f>
        <v>0</v>
      </c>
      <c r="AY40" s="39" t="s">
        <v>503</v>
      </c>
      <c r="AZ40" s="39" t="s">
        <v>516</v>
      </c>
      <c r="BA40" s="35" t="s">
        <v>518</v>
      </c>
      <c r="BC40" s="36">
        <f>AW40+AX40</f>
        <v>0</v>
      </c>
      <c r="BD40" s="36">
        <f>I40/(100-BE40)*100</f>
        <v>0</v>
      </c>
      <c r="BE40" s="36">
        <v>0</v>
      </c>
      <c r="BF40" s="36">
        <f>40</f>
        <v>40</v>
      </c>
      <c r="BH40" s="20">
        <f>H40*AO40</f>
        <v>0</v>
      </c>
      <c r="BI40" s="20">
        <f>H40*AP40</f>
        <v>0</v>
      </c>
      <c r="BJ40" s="20">
        <f>H40*I40</f>
        <v>0</v>
      </c>
      <c r="BK40" s="20" t="s">
        <v>524</v>
      </c>
      <c r="BL40" s="36">
        <v>762</v>
      </c>
    </row>
    <row r="41" spans="1:64" x14ac:dyDescent="0.25">
      <c r="A41" s="3"/>
      <c r="B41" s="12" t="s">
        <v>197</v>
      </c>
      <c r="C41" s="155" t="s">
        <v>377</v>
      </c>
      <c r="D41" s="156"/>
      <c r="E41" s="156"/>
      <c r="F41" s="156"/>
      <c r="G41" s="18" t="s">
        <v>6</v>
      </c>
      <c r="H41" s="18" t="s">
        <v>6</v>
      </c>
      <c r="I41" s="18" t="s">
        <v>6</v>
      </c>
      <c r="J41" s="41">
        <f>SUM(J42:J44)</f>
        <v>0</v>
      </c>
      <c r="K41" s="41">
        <f>SUM(K42:K44)</f>
        <v>0</v>
      </c>
      <c r="L41" s="41">
        <f>SUM(L42:L44)</f>
        <v>0</v>
      </c>
      <c r="M41" s="30"/>
      <c r="N41" s="6"/>
      <c r="AI41" s="35" t="s">
        <v>498</v>
      </c>
      <c r="AS41" s="41">
        <f>SUM(AJ42:AJ44)</f>
        <v>0</v>
      </c>
      <c r="AT41" s="41">
        <f>SUM(AK42:AK44)</f>
        <v>0</v>
      </c>
      <c r="AU41" s="41">
        <f>SUM(AL42:AL44)</f>
        <v>0</v>
      </c>
    </row>
    <row r="42" spans="1:64" x14ac:dyDescent="0.25">
      <c r="A42" s="4" t="s">
        <v>31</v>
      </c>
      <c r="B42" s="13" t="s">
        <v>198</v>
      </c>
      <c r="C42" s="148" t="s">
        <v>378</v>
      </c>
      <c r="D42" s="149"/>
      <c r="E42" s="149"/>
      <c r="F42" s="149"/>
      <c r="G42" s="13" t="s">
        <v>472</v>
      </c>
      <c r="H42" s="80">
        <v>304</v>
      </c>
      <c r="I42" s="20">
        <v>0</v>
      </c>
      <c r="J42" s="20">
        <f>H42*AO42</f>
        <v>0</v>
      </c>
      <c r="K42" s="20">
        <f>H42*AP42</f>
        <v>0</v>
      </c>
      <c r="L42" s="20">
        <f>H42*I42</f>
        <v>0</v>
      </c>
      <c r="M42" s="31" t="s">
        <v>488</v>
      </c>
      <c r="N42" s="6"/>
      <c r="Z42" s="36">
        <f>IF(AQ42="5",BJ42,0)</f>
        <v>0</v>
      </c>
      <c r="AB42" s="36">
        <f>IF(AQ42="1",BH42,0)</f>
        <v>0</v>
      </c>
      <c r="AC42" s="36">
        <f>IF(AQ42="1",BI42,0)</f>
        <v>0</v>
      </c>
      <c r="AD42" s="36">
        <f>IF(AQ42="7",BH42,0)</f>
        <v>0</v>
      </c>
      <c r="AE42" s="36">
        <f>IF(AQ42="7",BI42,0)</f>
        <v>0</v>
      </c>
      <c r="AF42" s="36">
        <f>IF(AQ42="2",BH42,0)</f>
        <v>0</v>
      </c>
      <c r="AG42" s="36">
        <f>IF(AQ42="2",BI42,0)</f>
        <v>0</v>
      </c>
      <c r="AH42" s="36">
        <f>IF(AQ42="0",BJ42,0)</f>
        <v>0</v>
      </c>
      <c r="AI42" s="35" t="s">
        <v>498</v>
      </c>
      <c r="AJ42" s="20">
        <f>IF(AN42=0,L42,0)</f>
        <v>0</v>
      </c>
      <c r="AK42" s="20">
        <f>IF(AN42=15,L42,0)</f>
        <v>0</v>
      </c>
      <c r="AL42" s="20">
        <f>IF(AN42=21,L42,0)</f>
        <v>0</v>
      </c>
      <c r="AN42" s="36">
        <v>21</v>
      </c>
      <c r="AO42" s="36">
        <f>I42*0</f>
        <v>0</v>
      </c>
      <c r="AP42" s="36">
        <f>I42*(1-0)</f>
        <v>0</v>
      </c>
      <c r="AQ42" s="37" t="s">
        <v>13</v>
      </c>
      <c r="AV42" s="36">
        <f>AW42+AX42</f>
        <v>0</v>
      </c>
      <c r="AW42" s="36">
        <f>H42*AO42</f>
        <v>0</v>
      </c>
      <c r="AX42" s="36">
        <f>H42*AP42</f>
        <v>0</v>
      </c>
      <c r="AY42" s="39" t="s">
        <v>504</v>
      </c>
      <c r="AZ42" s="39" t="s">
        <v>516</v>
      </c>
      <c r="BA42" s="35" t="s">
        <v>518</v>
      </c>
      <c r="BC42" s="36">
        <f>AW42+AX42</f>
        <v>0</v>
      </c>
      <c r="BD42" s="36">
        <f>I42/(100-BE42)*100</f>
        <v>0</v>
      </c>
      <c r="BE42" s="36">
        <v>0</v>
      </c>
      <c r="BF42" s="36">
        <f>42</f>
        <v>42</v>
      </c>
      <c r="BH42" s="20">
        <f>H42*AO42</f>
        <v>0</v>
      </c>
      <c r="BI42" s="20">
        <f>H42*AP42</f>
        <v>0</v>
      </c>
      <c r="BJ42" s="20">
        <f>H42*I42</f>
        <v>0</v>
      </c>
      <c r="BK42" s="20" t="s">
        <v>524</v>
      </c>
      <c r="BL42" s="36">
        <v>764</v>
      </c>
    </row>
    <row r="43" spans="1:64" x14ac:dyDescent="0.25">
      <c r="A43" s="4" t="s">
        <v>32</v>
      </c>
      <c r="B43" s="13" t="s">
        <v>199</v>
      </c>
      <c r="C43" s="148" t="s">
        <v>379</v>
      </c>
      <c r="D43" s="149"/>
      <c r="E43" s="149"/>
      <c r="F43" s="149"/>
      <c r="G43" s="13" t="s">
        <v>472</v>
      </c>
      <c r="H43" s="80">
        <v>304</v>
      </c>
      <c r="I43" s="20">
        <v>0</v>
      </c>
      <c r="J43" s="20">
        <f>H43*AO43</f>
        <v>0</v>
      </c>
      <c r="K43" s="20">
        <f>H43*AP43</f>
        <v>0</v>
      </c>
      <c r="L43" s="20">
        <f>H43*I43</f>
        <v>0</v>
      </c>
      <c r="M43" s="31" t="s">
        <v>488</v>
      </c>
      <c r="N43" s="6"/>
      <c r="Z43" s="36">
        <f>IF(AQ43="5",BJ43,0)</f>
        <v>0</v>
      </c>
      <c r="AB43" s="36">
        <f>IF(AQ43="1",BH43,0)</f>
        <v>0</v>
      </c>
      <c r="AC43" s="36">
        <f>IF(AQ43="1",BI43,0)</f>
        <v>0</v>
      </c>
      <c r="AD43" s="36">
        <f>IF(AQ43="7",BH43,0)</f>
        <v>0</v>
      </c>
      <c r="AE43" s="36">
        <f>IF(AQ43="7",BI43,0)</f>
        <v>0</v>
      </c>
      <c r="AF43" s="36">
        <f>IF(AQ43="2",BH43,0)</f>
        <v>0</v>
      </c>
      <c r="AG43" s="36">
        <f>IF(AQ43="2",BI43,0)</f>
        <v>0</v>
      </c>
      <c r="AH43" s="36">
        <f>IF(AQ43="0",BJ43,0)</f>
        <v>0</v>
      </c>
      <c r="AI43" s="35" t="s">
        <v>498</v>
      </c>
      <c r="AJ43" s="20">
        <f>IF(AN43=0,L43,0)</f>
        <v>0</v>
      </c>
      <c r="AK43" s="20">
        <f>IF(AN43=15,L43,0)</f>
        <v>0</v>
      </c>
      <c r="AL43" s="20">
        <f>IF(AN43=21,L43,0)</f>
        <v>0</v>
      </c>
      <c r="AN43" s="36">
        <v>21</v>
      </c>
      <c r="AO43" s="36">
        <f>I43*0.527973838053511</f>
        <v>0</v>
      </c>
      <c r="AP43" s="36">
        <f>I43*(1-0.527973838053511)</f>
        <v>0</v>
      </c>
      <c r="AQ43" s="37" t="s">
        <v>13</v>
      </c>
      <c r="AV43" s="36">
        <f>AW43+AX43</f>
        <v>0</v>
      </c>
      <c r="AW43" s="36">
        <f>H43*AO43</f>
        <v>0</v>
      </c>
      <c r="AX43" s="36">
        <f>H43*AP43</f>
        <v>0</v>
      </c>
      <c r="AY43" s="39" t="s">
        <v>504</v>
      </c>
      <c r="AZ43" s="39" t="s">
        <v>516</v>
      </c>
      <c r="BA43" s="35" t="s">
        <v>518</v>
      </c>
      <c r="BC43" s="36">
        <f>AW43+AX43</f>
        <v>0</v>
      </c>
      <c r="BD43" s="36">
        <f>I43/(100-BE43)*100</f>
        <v>0</v>
      </c>
      <c r="BE43" s="36">
        <v>0</v>
      </c>
      <c r="BF43" s="36">
        <f>43</f>
        <v>43</v>
      </c>
      <c r="BH43" s="20">
        <f>H43*AO43</f>
        <v>0</v>
      </c>
      <c r="BI43" s="20">
        <f>H43*AP43</f>
        <v>0</v>
      </c>
      <c r="BJ43" s="20">
        <f>H43*I43</f>
        <v>0</v>
      </c>
      <c r="BK43" s="20" t="s">
        <v>524</v>
      </c>
      <c r="BL43" s="36">
        <v>764</v>
      </c>
    </row>
    <row r="44" spans="1:64" x14ac:dyDescent="0.25">
      <c r="A44" s="4" t="s">
        <v>33</v>
      </c>
      <c r="B44" s="13" t="s">
        <v>200</v>
      </c>
      <c r="C44" s="148" t="s">
        <v>380</v>
      </c>
      <c r="D44" s="149"/>
      <c r="E44" s="149"/>
      <c r="F44" s="149"/>
      <c r="G44" s="13" t="s">
        <v>469</v>
      </c>
      <c r="H44" s="80">
        <v>1.988</v>
      </c>
      <c r="I44" s="20">
        <v>0</v>
      </c>
      <c r="J44" s="20">
        <f>H44*AO44</f>
        <v>0</v>
      </c>
      <c r="K44" s="20">
        <f>H44*AP44</f>
        <v>0</v>
      </c>
      <c r="L44" s="20">
        <f>H44*I44</f>
        <v>0</v>
      </c>
      <c r="M44" s="31" t="s">
        <v>488</v>
      </c>
      <c r="N44" s="6"/>
      <c r="Z44" s="36">
        <f>IF(AQ44="5",BJ44,0)</f>
        <v>0</v>
      </c>
      <c r="AB44" s="36">
        <f>IF(AQ44="1",BH44,0)</f>
        <v>0</v>
      </c>
      <c r="AC44" s="36">
        <f>IF(AQ44="1",BI44,0)</f>
        <v>0</v>
      </c>
      <c r="AD44" s="36">
        <f>IF(AQ44="7",BH44,0)</f>
        <v>0</v>
      </c>
      <c r="AE44" s="36">
        <f>IF(AQ44="7",BI44,0)</f>
        <v>0</v>
      </c>
      <c r="AF44" s="36">
        <f>IF(AQ44="2",BH44,0)</f>
        <v>0</v>
      </c>
      <c r="AG44" s="36">
        <f>IF(AQ44="2",BI44,0)</f>
        <v>0</v>
      </c>
      <c r="AH44" s="36">
        <f>IF(AQ44="0",BJ44,0)</f>
        <v>0</v>
      </c>
      <c r="AI44" s="35" t="s">
        <v>498</v>
      </c>
      <c r="AJ44" s="20">
        <f>IF(AN44=0,L44,0)</f>
        <v>0</v>
      </c>
      <c r="AK44" s="20">
        <f>IF(AN44=15,L44,0)</f>
        <v>0</v>
      </c>
      <c r="AL44" s="20">
        <f>IF(AN44=21,L44,0)</f>
        <v>0</v>
      </c>
      <c r="AN44" s="36">
        <v>21</v>
      </c>
      <c r="AO44" s="36">
        <f>I44*0</f>
        <v>0</v>
      </c>
      <c r="AP44" s="36">
        <f>I44*(1-0)</f>
        <v>0</v>
      </c>
      <c r="AQ44" s="37" t="s">
        <v>11</v>
      </c>
      <c r="AV44" s="36">
        <f>AW44+AX44</f>
        <v>0</v>
      </c>
      <c r="AW44" s="36">
        <f>H44*AO44</f>
        <v>0</v>
      </c>
      <c r="AX44" s="36">
        <f>H44*AP44</f>
        <v>0</v>
      </c>
      <c r="AY44" s="39" t="s">
        <v>504</v>
      </c>
      <c r="AZ44" s="39" t="s">
        <v>516</v>
      </c>
      <c r="BA44" s="35" t="s">
        <v>518</v>
      </c>
      <c r="BC44" s="36">
        <f>AW44+AX44</f>
        <v>0</v>
      </c>
      <c r="BD44" s="36">
        <f>I44/(100-BE44)*100</f>
        <v>0</v>
      </c>
      <c r="BE44" s="36">
        <v>0</v>
      </c>
      <c r="BF44" s="36">
        <f>44</f>
        <v>44</v>
      </c>
      <c r="BH44" s="20">
        <f>H44*AO44</f>
        <v>0</v>
      </c>
      <c r="BI44" s="20">
        <f>H44*AP44</f>
        <v>0</v>
      </c>
      <c r="BJ44" s="20">
        <f>H44*I44</f>
        <v>0</v>
      </c>
      <c r="BK44" s="20" t="s">
        <v>524</v>
      </c>
      <c r="BL44" s="36">
        <v>764</v>
      </c>
    </row>
    <row r="45" spans="1:64" x14ac:dyDescent="0.25">
      <c r="A45" s="3"/>
      <c r="B45" s="12" t="s">
        <v>201</v>
      </c>
      <c r="C45" s="155" t="s">
        <v>381</v>
      </c>
      <c r="D45" s="156"/>
      <c r="E45" s="156"/>
      <c r="F45" s="156"/>
      <c r="G45" s="18" t="s">
        <v>6</v>
      </c>
      <c r="H45" s="18" t="s">
        <v>6</v>
      </c>
      <c r="I45" s="18" t="s">
        <v>6</v>
      </c>
      <c r="J45" s="41">
        <f>SUM(J46:J80)</f>
        <v>0</v>
      </c>
      <c r="K45" s="41">
        <f>SUM(K46:K80)</f>
        <v>0</v>
      </c>
      <c r="L45" s="41">
        <f>SUM(L46:L80)</f>
        <v>0</v>
      </c>
      <c r="M45" s="30"/>
      <c r="N45" s="6"/>
      <c r="AI45" s="35" t="s">
        <v>498</v>
      </c>
      <c r="AS45" s="41">
        <f>SUM(AJ46:AJ80)</f>
        <v>0</v>
      </c>
      <c r="AT45" s="41">
        <f>SUM(AK46:AK80)</f>
        <v>0</v>
      </c>
      <c r="AU45" s="41">
        <f>SUM(AL46:AL80)</f>
        <v>0</v>
      </c>
    </row>
    <row r="46" spans="1:64" x14ac:dyDescent="0.25">
      <c r="A46" s="4" t="s">
        <v>34</v>
      </c>
      <c r="B46" s="13" t="s">
        <v>202</v>
      </c>
      <c r="C46" s="148" t="s">
        <v>382</v>
      </c>
      <c r="D46" s="149"/>
      <c r="E46" s="149"/>
      <c r="F46" s="149"/>
      <c r="G46" s="13" t="s">
        <v>471</v>
      </c>
      <c r="H46" s="80">
        <v>1</v>
      </c>
      <c r="I46" s="20">
        <v>0</v>
      </c>
      <c r="J46" s="20">
        <f t="shared" ref="J46:J80" si="46">H46*AO46</f>
        <v>0</v>
      </c>
      <c r="K46" s="20">
        <f t="shared" ref="K46:K80" si="47">H46*AP46</f>
        <v>0</v>
      </c>
      <c r="L46" s="20">
        <f t="shared" ref="L46:L80" si="48">H46*I46</f>
        <v>0</v>
      </c>
      <c r="M46" s="31" t="s">
        <v>488</v>
      </c>
      <c r="N46" s="6"/>
      <c r="Z46" s="36">
        <f t="shared" ref="Z46:Z80" si="49">IF(AQ46="5",BJ46,0)</f>
        <v>0</v>
      </c>
      <c r="AB46" s="36">
        <f t="shared" ref="AB46:AB80" si="50">IF(AQ46="1",BH46,0)</f>
        <v>0</v>
      </c>
      <c r="AC46" s="36">
        <f t="shared" ref="AC46:AC80" si="51">IF(AQ46="1",BI46,0)</f>
        <v>0</v>
      </c>
      <c r="AD46" s="36">
        <f t="shared" ref="AD46:AD80" si="52">IF(AQ46="7",BH46,0)</f>
        <v>0</v>
      </c>
      <c r="AE46" s="36">
        <f t="shared" ref="AE46:AE80" si="53">IF(AQ46="7",BI46,0)</f>
        <v>0</v>
      </c>
      <c r="AF46" s="36">
        <f t="shared" ref="AF46:AF80" si="54">IF(AQ46="2",BH46,0)</f>
        <v>0</v>
      </c>
      <c r="AG46" s="36">
        <f t="shared" ref="AG46:AG80" si="55">IF(AQ46="2",BI46,0)</f>
        <v>0</v>
      </c>
      <c r="AH46" s="36">
        <f t="shared" ref="AH46:AH80" si="56">IF(AQ46="0",BJ46,0)</f>
        <v>0</v>
      </c>
      <c r="AI46" s="35" t="s">
        <v>498</v>
      </c>
      <c r="AJ46" s="20">
        <f t="shared" ref="AJ46:AJ80" si="57">IF(AN46=0,L46,0)</f>
        <v>0</v>
      </c>
      <c r="AK46" s="20">
        <f t="shared" ref="AK46:AK80" si="58">IF(AN46=15,L46,0)</f>
        <v>0</v>
      </c>
      <c r="AL46" s="20">
        <f t="shared" ref="AL46:AL80" si="59">IF(AN46=21,L46,0)</f>
        <v>0</v>
      </c>
      <c r="AN46" s="36">
        <v>21</v>
      </c>
      <c r="AO46" s="36">
        <f t="shared" ref="AO46:AO71" si="60">I46*0.588</f>
        <v>0</v>
      </c>
      <c r="AP46" s="36">
        <f t="shared" ref="AP46:AP71" si="61">I46*(1-0.588)</f>
        <v>0</v>
      </c>
      <c r="AQ46" s="37" t="s">
        <v>7</v>
      </c>
      <c r="AV46" s="36">
        <f t="shared" ref="AV46:AV80" si="62">AW46+AX46</f>
        <v>0</v>
      </c>
      <c r="AW46" s="36">
        <f t="shared" ref="AW46:AW80" si="63">H46*AO46</f>
        <v>0</v>
      </c>
      <c r="AX46" s="36">
        <f t="shared" ref="AX46:AX80" si="64">H46*AP46</f>
        <v>0</v>
      </c>
      <c r="AY46" s="39" t="s">
        <v>505</v>
      </c>
      <c r="AZ46" s="39" t="s">
        <v>514</v>
      </c>
      <c r="BA46" s="35" t="s">
        <v>518</v>
      </c>
      <c r="BC46" s="36">
        <f t="shared" ref="BC46:BC80" si="65">AW46+AX46</f>
        <v>0</v>
      </c>
      <c r="BD46" s="36">
        <f t="shared" ref="BD46:BD80" si="66">I46/(100-BE46)*100</f>
        <v>0</v>
      </c>
      <c r="BE46" s="36">
        <v>0</v>
      </c>
      <c r="BF46" s="36">
        <f>46</f>
        <v>46</v>
      </c>
      <c r="BH46" s="20">
        <f t="shared" ref="BH46:BH80" si="67">H46*AO46</f>
        <v>0</v>
      </c>
      <c r="BI46" s="20">
        <f t="shared" ref="BI46:BI80" si="68">H46*AP46</f>
        <v>0</v>
      </c>
      <c r="BJ46" s="20">
        <f t="shared" ref="BJ46:BJ80" si="69">H46*I46</f>
        <v>0</v>
      </c>
      <c r="BK46" s="20" t="s">
        <v>524</v>
      </c>
      <c r="BL46" s="36" t="s">
        <v>201</v>
      </c>
    </row>
    <row r="47" spans="1:64" x14ac:dyDescent="0.25">
      <c r="A47" s="4" t="s">
        <v>35</v>
      </c>
      <c r="B47" s="13" t="s">
        <v>203</v>
      </c>
      <c r="C47" s="148" t="s">
        <v>383</v>
      </c>
      <c r="D47" s="149"/>
      <c r="E47" s="149"/>
      <c r="F47" s="149"/>
      <c r="G47" s="13" t="s">
        <v>471</v>
      </c>
      <c r="H47" s="80">
        <v>2</v>
      </c>
      <c r="I47" s="20">
        <v>0</v>
      </c>
      <c r="J47" s="20">
        <f t="shared" si="46"/>
        <v>0</v>
      </c>
      <c r="K47" s="20">
        <f t="shared" si="47"/>
        <v>0</v>
      </c>
      <c r="L47" s="20">
        <f t="shared" si="48"/>
        <v>0</v>
      </c>
      <c r="M47" s="31" t="s">
        <v>488</v>
      </c>
      <c r="N47" s="6"/>
      <c r="Z47" s="36">
        <f t="shared" si="49"/>
        <v>0</v>
      </c>
      <c r="AB47" s="36">
        <f t="shared" si="50"/>
        <v>0</v>
      </c>
      <c r="AC47" s="36">
        <f t="shared" si="51"/>
        <v>0</v>
      </c>
      <c r="AD47" s="36">
        <f t="shared" si="52"/>
        <v>0</v>
      </c>
      <c r="AE47" s="36">
        <f t="shared" si="53"/>
        <v>0</v>
      </c>
      <c r="AF47" s="36">
        <f t="shared" si="54"/>
        <v>0</v>
      </c>
      <c r="AG47" s="36">
        <f t="shared" si="55"/>
        <v>0</v>
      </c>
      <c r="AH47" s="36">
        <f t="shared" si="56"/>
        <v>0</v>
      </c>
      <c r="AI47" s="35" t="s">
        <v>498</v>
      </c>
      <c r="AJ47" s="20">
        <f t="shared" si="57"/>
        <v>0</v>
      </c>
      <c r="AK47" s="20">
        <f t="shared" si="58"/>
        <v>0</v>
      </c>
      <c r="AL47" s="20">
        <f t="shared" si="59"/>
        <v>0</v>
      </c>
      <c r="AN47" s="36">
        <v>21</v>
      </c>
      <c r="AO47" s="36">
        <f t="shared" si="60"/>
        <v>0</v>
      </c>
      <c r="AP47" s="36">
        <f t="shared" si="61"/>
        <v>0</v>
      </c>
      <c r="AQ47" s="37" t="s">
        <v>7</v>
      </c>
      <c r="AV47" s="36">
        <f t="shared" si="62"/>
        <v>0</v>
      </c>
      <c r="AW47" s="36">
        <f t="shared" si="63"/>
        <v>0</v>
      </c>
      <c r="AX47" s="36">
        <f t="shared" si="64"/>
        <v>0</v>
      </c>
      <c r="AY47" s="39" t="s">
        <v>505</v>
      </c>
      <c r="AZ47" s="39" t="s">
        <v>514</v>
      </c>
      <c r="BA47" s="35" t="s">
        <v>518</v>
      </c>
      <c r="BC47" s="36">
        <f t="shared" si="65"/>
        <v>0</v>
      </c>
      <c r="BD47" s="36">
        <f t="shared" si="66"/>
        <v>0</v>
      </c>
      <c r="BE47" s="36">
        <v>0</v>
      </c>
      <c r="BF47" s="36">
        <f>47</f>
        <v>47</v>
      </c>
      <c r="BH47" s="20">
        <f t="shared" si="67"/>
        <v>0</v>
      </c>
      <c r="BI47" s="20">
        <f t="shared" si="68"/>
        <v>0</v>
      </c>
      <c r="BJ47" s="20">
        <f t="shared" si="69"/>
        <v>0</v>
      </c>
      <c r="BK47" s="20" t="s">
        <v>524</v>
      </c>
      <c r="BL47" s="36" t="s">
        <v>201</v>
      </c>
    </row>
    <row r="48" spans="1:64" x14ac:dyDescent="0.25">
      <c r="A48" s="4" t="s">
        <v>36</v>
      </c>
      <c r="B48" s="13" t="s">
        <v>204</v>
      </c>
      <c r="C48" s="148" t="s">
        <v>384</v>
      </c>
      <c r="D48" s="149"/>
      <c r="E48" s="149"/>
      <c r="F48" s="149"/>
      <c r="G48" s="13" t="s">
        <v>471</v>
      </c>
      <c r="H48" s="80">
        <v>2</v>
      </c>
      <c r="I48" s="20">
        <v>0</v>
      </c>
      <c r="J48" s="20">
        <f t="shared" si="46"/>
        <v>0</v>
      </c>
      <c r="K48" s="20">
        <f t="shared" si="47"/>
        <v>0</v>
      </c>
      <c r="L48" s="20">
        <f t="shared" si="48"/>
        <v>0</v>
      </c>
      <c r="M48" s="31" t="s">
        <v>488</v>
      </c>
      <c r="N48" s="6"/>
      <c r="Z48" s="36">
        <f t="shared" si="49"/>
        <v>0</v>
      </c>
      <c r="AB48" s="36">
        <f t="shared" si="50"/>
        <v>0</v>
      </c>
      <c r="AC48" s="36">
        <f t="shared" si="51"/>
        <v>0</v>
      </c>
      <c r="AD48" s="36">
        <f t="shared" si="52"/>
        <v>0</v>
      </c>
      <c r="AE48" s="36">
        <f t="shared" si="53"/>
        <v>0</v>
      </c>
      <c r="AF48" s="36">
        <f t="shared" si="54"/>
        <v>0</v>
      </c>
      <c r="AG48" s="36">
        <f t="shared" si="55"/>
        <v>0</v>
      </c>
      <c r="AH48" s="36">
        <f t="shared" si="56"/>
        <v>0</v>
      </c>
      <c r="AI48" s="35" t="s">
        <v>498</v>
      </c>
      <c r="AJ48" s="20">
        <f t="shared" si="57"/>
        <v>0</v>
      </c>
      <c r="AK48" s="20">
        <f t="shared" si="58"/>
        <v>0</v>
      </c>
      <c r="AL48" s="20">
        <f t="shared" si="59"/>
        <v>0</v>
      </c>
      <c r="AN48" s="36">
        <v>21</v>
      </c>
      <c r="AO48" s="36">
        <f t="shared" si="60"/>
        <v>0</v>
      </c>
      <c r="AP48" s="36">
        <f t="shared" si="61"/>
        <v>0</v>
      </c>
      <c r="AQ48" s="37" t="s">
        <v>7</v>
      </c>
      <c r="AV48" s="36">
        <f t="shared" si="62"/>
        <v>0</v>
      </c>
      <c r="AW48" s="36">
        <f t="shared" si="63"/>
        <v>0</v>
      </c>
      <c r="AX48" s="36">
        <f t="shared" si="64"/>
        <v>0</v>
      </c>
      <c r="AY48" s="39" t="s">
        <v>505</v>
      </c>
      <c r="AZ48" s="39" t="s">
        <v>514</v>
      </c>
      <c r="BA48" s="35" t="s">
        <v>518</v>
      </c>
      <c r="BC48" s="36">
        <f t="shared" si="65"/>
        <v>0</v>
      </c>
      <c r="BD48" s="36">
        <f t="shared" si="66"/>
        <v>0</v>
      </c>
      <c r="BE48" s="36">
        <v>0</v>
      </c>
      <c r="BF48" s="36">
        <f>48</f>
        <v>48</v>
      </c>
      <c r="BH48" s="20">
        <f t="shared" si="67"/>
        <v>0</v>
      </c>
      <c r="BI48" s="20">
        <f t="shared" si="68"/>
        <v>0</v>
      </c>
      <c r="BJ48" s="20">
        <f t="shared" si="69"/>
        <v>0</v>
      </c>
      <c r="BK48" s="20" t="s">
        <v>524</v>
      </c>
      <c r="BL48" s="36" t="s">
        <v>201</v>
      </c>
    </row>
    <row r="49" spans="1:64" x14ac:dyDescent="0.25">
      <c r="A49" s="4" t="s">
        <v>37</v>
      </c>
      <c r="B49" s="13" t="s">
        <v>205</v>
      </c>
      <c r="C49" s="148" t="s">
        <v>385</v>
      </c>
      <c r="D49" s="149"/>
      <c r="E49" s="149"/>
      <c r="F49" s="149"/>
      <c r="G49" s="13" t="s">
        <v>471</v>
      </c>
      <c r="H49" s="80">
        <v>1</v>
      </c>
      <c r="I49" s="20">
        <v>0</v>
      </c>
      <c r="J49" s="20">
        <f t="shared" si="46"/>
        <v>0</v>
      </c>
      <c r="K49" s="20">
        <f t="shared" si="47"/>
        <v>0</v>
      </c>
      <c r="L49" s="20">
        <f t="shared" si="48"/>
        <v>0</v>
      </c>
      <c r="M49" s="31" t="s">
        <v>488</v>
      </c>
      <c r="N49" s="6"/>
      <c r="Z49" s="36">
        <f t="shared" si="49"/>
        <v>0</v>
      </c>
      <c r="AB49" s="36">
        <f t="shared" si="50"/>
        <v>0</v>
      </c>
      <c r="AC49" s="36">
        <f t="shared" si="51"/>
        <v>0</v>
      </c>
      <c r="AD49" s="36">
        <f t="shared" si="52"/>
        <v>0</v>
      </c>
      <c r="AE49" s="36">
        <f t="shared" si="53"/>
        <v>0</v>
      </c>
      <c r="AF49" s="36">
        <f t="shared" si="54"/>
        <v>0</v>
      </c>
      <c r="AG49" s="36">
        <f t="shared" si="55"/>
        <v>0</v>
      </c>
      <c r="AH49" s="36">
        <f t="shared" si="56"/>
        <v>0</v>
      </c>
      <c r="AI49" s="35" t="s">
        <v>498</v>
      </c>
      <c r="AJ49" s="20">
        <f t="shared" si="57"/>
        <v>0</v>
      </c>
      <c r="AK49" s="20">
        <f t="shared" si="58"/>
        <v>0</v>
      </c>
      <c r="AL49" s="20">
        <f t="shared" si="59"/>
        <v>0</v>
      </c>
      <c r="AN49" s="36">
        <v>21</v>
      </c>
      <c r="AO49" s="36">
        <f t="shared" si="60"/>
        <v>0</v>
      </c>
      <c r="AP49" s="36">
        <f t="shared" si="61"/>
        <v>0</v>
      </c>
      <c r="AQ49" s="37" t="s">
        <v>7</v>
      </c>
      <c r="AV49" s="36">
        <f t="shared" si="62"/>
        <v>0</v>
      </c>
      <c r="AW49" s="36">
        <f t="shared" si="63"/>
        <v>0</v>
      </c>
      <c r="AX49" s="36">
        <f t="shared" si="64"/>
        <v>0</v>
      </c>
      <c r="AY49" s="39" t="s">
        <v>505</v>
      </c>
      <c r="AZ49" s="39" t="s">
        <v>514</v>
      </c>
      <c r="BA49" s="35" t="s">
        <v>518</v>
      </c>
      <c r="BC49" s="36">
        <f t="shared" si="65"/>
        <v>0</v>
      </c>
      <c r="BD49" s="36">
        <f t="shared" si="66"/>
        <v>0</v>
      </c>
      <c r="BE49" s="36">
        <v>0</v>
      </c>
      <c r="BF49" s="36">
        <f>49</f>
        <v>49</v>
      </c>
      <c r="BH49" s="20">
        <f t="shared" si="67"/>
        <v>0</v>
      </c>
      <c r="BI49" s="20">
        <f t="shared" si="68"/>
        <v>0</v>
      </c>
      <c r="BJ49" s="20">
        <f t="shared" si="69"/>
        <v>0</v>
      </c>
      <c r="BK49" s="20" t="s">
        <v>524</v>
      </c>
      <c r="BL49" s="36" t="s">
        <v>201</v>
      </c>
    </row>
    <row r="50" spans="1:64" x14ac:dyDescent="0.25">
      <c r="A50" s="4" t="s">
        <v>38</v>
      </c>
      <c r="B50" s="13" t="s">
        <v>206</v>
      </c>
      <c r="C50" s="148" t="s">
        <v>386</v>
      </c>
      <c r="D50" s="149"/>
      <c r="E50" s="149"/>
      <c r="F50" s="149"/>
      <c r="G50" s="13" t="s">
        <v>471</v>
      </c>
      <c r="H50" s="80">
        <v>3</v>
      </c>
      <c r="I50" s="20">
        <v>0</v>
      </c>
      <c r="J50" s="20">
        <f t="shared" si="46"/>
        <v>0</v>
      </c>
      <c r="K50" s="20">
        <f t="shared" si="47"/>
        <v>0</v>
      </c>
      <c r="L50" s="20">
        <f t="shared" si="48"/>
        <v>0</v>
      </c>
      <c r="M50" s="31" t="s">
        <v>488</v>
      </c>
      <c r="N50" s="6"/>
      <c r="Z50" s="36">
        <f t="shared" si="49"/>
        <v>0</v>
      </c>
      <c r="AB50" s="36">
        <f t="shared" si="50"/>
        <v>0</v>
      </c>
      <c r="AC50" s="36">
        <f t="shared" si="51"/>
        <v>0</v>
      </c>
      <c r="AD50" s="36">
        <f t="shared" si="52"/>
        <v>0</v>
      </c>
      <c r="AE50" s="36">
        <f t="shared" si="53"/>
        <v>0</v>
      </c>
      <c r="AF50" s="36">
        <f t="shared" si="54"/>
        <v>0</v>
      </c>
      <c r="AG50" s="36">
        <f t="shared" si="55"/>
        <v>0</v>
      </c>
      <c r="AH50" s="36">
        <f t="shared" si="56"/>
        <v>0</v>
      </c>
      <c r="AI50" s="35" t="s">
        <v>498</v>
      </c>
      <c r="AJ50" s="20">
        <f t="shared" si="57"/>
        <v>0</v>
      </c>
      <c r="AK50" s="20">
        <f t="shared" si="58"/>
        <v>0</v>
      </c>
      <c r="AL50" s="20">
        <f t="shared" si="59"/>
        <v>0</v>
      </c>
      <c r="AN50" s="36">
        <v>21</v>
      </c>
      <c r="AO50" s="36">
        <f t="shared" si="60"/>
        <v>0</v>
      </c>
      <c r="AP50" s="36">
        <f t="shared" si="61"/>
        <v>0</v>
      </c>
      <c r="AQ50" s="37" t="s">
        <v>7</v>
      </c>
      <c r="AV50" s="36">
        <f t="shared" si="62"/>
        <v>0</v>
      </c>
      <c r="AW50" s="36">
        <f t="shared" si="63"/>
        <v>0</v>
      </c>
      <c r="AX50" s="36">
        <f t="shared" si="64"/>
        <v>0</v>
      </c>
      <c r="AY50" s="39" t="s">
        <v>505</v>
      </c>
      <c r="AZ50" s="39" t="s">
        <v>514</v>
      </c>
      <c r="BA50" s="35" t="s">
        <v>518</v>
      </c>
      <c r="BC50" s="36">
        <f t="shared" si="65"/>
        <v>0</v>
      </c>
      <c r="BD50" s="36">
        <f t="shared" si="66"/>
        <v>0</v>
      </c>
      <c r="BE50" s="36">
        <v>0</v>
      </c>
      <c r="BF50" s="36">
        <f>50</f>
        <v>50</v>
      </c>
      <c r="BH50" s="20">
        <f t="shared" si="67"/>
        <v>0</v>
      </c>
      <c r="BI50" s="20">
        <f t="shared" si="68"/>
        <v>0</v>
      </c>
      <c r="BJ50" s="20">
        <f t="shared" si="69"/>
        <v>0</v>
      </c>
      <c r="BK50" s="20" t="s">
        <v>524</v>
      </c>
      <c r="BL50" s="36" t="s">
        <v>201</v>
      </c>
    </row>
    <row r="51" spans="1:64" x14ac:dyDescent="0.25">
      <c r="A51" s="4" t="s">
        <v>39</v>
      </c>
      <c r="B51" s="13" t="s">
        <v>207</v>
      </c>
      <c r="C51" s="148" t="s">
        <v>387</v>
      </c>
      <c r="D51" s="149"/>
      <c r="E51" s="149"/>
      <c r="F51" s="149"/>
      <c r="G51" s="13" t="s">
        <v>471</v>
      </c>
      <c r="H51" s="80">
        <v>1</v>
      </c>
      <c r="I51" s="20">
        <v>0</v>
      </c>
      <c r="J51" s="20">
        <f t="shared" si="46"/>
        <v>0</v>
      </c>
      <c r="K51" s="20">
        <f t="shared" si="47"/>
        <v>0</v>
      </c>
      <c r="L51" s="20">
        <f t="shared" si="48"/>
        <v>0</v>
      </c>
      <c r="M51" s="31" t="s">
        <v>488</v>
      </c>
      <c r="N51" s="6"/>
      <c r="Z51" s="36">
        <f t="shared" si="49"/>
        <v>0</v>
      </c>
      <c r="AB51" s="36">
        <f t="shared" si="50"/>
        <v>0</v>
      </c>
      <c r="AC51" s="36">
        <f t="shared" si="51"/>
        <v>0</v>
      </c>
      <c r="AD51" s="36">
        <f t="shared" si="52"/>
        <v>0</v>
      </c>
      <c r="AE51" s="36">
        <f t="shared" si="53"/>
        <v>0</v>
      </c>
      <c r="AF51" s="36">
        <f t="shared" si="54"/>
        <v>0</v>
      </c>
      <c r="AG51" s="36">
        <f t="shared" si="55"/>
        <v>0</v>
      </c>
      <c r="AH51" s="36">
        <f t="shared" si="56"/>
        <v>0</v>
      </c>
      <c r="AI51" s="35" t="s">
        <v>498</v>
      </c>
      <c r="AJ51" s="20">
        <f t="shared" si="57"/>
        <v>0</v>
      </c>
      <c r="AK51" s="20">
        <f t="shared" si="58"/>
        <v>0</v>
      </c>
      <c r="AL51" s="20">
        <f t="shared" si="59"/>
        <v>0</v>
      </c>
      <c r="AN51" s="36">
        <v>21</v>
      </c>
      <c r="AO51" s="36">
        <f t="shared" si="60"/>
        <v>0</v>
      </c>
      <c r="AP51" s="36">
        <f t="shared" si="61"/>
        <v>0</v>
      </c>
      <c r="AQ51" s="37" t="s">
        <v>7</v>
      </c>
      <c r="AV51" s="36">
        <f t="shared" si="62"/>
        <v>0</v>
      </c>
      <c r="AW51" s="36">
        <f t="shared" si="63"/>
        <v>0</v>
      </c>
      <c r="AX51" s="36">
        <f t="shared" si="64"/>
        <v>0</v>
      </c>
      <c r="AY51" s="39" t="s">
        <v>505</v>
      </c>
      <c r="AZ51" s="39" t="s">
        <v>514</v>
      </c>
      <c r="BA51" s="35" t="s">
        <v>518</v>
      </c>
      <c r="BC51" s="36">
        <f t="shared" si="65"/>
        <v>0</v>
      </c>
      <c r="BD51" s="36">
        <f t="shared" si="66"/>
        <v>0</v>
      </c>
      <c r="BE51" s="36">
        <v>0</v>
      </c>
      <c r="BF51" s="36">
        <f>51</f>
        <v>51</v>
      </c>
      <c r="BH51" s="20">
        <f t="shared" si="67"/>
        <v>0</v>
      </c>
      <c r="BI51" s="20">
        <f t="shared" si="68"/>
        <v>0</v>
      </c>
      <c r="BJ51" s="20">
        <f t="shared" si="69"/>
        <v>0</v>
      </c>
      <c r="BK51" s="20" t="s">
        <v>524</v>
      </c>
      <c r="BL51" s="36" t="s">
        <v>201</v>
      </c>
    </row>
    <row r="52" spans="1:64" x14ac:dyDescent="0.25">
      <c r="A52" s="4" t="s">
        <v>40</v>
      </c>
      <c r="B52" s="13" t="s">
        <v>208</v>
      </c>
      <c r="C52" s="148" t="s">
        <v>388</v>
      </c>
      <c r="D52" s="149"/>
      <c r="E52" s="149"/>
      <c r="F52" s="149"/>
      <c r="G52" s="13" t="s">
        <v>471</v>
      </c>
      <c r="H52" s="80">
        <v>3</v>
      </c>
      <c r="I52" s="20">
        <v>0</v>
      </c>
      <c r="J52" s="20">
        <f t="shared" si="46"/>
        <v>0</v>
      </c>
      <c r="K52" s="20">
        <f t="shared" si="47"/>
        <v>0</v>
      </c>
      <c r="L52" s="20">
        <f t="shared" si="48"/>
        <v>0</v>
      </c>
      <c r="M52" s="31" t="s">
        <v>488</v>
      </c>
      <c r="N52" s="6"/>
      <c r="Z52" s="36">
        <f t="shared" si="49"/>
        <v>0</v>
      </c>
      <c r="AB52" s="36">
        <f t="shared" si="50"/>
        <v>0</v>
      </c>
      <c r="AC52" s="36">
        <f t="shared" si="51"/>
        <v>0</v>
      </c>
      <c r="AD52" s="36">
        <f t="shared" si="52"/>
        <v>0</v>
      </c>
      <c r="AE52" s="36">
        <f t="shared" si="53"/>
        <v>0</v>
      </c>
      <c r="AF52" s="36">
        <f t="shared" si="54"/>
        <v>0</v>
      </c>
      <c r="AG52" s="36">
        <f t="shared" si="55"/>
        <v>0</v>
      </c>
      <c r="AH52" s="36">
        <f t="shared" si="56"/>
        <v>0</v>
      </c>
      <c r="AI52" s="35" t="s">
        <v>498</v>
      </c>
      <c r="AJ52" s="20">
        <f t="shared" si="57"/>
        <v>0</v>
      </c>
      <c r="AK52" s="20">
        <f t="shared" si="58"/>
        <v>0</v>
      </c>
      <c r="AL52" s="20">
        <f t="shared" si="59"/>
        <v>0</v>
      </c>
      <c r="AN52" s="36">
        <v>21</v>
      </c>
      <c r="AO52" s="36">
        <f t="shared" si="60"/>
        <v>0</v>
      </c>
      <c r="AP52" s="36">
        <f t="shared" si="61"/>
        <v>0</v>
      </c>
      <c r="AQ52" s="37" t="s">
        <v>7</v>
      </c>
      <c r="AV52" s="36">
        <f t="shared" si="62"/>
        <v>0</v>
      </c>
      <c r="AW52" s="36">
        <f t="shared" si="63"/>
        <v>0</v>
      </c>
      <c r="AX52" s="36">
        <f t="shared" si="64"/>
        <v>0</v>
      </c>
      <c r="AY52" s="39" t="s">
        <v>505</v>
      </c>
      <c r="AZ52" s="39" t="s">
        <v>514</v>
      </c>
      <c r="BA52" s="35" t="s">
        <v>518</v>
      </c>
      <c r="BC52" s="36">
        <f t="shared" si="65"/>
        <v>0</v>
      </c>
      <c r="BD52" s="36">
        <f t="shared" si="66"/>
        <v>0</v>
      </c>
      <c r="BE52" s="36">
        <v>0</v>
      </c>
      <c r="BF52" s="36">
        <f>52</f>
        <v>52</v>
      </c>
      <c r="BH52" s="20">
        <f t="shared" si="67"/>
        <v>0</v>
      </c>
      <c r="BI52" s="20">
        <f t="shared" si="68"/>
        <v>0</v>
      </c>
      <c r="BJ52" s="20">
        <f t="shared" si="69"/>
        <v>0</v>
      </c>
      <c r="BK52" s="20" t="s">
        <v>524</v>
      </c>
      <c r="BL52" s="36" t="s">
        <v>201</v>
      </c>
    </row>
    <row r="53" spans="1:64" x14ac:dyDescent="0.25">
      <c r="A53" s="4" t="s">
        <v>41</v>
      </c>
      <c r="B53" s="13" t="s">
        <v>209</v>
      </c>
      <c r="C53" s="148" t="s">
        <v>389</v>
      </c>
      <c r="D53" s="149"/>
      <c r="E53" s="149"/>
      <c r="F53" s="149"/>
      <c r="G53" s="13" t="s">
        <v>471</v>
      </c>
      <c r="H53" s="80">
        <v>1</v>
      </c>
      <c r="I53" s="20">
        <v>0</v>
      </c>
      <c r="J53" s="20">
        <f t="shared" si="46"/>
        <v>0</v>
      </c>
      <c r="K53" s="20">
        <f t="shared" si="47"/>
        <v>0</v>
      </c>
      <c r="L53" s="20">
        <f t="shared" si="48"/>
        <v>0</v>
      </c>
      <c r="M53" s="31" t="s">
        <v>488</v>
      </c>
      <c r="N53" s="6"/>
      <c r="Z53" s="36">
        <f t="shared" si="49"/>
        <v>0</v>
      </c>
      <c r="AB53" s="36">
        <f t="shared" si="50"/>
        <v>0</v>
      </c>
      <c r="AC53" s="36">
        <f t="shared" si="51"/>
        <v>0</v>
      </c>
      <c r="AD53" s="36">
        <f t="shared" si="52"/>
        <v>0</v>
      </c>
      <c r="AE53" s="36">
        <f t="shared" si="53"/>
        <v>0</v>
      </c>
      <c r="AF53" s="36">
        <f t="shared" si="54"/>
        <v>0</v>
      </c>
      <c r="AG53" s="36">
        <f t="shared" si="55"/>
        <v>0</v>
      </c>
      <c r="AH53" s="36">
        <f t="shared" si="56"/>
        <v>0</v>
      </c>
      <c r="AI53" s="35" t="s">
        <v>498</v>
      </c>
      <c r="AJ53" s="20">
        <f t="shared" si="57"/>
        <v>0</v>
      </c>
      <c r="AK53" s="20">
        <f t="shared" si="58"/>
        <v>0</v>
      </c>
      <c r="AL53" s="20">
        <f t="shared" si="59"/>
        <v>0</v>
      </c>
      <c r="AN53" s="36">
        <v>21</v>
      </c>
      <c r="AO53" s="36">
        <f t="shared" si="60"/>
        <v>0</v>
      </c>
      <c r="AP53" s="36">
        <f t="shared" si="61"/>
        <v>0</v>
      </c>
      <c r="AQ53" s="37" t="s">
        <v>7</v>
      </c>
      <c r="AV53" s="36">
        <f t="shared" si="62"/>
        <v>0</v>
      </c>
      <c r="AW53" s="36">
        <f t="shared" si="63"/>
        <v>0</v>
      </c>
      <c r="AX53" s="36">
        <f t="shared" si="64"/>
        <v>0</v>
      </c>
      <c r="AY53" s="39" t="s">
        <v>505</v>
      </c>
      <c r="AZ53" s="39" t="s">
        <v>514</v>
      </c>
      <c r="BA53" s="35" t="s">
        <v>518</v>
      </c>
      <c r="BC53" s="36">
        <f t="shared" si="65"/>
        <v>0</v>
      </c>
      <c r="BD53" s="36">
        <f t="shared" si="66"/>
        <v>0</v>
      </c>
      <c r="BE53" s="36">
        <v>0</v>
      </c>
      <c r="BF53" s="36">
        <f>53</f>
        <v>53</v>
      </c>
      <c r="BH53" s="20">
        <f t="shared" si="67"/>
        <v>0</v>
      </c>
      <c r="BI53" s="20">
        <f t="shared" si="68"/>
        <v>0</v>
      </c>
      <c r="BJ53" s="20">
        <f t="shared" si="69"/>
        <v>0</v>
      </c>
      <c r="BK53" s="20" t="s">
        <v>524</v>
      </c>
      <c r="BL53" s="36" t="s">
        <v>201</v>
      </c>
    </row>
    <row r="54" spans="1:64" x14ac:dyDescent="0.25">
      <c r="A54" s="4" t="s">
        <v>42</v>
      </c>
      <c r="B54" s="13" t="s">
        <v>210</v>
      </c>
      <c r="C54" s="148" t="s">
        <v>390</v>
      </c>
      <c r="D54" s="149"/>
      <c r="E54" s="149"/>
      <c r="F54" s="149"/>
      <c r="G54" s="13" t="s">
        <v>471</v>
      </c>
      <c r="H54" s="80">
        <v>1</v>
      </c>
      <c r="I54" s="20">
        <v>0</v>
      </c>
      <c r="J54" s="20">
        <f t="shared" si="46"/>
        <v>0</v>
      </c>
      <c r="K54" s="20">
        <f t="shared" si="47"/>
        <v>0</v>
      </c>
      <c r="L54" s="20">
        <f t="shared" si="48"/>
        <v>0</v>
      </c>
      <c r="M54" s="31" t="s">
        <v>488</v>
      </c>
      <c r="N54" s="6"/>
      <c r="Z54" s="36">
        <f t="shared" si="49"/>
        <v>0</v>
      </c>
      <c r="AB54" s="36">
        <f t="shared" si="50"/>
        <v>0</v>
      </c>
      <c r="AC54" s="36">
        <f t="shared" si="51"/>
        <v>0</v>
      </c>
      <c r="AD54" s="36">
        <f t="shared" si="52"/>
        <v>0</v>
      </c>
      <c r="AE54" s="36">
        <f t="shared" si="53"/>
        <v>0</v>
      </c>
      <c r="AF54" s="36">
        <f t="shared" si="54"/>
        <v>0</v>
      </c>
      <c r="AG54" s="36">
        <f t="shared" si="55"/>
        <v>0</v>
      </c>
      <c r="AH54" s="36">
        <f t="shared" si="56"/>
        <v>0</v>
      </c>
      <c r="AI54" s="35" t="s">
        <v>498</v>
      </c>
      <c r="AJ54" s="20">
        <f t="shared" si="57"/>
        <v>0</v>
      </c>
      <c r="AK54" s="20">
        <f t="shared" si="58"/>
        <v>0</v>
      </c>
      <c r="AL54" s="20">
        <f t="shared" si="59"/>
        <v>0</v>
      </c>
      <c r="AN54" s="36">
        <v>21</v>
      </c>
      <c r="AO54" s="36">
        <f t="shared" si="60"/>
        <v>0</v>
      </c>
      <c r="AP54" s="36">
        <f t="shared" si="61"/>
        <v>0</v>
      </c>
      <c r="AQ54" s="37" t="s">
        <v>7</v>
      </c>
      <c r="AV54" s="36">
        <f t="shared" si="62"/>
        <v>0</v>
      </c>
      <c r="AW54" s="36">
        <f t="shared" si="63"/>
        <v>0</v>
      </c>
      <c r="AX54" s="36">
        <f t="shared" si="64"/>
        <v>0</v>
      </c>
      <c r="AY54" s="39" t="s">
        <v>505</v>
      </c>
      <c r="AZ54" s="39" t="s">
        <v>514</v>
      </c>
      <c r="BA54" s="35" t="s">
        <v>518</v>
      </c>
      <c r="BC54" s="36">
        <f t="shared" si="65"/>
        <v>0</v>
      </c>
      <c r="BD54" s="36">
        <f t="shared" si="66"/>
        <v>0</v>
      </c>
      <c r="BE54" s="36">
        <v>0</v>
      </c>
      <c r="BF54" s="36">
        <f>54</f>
        <v>54</v>
      </c>
      <c r="BH54" s="20">
        <f t="shared" si="67"/>
        <v>0</v>
      </c>
      <c r="BI54" s="20">
        <f t="shared" si="68"/>
        <v>0</v>
      </c>
      <c r="BJ54" s="20">
        <f t="shared" si="69"/>
        <v>0</v>
      </c>
      <c r="BK54" s="20" t="s">
        <v>524</v>
      </c>
      <c r="BL54" s="36" t="s">
        <v>201</v>
      </c>
    </row>
    <row r="55" spans="1:64" x14ac:dyDescent="0.25">
      <c r="A55" s="4" t="s">
        <v>43</v>
      </c>
      <c r="B55" s="13" t="s">
        <v>211</v>
      </c>
      <c r="C55" s="148" t="s">
        <v>391</v>
      </c>
      <c r="D55" s="149"/>
      <c r="E55" s="149"/>
      <c r="F55" s="149"/>
      <c r="G55" s="13" t="s">
        <v>471</v>
      </c>
      <c r="H55" s="80">
        <v>1</v>
      </c>
      <c r="I55" s="20">
        <v>0</v>
      </c>
      <c r="J55" s="20">
        <f t="shared" si="46"/>
        <v>0</v>
      </c>
      <c r="K55" s="20">
        <f t="shared" si="47"/>
        <v>0</v>
      </c>
      <c r="L55" s="20">
        <f t="shared" si="48"/>
        <v>0</v>
      </c>
      <c r="M55" s="31" t="s">
        <v>488</v>
      </c>
      <c r="N55" s="6"/>
      <c r="Z55" s="36">
        <f t="shared" si="49"/>
        <v>0</v>
      </c>
      <c r="AB55" s="36">
        <f t="shared" si="50"/>
        <v>0</v>
      </c>
      <c r="AC55" s="36">
        <f t="shared" si="51"/>
        <v>0</v>
      </c>
      <c r="AD55" s="36">
        <f t="shared" si="52"/>
        <v>0</v>
      </c>
      <c r="AE55" s="36">
        <f t="shared" si="53"/>
        <v>0</v>
      </c>
      <c r="AF55" s="36">
        <f t="shared" si="54"/>
        <v>0</v>
      </c>
      <c r="AG55" s="36">
        <f t="shared" si="55"/>
        <v>0</v>
      </c>
      <c r="AH55" s="36">
        <f t="shared" si="56"/>
        <v>0</v>
      </c>
      <c r="AI55" s="35" t="s">
        <v>498</v>
      </c>
      <c r="AJ55" s="20">
        <f t="shared" si="57"/>
        <v>0</v>
      </c>
      <c r="AK55" s="20">
        <f t="shared" si="58"/>
        <v>0</v>
      </c>
      <c r="AL55" s="20">
        <f t="shared" si="59"/>
        <v>0</v>
      </c>
      <c r="AN55" s="36">
        <v>21</v>
      </c>
      <c r="AO55" s="36">
        <f t="shared" si="60"/>
        <v>0</v>
      </c>
      <c r="AP55" s="36">
        <f t="shared" si="61"/>
        <v>0</v>
      </c>
      <c r="AQ55" s="37" t="s">
        <v>7</v>
      </c>
      <c r="AV55" s="36">
        <f t="shared" si="62"/>
        <v>0</v>
      </c>
      <c r="AW55" s="36">
        <f t="shared" si="63"/>
        <v>0</v>
      </c>
      <c r="AX55" s="36">
        <f t="shared" si="64"/>
        <v>0</v>
      </c>
      <c r="AY55" s="39" t="s">
        <v>505</v>
      </c>
      <c r="AZ55" s="39" t="s">
        <v>514</v>
      </c>
      <c r="BA55" s="35" t="s">
        <v>518</v>
      </c>
      <c r="BC55" s="36">
        <f t="shared" si="65"/>
        <v>0</v>
      </c>
      <c r="BD55" s="36">
        <f t="shared" si="66"/>
        <v>0</v>
      </c>
      <c r="BE55" s="36">
        <v>0</v>
      </c>
      <c r="BF55" s="36">
        <f>55</f>
        <v>55</v>
      </c>
      <c r="BH55" s="20">
        <f t="shared" si="67"/>
        <v>0</v>
      </c>
      <c r="BI55" s="20">
        <f t="shared" si="68"/>
        <v>0</v>
      </c>
      <c r="BJ55" s="20">
        <f t="shared" si="69"/>
        <v>0</v>
      </c>
      <c r="BK55" s="20" t="s">
        <v>524</v>
      </c>
      <c r="BL55" s="36" t="s">
        <v>201</v>
      </c>
    </row>
    <row r="56" spans="1:64" x14ac:dyDescent="0.25">
      <c r="A56" s="4" t="s">
        <v>44</v>
      </c>
      <c r="B56" s="13" t="s">
        <v>212</v>
      </c>
      <c r="C56" s="148" t="s">
        <v>392</v>
      </c>
      <c r="D56" s="149"/>
      <c r="E56" s="149"/>
      <c r="F56" s="149"/>
      <c r="G56" s="13" t="s">
        <v>471</v>
      </c>
      <c r="H56" s="80">
        <v>1</v>
      </c>
      <c r="I56" s="20">
        <v>0</v>
      </c>
      <c r="J56" s="20">
        <f t="shared" si="46"/>
        <v>0</v>
      </c>
      <c r="K56" s="20">
        <f t="shared" si="47"/>
        <v>0</v>
      </c>
      <c r="L56" s="20">
        <f t="shared" si="48"/>
        <v>0</v>
      </c>
      <c r="M56" s="31" t="s">
        <v>488</v>
      </c>
      <c r="N56" s="6"/>
      <c r="Z56" s="36">
        <f t="shared" si="49"/>
        <v>0</v>
      </c>
      <c r="AB56" s="36">
        <f t="shared" si="50"/>
        <v>0</v>
      </c>
      <c r="AC56" s="36">
        <f t="shared" si="51"/>
        <v>0</v>
      </c>
      <c r="AD56" s="36">
        <f t="shared" si="52"/>
        <v>0</v>
      </c>
      <c r="AE56" s="36">
        <f t="shared" si="53"/>
        <v>0</v>
      </c>
      <c r="AF56" s="36">
        <f t="shared" si="54"/>
        <v>0</v>
      </c>
      <c r="AG56" s="36">
        <f t="shared" si="55"/>
        <v>0</v>
      </c>
      <c r="AH56" s="36">
        <f t="shared" si="56"/>
        <v>0</v>
      </c>
      <c r="AI56" s="35" t="s">
        <v>498</v>
      </c>
      <c r="AJ56" s="20">
        <f t="shared" si="57"/>
        <v>0</v>
      </c>
      <c r="AK56" s="20">
        <f t="shared" si="58"/>
        <v>0</v>
      </c>
      <c r="AL56" s="20">
        <f t="shared" si="59"/>
        <v>0</v>
      </c>
      <c r="AN56" s="36">
        <v>21</v>
      </c>
      <c r="AO56" s="36">
        <f t="shared" si="60"/>
        <v>0</v>
      </c>
      <c r="AP56" s="36">
        <f t="shared" si="61"/>
        <v>0</v>
      </c>
      <c r="AQ56" s="37" t="s">
        <v>7</v>
      </c>
      <c r="AV56" s="36">
        <f t="shared" si="62"/>
        <v>0</v>
      </c>
      <c r="AW56" s="36">
        <f t="shared" si="63"/>
        <v>0</v>
      </c>
      <c r="AX56" s="36">
        <f t="shared" si="64"/>
        <v>0</v>
      </c>
      <c r="AY56" s="39" t="s">
        <v>505</v>
      </c>
      <c r="AZ56" s="39" t="s">
        <v>514</v>
      </c>
      <c r="BA56" s="35" t="s">
        <v>518</v>
      </c>
      <c r="BC56" s="36">
        <f t="shared" si="65"/>
        <v>0</v>
      </c>
      <c r="BD56" s="36">
        <f t="shared" si="66"/>
        <v>0</v>
      </c>
      <c r="BE56" s="36">
        <v>0</v>
      </c>
      <c r="BF56" s="36">
        <f>56</f>
        <v>56</v>
      </c>
      <c r="BH56" s="20">
        <f t="shared" si="67"/>
        <v>0</v>
      </c>
      <c r="BI56" s="20">
        <f t="shared" si="68"/>
        <v>0</v>
      </c>
      <c r="BJ56" s="20">
        <f t="shared" si="69"/>
        <v>0</v>
      </c>
      <c r="BK56" s="20" t="s">
        <v>524</v>
      </c>
      <c r="BL56" s="36" t="s">
        <v>201</v>
      </c>
    </row>
    <row r="57" spans="1:64" x14ac:dyDescent="0.25">
      <c r="A57" s="4" t="s">
        <v>45</v>
      </c>
      <c r="B57" s="13" t="s">
        <v>213</v>
      </c>
      <c r="C57" s="148" t="s">
        <v>393</v>
      </c>
      <c r="D57" s="149"/>
      <c r="E57" s="149"/>
      <c r="F57" s="149"/>
      <c r="G57" s="13" t="s">
        <v>471</v>
      </c>
      <c r="H57" s="80">
        <v>9</v>
      </c>
      <c r="I57" s="20">
        <v>0</v>
      </c>
      <c r="J57" s="20">
        <f t="shared" si="46"/>
        <v>0</v>
      </c>
      <c r="K57" s="20">
        <f t="shared" si="47"/>
        <v>0</v>
      </c>
      <c r="L57" s="20">
        <f t="shared" si="48"/>
        <v>0</v>
      </c>
      <c r="M57" s="31" t="s">
        <v>488</v>
      </c>
      <c r="N57" s="6"/>
      <c r="Z57" s="36">
        <f t="shared" si="49"/>
        <v>0</v>
      </c>
      <c r="AB57" s="36">
        <f t="shared" si="50"/>
        <v>0</v>
      </c>
      <c r="AC57" s="36">
        <f t="shared" si="51"/>
        <v>0</v>
      </c>
      <c r="AD57" s="36">
        <f t="shared" si="52"/>
        <v>0</v>
      </c>
      <c r="AE57" s="36">
        <f t="shared" si="53"/>
        <v>0</v>
      </c>
      <c r="AF57" s="36">
        <f t="shared" si="54"/>
        <v>0</v>
      </c>
      <c r="AG57" s="36">
        <f t="shared" si="55"/>
        <v>0</v>
      </c>
      <c r="AH57" s="36">
        <f t="shared" si="56"/>
        <v>0</v>
      </c>
      <c r="AI57" s="35" t="s">
        <v>498</v>
      </c>
      <c r="AJ57" s="20">
        <f t="shared" si="57"/>
        <v>0</v>
      </c>
      <c r="AK57" s="20">
        <f t="shared" si="58"/>
        <v>0</v>
      </c>
      <c r="AL57" s="20">
        <f t="shared" si="59"/>
        <v>0</v>
      </c>
      <c r="AN57" s="36">
        <v>21</v>
      </c>
      <c r="AO57" s="36">
        <f t="shared" si="60"/>
        <v>0</v>
      </c>
      <c r="AP57" s="36">
        <f t="shared" si="61"/>
        <v>0</v>
      </c>
      <c r="AQ57" s="37" t="s">
        <v>7</v>
      </c>
      <c r="AV57" s="36">
        <f t="shared" si="62"/>
        <v>0</v>
      </c>
      <c r="AW57" s="36">
        <f t="shared" si="63"/>
        <v>0</v>
      </c>
      <c r="AX57" s="36">
        <f t="shared" si="64"/>
        <v>0</v>
      </c>
      <c r="AY57" s="39" t="s">
        <v>505</v>
      </c>
      <c r="AZ57" s="39" t="s">
        <v>514</v>
      </c>
      <c r="BA57" s="35" t="s">
        <v>518</v>
      </c>
      <c r="BC57" s="36">
        <f t="shared" si="65"/>
        <v>0</v>
      </c>
      <c r="BD57" s="36">
        <f t="shared" si="66"/>
        <v>0</v>
      </c>
      <c r="BE57" s="36">
        <v>0</v>
      </c>
      <c r="BF57" s="36">
        <f>57</f>
        <v>57</v>
      </c>
      <c r="BH57" s="20">
        <f t="shared" si="67"/>
        <v>0</v>
      </c>
      <c r="BI57" s="20">
        <f t="shared" si="68"/>
        <v>0</v>
      </c>
      <c r="BJ57" s="20">
        <f t="shared" si="69"/>
        <v>0</v>
      </c>
      <c r="BK57" s="20" t="s">
        <v>524</v>
      </c>
      <c r="BL57" s="36" t="s">
        <v>201</v>
      </c>
    </row>
    <row r="58" spans="1:64" x14ac:dyDescent="0.25">
      <c r="A58" s="4" t="s">
        <v>46</v>
      </c>
      <c r="B58" s="13" t="s">
        <v>214</v>
      </c>
      <c r="C58" s="148" t="s">
        <v>394</v>
      </c>
      <c r="D58" s="149"/>
      <c r="E58" s="149"/>
      <c r="F58" s="149"/>
      <c r="G58" s="13" t="s">
        <v>471</v>
      </c>
      <c r="H58" s="80">
        <v>6</v>
      </c>
      <c r="I58" s="20">
        <v>0</v>
      </c>
      <c r="J58" s="20">
        <f t="shared" si="46"/>
        <v>0</v>
      </c>
      <c r="K58" s="20">
        <f t="shared" si="47"/>
        <v>0</v>
      </c>
      <c r="L58" s="20">
        <f t="shared" si="48"/>
        <v>0</v>
      </c>
      <c r="M58" s="31" t="s">
        <v>488</v>
      </c>
      <c r="N58" s="6"/>
      <c r="Z58" s="36">
        <f t="shared" si="49"/>
        <v>0</v>
      </c>
      <c r="AB58" s="36">
        <f t="shared" si="50"/>
        <v>0</v>
      </c>
      <c r="AC58" s="36">
        <f t="shared" si="51"/>
        <v>0</v>
      </c>
      <c r="AD58" s="36">
        <f t="shared" si="52"/>
        <v>0</v>
      </c>
      <c r="AE58" s="36">
        <f t="shared" si="53"/>
        <v>0</v>
      </c>
      <c r="AF58" s="36">
        <f t="shared" si="54"/>
        <v>0</v>
      </c>
      <c r="AG58" s="36">
        <f t="shared" si="55"/>
        <v>0</v>
      </c>
      <c r="AH58" s="36">
        <f t="shared" si="56"/>
        <v>0</v>
      </c>
      <c r="AI58" s="35" t="s">
        <v>498</v>
      </c>
      <c r="AJ58" s="20">
        <f t="shared" si="57"/>
        <v>0</v>
      </c>
      <c r="AK58" s="20">
        <f t="shared" si="58"/>
        <v>0</v>
      </c>
      <c r="AL58" s="20">
        <f t="shared" si="59"/>
        <v>0</v>
      </c>
      <c r="AN58" s="36">
        <v>21</v>
      </c>
      <c r="AO58" s="36">
        <f t="shared" si="60"/>
        <v>0</v>
      </c>
      <c r="AP58" s="36">
        <f t="shared" si="61"/>
        <v>0</v>
      </c>
      <c r="AQ58" s="37" t="s">
        <v>7</v>
      </c>
      <c r="AV58" s="36">
        <f t="shared" si="62"/>
        <v>0</v>
      </c>
      <c r="AW58" s="36">
        <f t="shared" si="63"/>
        <v>0</v>
      </c>
      <c r="AX58" s="36">
        <f t="shared" si="64"/>
        <v>0</v>
      </c>
      <c r="AY58" s="39" t="s">
        <v>505</v>
      </c>
      <c r="AZ58" s="39" t="s">
        <v>514</v>
      </c>
      <c r="BA58" s="35" t="s">
        <v>518</v>
      </c>
      <c r="BC58" s="36">
        <f t="shared" si="65"/>
        <v>0</v>
      </c>
      <c r="BD58" s="36">
        <f t="shared" si="66"/>
        <v>0</v>
      </c>
      <c r="BE58" s="36">
        <v>0</v>
      </c>
      <c r="BF58" s="36">
        <f>58</f>
        <v>58</v>
      </c>
      <c r="BH58" s="20">
        <f t="shared" si="67"/>
        <v>0</v>
      </c>
      <c r="BI58" s="20">
        <f t="shared" si="68"/>
        <v>0</v>
      </c>
      <c r="BJ58" s="20">
        <f t="shared" si="69"/>
        <v>0</v>
      </c>
      <c r="BK58" s="20" t="s">
        <v>524</v>
      </c>
      <c r="BL58" s="36" t="s">
        <v>201</v>
      </c>
    </row>
    <row r="59" spans="1:64" x14ac:dyDescent="0.25">
      <c r="A59" s="4" t="s">
        <v>47</v>
      </c>
      <c r="B59" s="13" t="s">
        <v>215</v>
      </c>
      <c r="C59" s="148" t="s">
        <v>395</v>
      </c>
      <c r="D59" s="149"/>
      <c r="E59" s="149"/>
      <c r="F59" s="149"/>
      <c r="G59" s="13" t="s">
        <v>471</v>
      </c>
      <c r="H59" s="80">
        <v>2</v>
      </c>
      <c r="I59" s="20">
        <v>0</v>
      </c>
      <c r="J59" s="20">
        <f t="shared" si="46"/>
        <v>0</v>
      </c>
      <c r="K59" s="20">
        <f t="shared" si="47"/>
        <v>0</v>
      </c>
      <c r="L59" s="20">
        <f t="shared" si="48"/>
        <v>0</v>
      </c>
      <c r="M59" s="31" t="s">
        <v>488</v>
      </c>
      <c r="N59" s="6"/>
      <c r="Z59" s="36">
        <f t="shared" si="49"/>
        <v>0</v>
      </c>
      <c r="AB59" s="36">
        <f t="shared" si="50"/>
        <v>0</v>
      </c>
      <c r="AC59" s="36">
        <f t="shared" si="51"/>
        <v>0</v>
      </c>
      <c r="AD59" s="36">
        <f t="shared" si="52"/>
        <v>0</v>
      </c>
      <c r="AE59" s="36">
        <f t="shared" si="53"/>
        <v>0</v>
      </c>
      <c r="AF59" s="36">
        <f t="shared" si="54"/>
        <v>0</v>
      </c>
      <c r="AG59" s="36">
        <f t="shared" si="55"/>
        <v>0</v>
      </c>
      <c r="AH59" s="36">
        <f t="shared" si="56"/>
        <v>0</v>
      </c>
      <c r="AI59" s="35" t="s">
        <v>498</v>
      </c>
      <c r="AJ59" s="20">
        <f t="shared" si="57"/>
        <v>0</v>
      </c>
      <c r="AK59" s="20">
        <f t="shared" si="58"/>
        <v>0</v>
      </c>
      <c r="AL59" s="20">
        <f t="shared" si="59"/>
        <v>0</v>
      </c>
      <c r="AN59" s="36">
        <v>21</v>
      </c>
      <c r="AO59" s="36">
        <f t="shared" si="60"/>
        <v>0</v>
      </c>
      <c r="AP59" s="36">
        <f t="shared" si="61"/>
        <v>0</v>
      </c>
      <c r="AQ59" s="37" t="s">
        <v>7</v>
      </c>
      <c r="AV59" s="36">
        <f t="shared" si="62"/>
        <v>0</v>
      </c>
      <c r="AW59" s="36">
        <f t="shared" si="63"/>
        <v>0</v>
      </c>
      <c r="AX59" s="36">
        <f t="shared" si="64"/>
        <v>0</v>
      </c>
      <c r="AY59" s="39" t="s">
        <v>505</v>
      </c>
      <c r="AZ59" s="39" t="s">
        <v>514</v>
      </c>
      <c r="BA59" s="35" t="s">
        <v>518</v>
      </c>
      <c r="BC59" s="36">
        <f t="shared" si="65"/>
        <v>0</v>
      </c>
      <c r="BD59" s="36">
        <f t="shared" si="66"/>
        <v>0</v>
      </c>
      <c r="BE59" s="36">
        <v>0</v>
      </c>
      <c r="BF59" s="36">
        <f>59</f>
        <v>59</v>
      </c>
      <c r="BH59" s="20">
        <f t="shared" si="67"/>
        <v>0</v>
      </c>
      <c r="BI59" s="20">
        <f t="shared" si="68"/>
        <v>0</v>
      </c>
      <c r="BJ59" s="20">
        <f t="shared" si="69"/>
        <v>0</v>
      </c>
      <c r="BK59" s="20" t="s">
        <v>524</v>
      </c>
      <c r="BL59" s="36" t="s">
        <v>201</v>
      </c>
    </row>
    <row r="60" spans="1:64" x14ac:dyDescent="0.25">
      <c r="A60" s="4" t="s">
        <v>48</v>
      </c>
      <c r="B60" s="13" t="s">
        <v>216</v>
      </c>
      <c r="C60" s="148" t="s">
        <v>396</v>
      </c>
      <c r="D60" s="149"/>
      <c r="E60" s="149"/>
      <c r="F60" s="149"/>
      <c r="G60" s="13" t="s">
        <v>471</v>
      </c>
      <c r="H60" s="80">
        <v>6</v>
      </c>
      <c r="I60" s="20">
        <v>0</v>
      </c>
      <c r="J60" s="20">
        <f t="shared" si="46"/>
        <v>0</v>
      </c>
      <c r="K60" s="20">
        <f t="shared" si="47"/>
        <v>0</v>
      </c>
      <c r="L60" s="20">
        <f t="shared" si="48"/>
        <v>0</v>
      </c>
      <c r="M60" s="31" t="s">
        <v>488</v>
      </c>
      <c r="N60" s="6"/>
      <c r="Z60" s="36">
        <f t="shared" si="49"/>
        <v>0</v>
      </c>
      <c r="AB60" s="36">
        <f t="shared" si="50"/>
        <v>0</v>
      </c>
      <c r="AC60" s="36">
        <f t="shared" si="51"/>
        <v>0</v>
      </c>
      <c r="AD60" s="36">
        <f t="shared" si="52"/>
        <v>0</v>
      </c>
      <c r="AE60" s="36">
        <f t="shared" si="53"/>
        <v>0</v>
      </c>
      <c r="AF60" s="36">
        <f t="shared" si="54"/>
        <v>0</v>
      </c>
      <c r="AG60" s="36">
        <f t="shared" si="55"/>
        <v>0</v>
      </c>
      <c r="AH60" s="36">
        <f t="shared" si="56"/>
        <v>0</v>
      </c>
      <c r="AI60" s="35" t="s">
        <v>498</v>
      </c>
      <c r="AJ60" s="20">
        <f t="shared" si="57"/>
        <v>0</v>
      </c>
      <c r="AK60" s="20">
        <f t="shared" si="58"/>
        <v>0</v>
      </c>
      <c r="AL60" s="20">
        <f t="shared" si="59"/>
        <v>0</v>
      </c>
      <c r="AN60" s="36">
        <v>21</v>
      </c>
      <c r="AO60" s="36">
        <f t="shared" si="60"/>
        <v>0</v>
      </c>
      <c r="AP60" s="36">
        <f t="shared" si="61"/>
        <v>0</v>
      </c>
      <c r="AQ60" s="37" t="s">
        <v>7</v>
      </c>
      <c r="AV60" s="36">
        <f t="shared" si="62"/>
        <v>0</v>
      </c>
      <c r="AW60" s="36">
        <f t="shared" si="63"/>
        <v>0</v>
      </c>
      <c r="AX60" s="36">
        <f t="shared" si="64"/>
        <v>0</v>
      </c>
      <c r="AY60" s="39" t="s">
        <v>505</v>
      </c>
      <c r="AZ60" s="39" t="s">
        <v>514</v>
      </c>
      <c r="BA60" s="35" t="s">
        <v>518</v>
      </c>
      <c r="BC60" s="36">
        <f t="shared" si="65"/>
        <v>0</v>
      </c>
      <c r="BD60" s="36">
        <f t="shared" si="66"/>
        <v>0</v>
      </c>
      <c r="BE60" s="36">
        <v>0</v>
      </c>
      <c r="BF60" s="36">
        <f>60</f>
        <v>60</v>
      </c>
      <c r="BH60" s="20">
        <f t="shared" si="67"/>
        <v>0</v>
      </c>
      <c r="BI60" s="20">
        <f t="shared" si="68"/>
        <v>0</v>
      </c>
      <c r="BJ60" s="20">
        <f t="shared" si="69"/>
        <v>0</v>
      </c>
      <c r="BK60" s="20" t="s">
        <v>524</v>
      </c>
      <c r="BL60" s="36" t="s">
        <v>201</v>
      </c>
    </row>
    <row r="61" spans="1:64" x14ac:dyDescent="0.25">
      <c r="A61" s="4" t="s">
        <v>49</v>
      </c>
      <c r="B61" s="13" t="s">
        <v>217</v>
      </c>
      <c r="C61" s="148" t="s">
        <v>397</v>
      </c>
      <c r="D61" s="149"/>
      <c r="E61" s="149"/>
      <c r="F61" s="149"/>
      <c r="G61" s="13" t="s">
        <v>471</v>
      </c>
      <c r="H61" s="80">
        <v>1</v>
      </c>
      <c r="I61" s="20">
        <v>0</v>
      </c>
      <c r="J61" s="20">
        <f t="shared" si="46"/>
        <v>0</v>
      </c>
      <c r="K61" s="20">
        <f t="shared" si="47"/>
        <v>0</v>
      </c>
      <c r="L61" s="20">
        <f t="shared" si="48"/>
        <v>0</v>
      </c>
      <c r="M61" s="31" t="s">
        <v>488</v>
      </c>
      <c r="N61" s="6"/>
      <c r="Z61" s="36">
        <f t="shared" si="49"/>
        <v>0</v>
      </c>
      <c r="AB61" s="36">
        <f t="shared" si="50"/>
        <v>0</v>
      </c>
      <c r="AC61" s="36">
        <f t="shared" si="51"/>
        <v>0</v>
      </c>
      <c r="AD61" s="36">
        <f t="shared" si="52"/>
        <v>0</v>
      </c>
      <c r="AE61" s="36">
        <f t="shared" si="53"/>
        <v>0</v>
      </c>
      <c r="AF61" s="36">
        <f t="shared" si="54"/>
        <v>0</v>
      </c>
      <c r="AG61" s="36">
        <f t="shared" si="55"/>
        <v>0</v>
      </c>
      <c r="AH61" s="36">
        <f t="shared" si="56"/>
        <v>0</v>
      </c>
      <c r="AI61" s="35" t="s">
        <v>498</v>
      </c>
      <c r="AJ61" s="20">
        <f t="shared" si="57"/>
        <v>0</v>
      </c>
      <c r="AK61" s="20">
        <f t="shared" si="58"/>
        <v>0</v>
      </c>
      <c r="AL61" s="20">
        <f t="shared" si="59"/>
        <v>0</v>
      </c>
      <c r="AN61" s="36">
        <v>21</v>
      </c>
      <c r="AO61" s="36">
        <f t="shared" si="60"/>
        <v>0</v>
      </c>
      <c r="AP61" s="36">
        <f t="shared" si="61"/>
        <v>0</v>
      </c>
      <c r="AQ61" s="37" t="s">
        <v>7</v>
      </c>
      <c r="AV61" s="36">
        <f t="shared" si="62"/>
        <v>0</v>
      </c>
      <c r="AW61" s="36">
        <f t="shared" si="63"/>
        <v>0</v>
      </c>
      <c r="AX61" s="36">
        <f t="shared" si="64"/>
        <v>0</v>
      </c>
      <c r="AY61" s="39" t="s">
        <v>505</v>
      </c>
      <c r="AZ61" s="39" t="s">
        <v>514</v>
      </c>
      <c r="BA61" s="35" t="s">
        <v>518</v>
      </c>
      <c r="BC61" s="36">
        <f t="shared" si="65"/>
        <v>0</v>
      </c>
      <c r="BD61" s="36">
        <f t="shared" si="66"/>
        <v>0</v>
      </c>
      <c r="BE61" s="36">
        <v>0</v>
      </c>
      <c r="BF61" s="36">
        <f>61</f>
        <v>61</v>
      </c>
      <c r="BH61" s="20">
        <f t="shared" si="67"/>
        <v>0</v>
      </c>
      <c r="BI61" s="20">
        <f t="shared" si="68"/>
        <v>0</v>
      </c>
      <c r="BJ61" s="20">
        <f t="shared" si="69"/>
        <v>0</v>
      </c>
      <c r="BK61" s="20" t="s">
        <v>524</v>
      </c>
      <c r="BL61" s="36" t="s">
        <v>201</v>
      </c>
    </row>
    <row r="62" spans="1:64" x14ac:dyDescent="0.25">
      <c r="A62" s="4" t="s">
        <v>50</v>
      </c>
      <c r="B62" s="13" t="s">
        <v>218</v>
      </c>
      <c r="C62" s="148" t="s">
        <v>398</v>
      </c>
      <c r="D62" s="149"/>
      <c r="E62" s="149"/>
      <c r="F62" s="149"/>
      <c r="G62" s="13" t="s">
        <v>471</v>
      </c>
      <c r="H62" s="80">
        <v>4</v>
      </c>
      <c r="I62" s="20">
        <v>0</v>
      </c>
      <c r="J62" s="20">
        <f t="shared" si="46"/>
        <v>0</v>
      </c>
      <c r="K62" s="20">
        <f t="shared" si="47"/>
        <v>0</v>
      </c>
      <c r="L62" s="20">
        <f t="shared" si="48"/>
        <v>0</v>
      </c>
      <c r="M62" s="31" t="s">
        <v>488</v>
      </c>
      <c r="N62" s="6"/>
      <c r="Z62" s="36">
        <f t="shared" si="49"/>
        <v>0</v>
      </c>
      <c r="AB62" s="36">
        <f t="shared" si="50"/>
        <v>0</v>
      </c>
      <c r="AC62" s="36">
        <f t="shared" si="51"/>
        <v>0</v>
      </c>
      <c r="AD62" s="36">
        <f t="shared" si="52"/>
        <v>0</v>
      </c>
      <c r="AE62" s="36">
        <f t="shared" si="53"/>
        <v>0</v>
      </c>
      <c r="AF62" s="36">
        <f t="shared" si="54"/>
        <v>0</v>
      </c>
      <c r="AG62" s="36">
        <f t="shared" si="55"/>
        <v>0</v>
      </c>
      <c r="AH62" s="36">
        <f t="shared" si="56"/>
        <v>0</v>
      </c>
      <c r="AI62" s="35" t="s">
        <v>498</v>
      </c>
      <c r="AJ62" s="20">
        <f t="shared" si="57"/>
        <v>0</v>
      </c>
      <c r="AK62" s="20">
        <f t="shared" si="58"/>
        <v>0</v>
      </c>
      <c r="AL62" s="20">
        <f t="shared" si="59"/>
        <v>0</v>
      </c>
      <c r="AN62" s="36">
        <v>21</v>
      </c>
      <c r="AO62" s="36">
        <f t="shared" si="60"/>
        <v>0</v>
      </c>
      <c r="AP62" s="36">
        <f t="shared" si="61"/>
        <v>0</v>
      </c>
      <c r="AQ62" s="37" t="s">
        <v>7</v>
      </c>
      <c r="AV62" s="36">
        <f t="shared" si="62"/>
        <v>0</v>
      </c>
      <c r="AW62" s="36">
        <f t="shared" si="63"/>
        <v>0</v>
      </c>
      <c r="AX62" s="36">
        <f t="shared" si="64"/>
        <v>0</v>
      </c>
      <c r="AY62" s="39" t="s">
        <v>505</v>
      </c>
      <c r="AZ62" s="39" t="s">
        <v>514</v>
      </c>
      <c r="BA62" s="35" t="s">
        <v>518</v>
      </c>
      <c r="BC62" s="36">
        <f t="shared" si="65"/>
        <v>0</v>
      </c>
      <c r="BD62" s="36">
        <f t="shared" si="66"/>
        <v>0</v>
      </c>
      <c r="BE62" s="36">
        <v>0</v>
      </c>
      <c r="BF62" s="36">
        <f>62</f>
        <v>62</v>
      </c>
      <c r="BH62" s="20">
        <f t="shared" si="67"/>
        <v>0</v>
      </c>
      <c r="BI62" s="20">
        <f t="shared" si="68"/>
        <v>0</v>
      </c>
      <c r="BJ62" s="20">
        <f t="shared" si="69"/>
        <v>0</v>
      </c>
      <c r="BK62" s="20" t="s">
        <v>524</v>
      </c>
      <c r="BL62" s="36" t="s">
        <v>201</v>
      </c>
    </row>
    <row r="63" spans="1:64" x14ac:dyDescent="0.25">
      <c r="A63" s="4" t="s">
        <v>51</v>
      </c>
      <c r="B63" s="13" t="s">
        <v>219</v>
      </c>
      <c r="C63" s="148" t="s">
        <v>399</v>
      </c>
      <c r="D63" s="149"/>
      <c r="E63" s="149"/>
      <c r="F63" s="149"/>
      <c r="G63" s="13" t="s">
        <v>471</v>
      </c>
      <c r="H63" s="80">
        <v>1</v>
      </c>
      <c r="I63" s="20">
        <v>0</v>
      </c>
      <c r="J63" s="20">
        <f t="shared" si="46"/>
        <v>0</v>
      </c>
      <c r="K63" s="20">
        <f t="shared" si="47"/>
        <v>0</v>
      </c>
      <c r="L63" s="20">
        <f t="shared" si="48"/>
        <v>0</v>
      </c>
      <c r="M63" s="31" t="s">
        <v>488</v>
      </c>
      <c r="N63" s="6"/>
      <c r="Z63" s="36">
        <f t="shared" si="49"/>
        <v>0</v>
      </c>
      <c r="AB63" s="36">
        <f t="shared" si="50"/>
        <v>0</v>
      </c>
      <c r="AC63" s="36">
        <f t="shared" si="51"/>
        <v>0</v>
      </c>
      <c r="AD63" s="36">
        <f t="shared" si="52"/>
        <v>0</v>
      </c>
      <c r="AE63" s="36">
        <f t="shared" si="53"/>
        <v>0</v>
      </c>
      <c r="AF63" s="36">
        <f t="shared" si="54"/>
        <v>0</v>
      </c>
      <c r="AG63" s="36">
        <f t="shared" si="55"/>
        <v>0</v>
      </c>
      <c r="AH63" s="36">
        <f t="shared" si="56"/>
        <v>0</v>
      </c>
      <c r="AI63" s="35" t="s">
        <v>498</v>
      </c>
      <c r="AJ63" s="20">
        <f t="shared" si="57"/>
        <v>0</v>
      </c>
      <c r="AK63" s="20">
        <f t="shared" si="58"/>
        <v>0</v>
      </c>
      <c r="AL63" s="20">
        <f t="shared" si="59"/>
        <v>0</v>
      </c>
      <c r="AN63" s="36">
        <v>21</v>
      </c>
      <c r="AO63" s="36">
        <f t="shared" si="60"/>
        <v>0</v>
      </c>
      <c r="AP63" s="36">
        <f t="shared" si="61"/>
        <v>0</v>
      </c>
      <c r="AQ63" s="37" t="s">
        <v>7</v>
      </c>
      <c r="AV63" s="36">
        <f t="shared" si="62"/>
        <v>0</v>
      </c>
      <c r="AW63" s="36">
        <f t="shared" si="63"/>
        <v>0</v>
      </c>
      <c r="AX63" s="36">
        <f t="shared" si="64"/>
        <v>0</v>
      </c>
      <c r="AY63" s="39" t="s">
        <v>505</v>
      </c>
      <c r="AZ63" s="39" t="s">
        <v>514</v>
      </c>
      <c r="BA63" s="35" t="s">
        <v>518</v>
      </c>
      <c r="BC63" s="36">
        <f t="shared" si="65"/>
        <v>0</v>
      </c>
      <c r="BD63" s="36">
        <f t="shared" si="66"/>
        <v>0</v>
      </c>
      <c r="BE63" s="36">
        <v>0</v>
      </c>
      <c r="BF63" s="36">
        <f>63</f>
        <v>63</v>
      </c>
      <c r="BH63" s="20">
        <f t="shared" si="67"/>
        <v>0</v>
      </c>
      <c r="BI63" s="20">
        <f t="shared" si="68"/>
        <v>0</v>
      </c>
      <c r="BJ63" s="20">
        <f t="shared" si="69"/>
        <v>0</v>
      </c>
      <c r="BK63" s="20" t="s">
        <v>524</v>
      </c>
      <c r="BL63" s="36" t="s">
        <v>201</v>
      </c>
    </row>
    <row r="64" spans="1:64" x14ac:dyDescent="0.25">
      <c r="A64" s="4" t="s">
        <v>52</v>
      </c>
      <c r="B64" s="13" t="s">
        <v>220</v>
      </c>
      <c r="C64" s="148" t="s">
        <v>400</v>
      </c>
      <c r="D64" s="149"/>
      <c r="E64" s="149"/>
      <c r="F64" s="149"/>
      <c r="G64" s="13" t="s">
        <v>471</v>
      </c>
      <c r="H64" s="80">
        <v>1</v>
      </c>
      <c r="I64" s="20">
        <v>0</v>
      </c>
      <c r="J64" s="20">
        <f t="shared" si="46"/>
        <v>0</v>
      </c>
      <c r="K64" s="20">
        <f t="shared" si="47"/>
        <v>0</v>
      </c>
      <c r="L64" s="20">
        <f t="shared" si="48"/>
        <v>0</v>
      </c>
      <c r="M64" s="31" t="s">
        <v>488</v>
      </c>
      <c r="N64" s="6"/>
      <c r="Z64" s="36">
        <f t="shared" si="49"/>
        <v>0</v>
      </c>
      <c r="AB64" s="36">
        <f t="shared" si="50"/>
        <v>0</v>
      </c>
      <c r="AC64" s="36">
        <f t="shared" si="51"/>
        <v>0</v>
      </c>
      <c r="AD64" s="36">
        <f t="shared" si="52"/>
        <v>0</v>
      </c>
      <c r="AE64" s="36">
        <f t="shared" si="53"/>
        <v>0</v>
      </c>
      <c r="AF64" s="36">
        <f t="shared" si="54"/>
        <v>0</v>
      </c>
      <c r="AG64" s="36">
        <f t="shared" si="55"/>
        <v>0</v>
      </c>
      <c r="AH64" s="36">
        <f t="shared" si="56"/>
        <v>0</v>
      </c>
      <c r="AI64" s="35" t="s">
        <v>498</v>
      </c>
      <c r="AJ64" s="20">
        <f t="shared" si="57"/>
        <v>0</v>
      </c>
      <c r="AK64" s="20">
        <f t="shared" si="58"/>
        <v>0</v>
      </c>
      <c r="AL64" s="20">
        <f t="shared" si="59"/>
        <v>0</v>
      </c>
      <c r="AN64" s="36">
        <v>21</v>
      </c>
      <c r="AO64" s="36">
        <f t="shared" si="60"/>
        <v>0</v>
      </c>
      <c r="AP64" s="36">
        <f t="shared" si="61"/>
        <v>0</v>
      </c>
      <c r="AQ64" s="37" t="s">
        <v>7</v>
      </c>
      <c r="AV64" s="36">
        <f t="shared" si="62"/>
        <v>0</v>
      </c>
      <c r="AW64" s="36">
        <f t="shared" si="63"/>
        <v>0</v>
      </c>
      <c r="AX64" s="36">
        <f t="shared" si="64"/>
        <v>0</v>
      </c>
      <c r="AY64" s="39" t="s">
        <v>505</v>
      </c>
      <c r="AZ64" s="39" t="s">
        <v>514</v>
      </c>
      <c r="BA64" s="35" t="s">
        <v>518</v>
      </c>
      <c r="BC64" s="36">
        <f t="shared" si="65"/>
        <v>0</v>
      </c>
      <c r="BD64" s="36">
        <f t="shared" si="66"/>
        <v>0</v>
      </c>
      <c r="BE64" s="36">
        <v>0</v>
      </c>
      <c r="BF64" s="36">
        <f>64</f>
        <v>64</v>
      </c>
      <c r="BH64" s="20">
        <f t="shared" si="67"/>
        <v>0</v>
      </c>
      <c r="BI64" s="20">
        <f t="shared" si="68"/>
        <v>0</v>
      </c>
      <c r="BJ64" s="20">
        <f t="shared" si="69"/>
        <v>0</v>
      </c>
      <c r="BK64" s="20" t="s">
        <v>524</v>
      </c>
      <c r="BL64" s="36" t="s">
        <v>201</v>
      </c>
    </row>
    <row r="65" spans="1:64" x14ac:dyDescent="0.25">
      <c r="A65" s="4" t="s">
        <v>53</v>
      </c>
      <c r="B65" s="13" t="s">
        <v>221</v>
      </c>
      <c r="C65" s="148" t="s">
        <v>401</v>
      </c>
      <c r="D65" s="149"/>
      <c r="E65" s="149"/>
      <c r="F65" s="149"/>
      <c r="G65" s="13" t="s">
        <v>471</v>
      </c>
      <c r="H65" s="80">
        <v>1</v>
      </c>
      <c r="I65" s="20">
        <v>0</v>
      </c>
      <c r="J65" s="20">
        <f t="shared" si="46"/>
        <v>0</v>
      </c>
      <c r="K65" s="20">
        <f t="shared" si="47"/>
        <v>0</v>
      </c>
      <c r="L65" s="20">
        <f t="shared" si="48"/>
        <v>0</v>
      </c>
      <c r="M65" s="31" t="s">
        <v>488</v>
      </c>
      <c r="N65" s="6"/>
      <c r="Z65" s="36">
        <f t="shared" si="49"/>
        <v>0</v>
      </c>
      <c r="AB65" s="36">
        <f t="shared" si="50"/>
        <v>0</v>
      </c>
      <c r="AC65" s="36">
        <f t="shared" si="51"/>
        <v>0</v>
      </c>
      <c r="AD65" s="36">
        <f t="shared" si="52"/>
        <v>0</v>
      </c>
      <c r="AE65" s="36">
        <f t="shared" si="53"/>
        <v>0</v>
      </c>
      <c r="AF65" s="36">
        <f t="shared" si="54"/>
        <v>0</v>
      </c>
      <c r="AG65" s="36">
        <f t="shared" si="55"/>
        <v>0</v>
      </c>
      <c r="AH65" s="36">
        <f t="shared" si="56"/>
        <v>0</v>
      </c>
      <c r="AI65" s="35" t="s">
        <v>498</v>
      </c>
      <c r="AJ65" s="20">
        <f t="shared" si="57"/>
        <v>0</v>
      </c>
      <c r="AK65" s="20">
        <f t="shared" si="58"/>
        <v>0</v>
      </c>
      <c r="AL65" s="20">
        <f t="shared" si="59"/>
        <v>0</v>
      </c>
      <c r="AN65" s="36">
        <v>21</v>
      </c>
      <c r="AO65" s="36">
        <f t="shared" si="60"/>
        <v>0</v>
      </c>
      <c r="AP65" s="36">
        <f t="shared" si="61"/>
        <v>0</v>
      </c>
      <c r="AQ65" s="37" t="s">
        <v>7</v>
      </c>
      <c r="AV65" s="36">
        <f t="shared" si="62"/>
        <v>0</v>
      </c>
      <c r="AW65" s="36">
        <f t="shared" si="63"/>
        <v>0</v>
      </c>
      <c r="AX65" s="36">
        <f t="shared" si="64"/>
        <v>0</v>
      </c>
      <c r="AY65" s="39" t="s">
        <v>505</v>
      </c>
      <c r="AZ65" s="39" t="s">
        <v>514</v>
      </c>
      <c r="BA65" s="35" t="s">
        <v>518</v>
      </c>
      <c r="BC65" s="36">
        <f t="shared" si="65"/>
        <v>0</v>
      </c>
      <c r="BD65" s="36">
        <f t="shared" si="66"/>
        <v>0</v>
      </c>
      <c r="BE65" s="36">
        <v>0</v>
      </c>
      <c r="BF65" s="36">
        <f>65</f>
        <v>65</v>
      </c>
      <c r="BH65" s="20">
        <f t="shared" si="67"/>
        <v>0</v>
      </c>
      <c r="BI65" s="20">
        <f t="shared" si="68"/>
        <v>0</v>
      </c>
      <c r="BJ65" s="20">
        <f t="shared" si="69"/>
        <v>0</v>
      </c>
      <c r="BK65" s="20" t="s">
        <v>524</v>
      </c>
      <c r="BL65" s="36" t="s">
        <v>201</v>
      </c>
    </row>
    <row r="66" spans="1:64" x14ac:dyDescent="0.25">
      <c r="A66" s="4" t="s">
        <v>54</v>
      </c>
      <c r="B66" s="13" t="s">
        <v>222</v>
      </c>
      <c r="C66" s="148" t="s">
        <v>402</v>
      </c>
      <c r="D66" s="149"/>
      <c r="E66" s="149"/>
      <c r="F66" s="149"/>
      <c r="G66" s="13" t="s">
        <v>471</v>
      </c>
      <c r="H66" s="80">
        <v>4</v>
      </c>
      <c r="I66" s="20">
        <v>0</v>
      </c>
      <c r="J66" s="20">
        <f t="shared" si="46"/>
        <v>0</v>
      </c>
      <c r="K66" s="20">
        <f t="shared" si="47"/>
        <v>0</v>
      </c>
      <c r="L66" s="20">
        <f t="shared" si="48"/>
        <v>0</v>
      </c>
      <c r="M66" s="31" t="s">
        <v>488</v>
      </c>
      <c r="N66" s="6"/>
      <c r="Z66" s="36">
        <f t="shared" si="49"/>
        <v>0</v>
      </c>
      <c r="AB66" s="36">
        <f t="shared" si="50"/>
        <v>0</v>
      </c>
      <c r="AC66" s="36">
        <f t="shared" si="51"/>
        <v>0</v>
      </c>
      <c r="AD66" s="36">
        <f t="shared" si="52"/>
        <v>0</v>
      </c>
      <c r="AE66" s="36">
        <f t="shared" si="53"/>
        <v>0</v>
      </c>
      <c r="AF66" s="36">
        <f t="shared" si="54"/>
        <v>0</v>
      </c>
      <c r="AG66" s="36">
        <f t="shared" si="55"/>
        <v>0</v>
      </c>
      <c r="AH66" s="36">
        <f t="shared" si="56"/>
        <v>0</v>
      </c>
      <c r="AI66" s="35" t="s">
        <v>498</v>
      </c>
      <c r="AJ66" s="20">
        <f t="shared" si="57"/>
        <v>0</v>
      </c>
      <c r="AK66" s="20">
        <f t="shared" si="58"/>
        <v>0</v>
      </c>
      <c r="AL66" s="20">
        <f t="shared" si="59"/>
        <v>0</v>
      </c>
      <c r="AN66" s="36">
        <v>21</v>
      </c>
      <c r="AO66" s="36">
        <f t="shared" si="60"/>
        <v>0</v>
      </c>
      <c r="AP66" s="36">
        <f t="shared" si="61"/>
        <v>0</v>
      </c>
      <c r="AQ66" s="37" t="s">
        <v>7</v>
      </c>
      <c r="AV66" s="36">
        <f t="shared" si="62"/>
        <v>0</v>
      </c>
      <c r="AW66" s="36">
        <f t="shared" si="63"/>
        <v>0</v>
      </c>
      <c r="AX66" s="36">
        <f t="shared" si="64"/>
        <v>0</v>
      </c>
      <c r="AY66" s="39" t="s">
        <v>505</v>
      </c>
      <c r="AZ66" s="39" t="s">
        <v>514</v>
      </c>
      <c r="BA66" s="35" t="s">
        <v>518</v>
      </c>
      <c r="BC66" s="36">
        <f t="shared" si="65"/>
        <v>0</v>
      </c>
      <c r="BD66" s="36">
        <f t="shared" si="66"/>
        <v>0</v>
      </c>
      <c r="BE66" s="36">
        <v>0</v>
      </c>
      <c r="BF66" s="36">
        <f>66</f>
        <v>66</v>
      </c>
      <c r="BH66" s="20">
        <f t="shared" si="67"/>
        <v>0</v>
      </c>
      <c r="BI66" s="20">
        <f t="shared" si="68"/>
        <v>0</v>
      </c>
      <c r="BJ66" s="20">
        <f t="shared" si="69"/>
        <v>0</v>
      </c>
      <c r="BK66" s="20" t="s">
        <v>524</v>
      </c>
      <c r="BL66" s="36" t="s">
        <v>201</v>
      </c>
    </row>
    <row r="67" spans="1:64" x14ac:dyDescent="0.25">
      <c r="A67" s="4" t="s">
        <v>55</v>
      </c>
      <c r="B67" s="13" t="s">
        <v>223</v>
      </c>
      <c r="C67" s="148" t="s">
        <v>403</v>
      </c>
      <c r="D67" s="149"/>
      <c r="E67" s="149"/>
      <c r="F67" s="149"/>
      <c r="G67" s="13" t="s">
        <v>471</v>
      </c>
      <c r="H67" s="80">
        <v>1</v>
      </c>
      <c r="I67" s="20">
        <v>0</v>
      </c>
      <c r="J67" s="20">
        <f t="shared" si="46"/>
        <v>0</v>
      </c>
      <c r="K67" s="20">
        <f t="shared" si="47"/>
        <v>0</v>
      </c>
      <c r="L67" s="20">
        <f t="shared" si="48"/>
        <v>0</v>
      </c>
      <c r="M67" s="31" t="s">
        <v>488</v>
      </c>
      <c r="N67" s="6"/>
      <c r="Z67" s="36">
        <f t="shared" si="49"/>
        <v>0</v>
      </c>
      <c r="AB67" s="36">
        <f t="shared" si="50"/>
        <v>0</v>
      </c>
      <c r="AC67" s="36">
        <f t="shared" si="51"/>
        <v>0</v>
      </c>
      <c r="AD67" s="36">
        <f t="shared" si="52"/>
        <v>0</v>
      </c>
      <c r="AE67" s="36">
        <f t="shared" si="53"/>
        <v>0</v>
      </c>
      <c r="AF67" s="36">
        <f t="shared" si="54"/>
        <v>0</v>
      </c>
      <c r="AG67" s="36">
        <f t="shared" si="55"/>
        <v>0</v>
      </c>
      <c r="AH67" s="36">
        <f t="shared" si="56"/>
        <v>0</v>
      </c>
      <c r="AI67" s="35" t="s">
        <v>498</v>
      </c>
      <c r="AJ67" s="20">
        <f t="shared" si="57"/>
        <v>0</v>
      </c>
      <c r="AK67" s="20">
        <f t="shared" si="58"/>
        <v>0</v>
      </c>
      <c r="AL67" s="20">
        <f t="shared" si="59"/>
        <v>0</v>
      </c>
      <c r="AN67" s="36">
        <v>21</v>
      </c>
      <c r="AO67" s="36">
        <f t="shared" si="60"/>
        <v>0</v>
      </c>
      <c r="AP67" s="36">
        <f t="shared" si="61"/>
        <v>0</v>
      </c>
      <c r="AQ67" s="37" t="s">
        <v>7</v>
      </c>
      <c r="AV67" s="36">
        <f t="shared" si="62"/>
        <v>0</v>
      </c>
      <c r="AW67" s="36">
        <f t="shared" si="63"/>
        <v>0</v>
      </c>
      <c r="AX67" s="36">
        <f t="shared" si="64"/>
        <v>0</v>
      </c>
      <c r="AY67" s="39" t="s">
        <v>505</v>
      </c>
      <c r="AZ67" s="39" t="s">
        <v>514</v>
      </c>
      <c r="BA67" s="35" t="s">
        <v>518</v>
      </c>
      <c r="BC67" s="36">
        <f t="shared" si="65"/>
        <v>0</v>
      </c>
      <c r="BD67" s="36">
        <f t="shared" si="66"/>
        <v>0</v>
      </c>
      <c r="BE67" s="36">
        <v>0</v>
      </c>
      <c r="BF67" s="36">
        <f>67</f>
        <v>67</v>
      </c>
      <c r="BH67" s="20">
        <f t="shared" si="67"/>
        <v>0</v>
      </c>
      <c r="BI67" s="20">
        <f t="shared" si="68"/>
        <v>0</v>
      </c>
      <c r="BJ67" s="20">
        <f t="shared" si="69"/>
        <v>0</v>
      </c>
      <c r="BK67" s="20" t="s">
        <v>524</v>
      </c>
      <c r="BL67" s="36" t="s">
        <v>201</v>
      </c>
    </row>
    <row r="68" spans="1:64" x14ac:dyDescent="0.25">
      <c r="A68" s="4" t="s">
        <v>56</v>
      </c>
      <c r="B68" s="13" t="s">
        <v>224</v>
      </c>
      <c r="C68" s="148" t="s">
        <v>404</v>
      </c>
      <c r="D68" s="149"/>
      <c r="E68" s="149"/>
      <c r="F68" s="149"/>
      <c r="G68" s="13" t="s">
        <v>471</v>
      </c>
      <c r="H68" s="80">
        <v>1</v>
      </c>
      <c r="I68" s="20">
        <v>0</v>
      </c>
      <c r="J68" s="20">
        <f t="shared" si="46"/>
        <v>0</v>
      </c>
      <c r="K68" s="20">
        <f t="shared" si="47"/>
        <v>0</v>
      </c>
      <c r="L68" s="20">
        <f t="shared" si="48"/>
        <v>0</v>
      </c>
      <c r="M68" s="31" t="s">
        <v>488</v>
      </c>
      <c r="N68" s="6"/>
      <c r="Z68" s="36">
        <f t="shared" si="49"/>
        <v>0</v>
      </c>
      <c r="AB68" s="36">
        <f t="shared" si="50"/>
        <v>0</v>
      </c>
      <c r="AC68" s="36">
        <f t="shared" si="51"/>
        <v>0</v>
      </c>
      <c r="AD68" s="36">
        <f t="shared" si="52"/>
        <v>0</v>
      </c>
      <c r="AE68" s="36">
        <f t="shared" si="53"/>
        <v>0</v>
      </c>
      <c r="AF68" s="36">
        <f t="shared" si="54"/>
        <v>0</v>
      </c>
      <c r="AG68" s="36">
        <f t="shared" si="55"/>
        <v>0</v>
      </c>
      <c r="AH68" s="36">
        <f t="shared" si="56"/>
        <v>0</v>
      </c>
      <c r="AI68" s="35" t="s">
        <v>498</v>
      </c>
      <c r="AJ68" s="20">
        <f t="shared" si="57"/>
        <v>0</v>
      </c>
      <c r="AK68" s="20">
        <f t="shared" si="58"/>
        <v>0</v>
      </c>
      <c r="AL68" s="20">
        <f t="shared" si="59"/>
        <v>0</v>
      </c>
      <c r="AN68" s="36">
        <v>21</v>
      </c>
      <c r="AO68" s="36">
        <f t="shared" si="60"/>
        <v>0</v>
      </c>
      <c r="AP68" s="36">
        <f t="shared" si="61"/>
        <v>0</v>
      </c>
      <c r="AQ68" s="37" t="s">
        <v>7</v>
      </c>
      <c r="AV68" s="36">
        <f t="shared" si="62"/>
        <v>0</v>
      </c>
      <c r="AW68" s="36">
        <f t="shared" si="63"/>
        <v>0</v>
      </c>
      <c r="AX68" s="36">
        <f t="shared" si="64"/>
        <v>0</v>
      </c>
      <c r="AY68" s="39" t="s">
        <v>505</v>
      </c>
      <c r="AZ68" s="39" t="s">
        <v>514</v>
      </c>
      <c r="BA68" s="35" t="s">
        <v>518</v>
      </c>
      <c r="BC68" s="36">
        <f t="shared" si="65"/>
        <v>0</v>
      </c>
      <c r="BD68" s="36">
        <f t="shared" si="66"/>
        <v>0</v>
      </c>
      <c r="BE68" s="36">
        <v>0</v>
      </c>
      <c r="BF68" s="36">
        <f>68</f>
        <v>68</v>
      </c>
      <c r="BH68" s="20">
        <f t="shared" si="67"/>
        <v>0</v>
      </c>
      <c r="BI68" s="20">
        <f t="shared" si="68"/>
        <v>0</v>
      </c>
      <c r="BJ68" s="20">
        <f t="shared" si="69"/>
        <v>0</v>
      </c>
      <c r="BK68" s="20" t="s">
        <v>524</v>
      </c>
      <c r="BL68" s="36" t="s">
        <v>201</v>
      </c>
    </row>
    <row r="69" spans="1:64" x14ac:dyDescent="0.25">
      <c r="A69" s="4" t="s">
        <v>57</v>
      </c>
      <c r="B69" s="13" t="s">
        <v>225</v>
      </c>
      <c r="C69" s="148" t="s">
        <v>405</v>
      </c>
      <c r="D69" s="149"/>
      <c r="E69" s="149"/>
      <c r="F69" s="149"/>
      <c r="G69" s="13" t="s">
        <v>471</v>
      </c>
      <c r="H69" s="80">
        <v>1</v>
      </c>
      <c r="I69" s="20">
        <v>0</v>
      </c>
      <c r="J69" s="20">
        <f t="shared" si="46"/>
        <v>0</v>
      </c>
      <c r="K69" s="20">
        <f t="shared" si="47"/>
        <v>0</v>
      </c>
      <c r="L69" s="20">
        <f t="shared" si="48"/>
        <v>0</v>
      </c>
      <c r="M69" s="31" t="s">
        <v>488</v>
      </c>
      <c r="N69" s="6"/>
      <c r="Z69" s="36">
        <f t="shared" si="49"/>
        <v>0</v>
      </c>
      <c r="AB69" s="36">
        <f t="shared" si="50"/>
        <v>0</v>
      </c>
      <c r="AC69" s="36">
        <f t="shared" si="51"/>
        <v>0</v>
      </c>
      <c r="AD69" s="36">
        <f t="shared" si="52"/>
        <v>0</v>
      </c>
      <c r="AE69" s="36">
        <f t="shared" si="53"/>
        <v>0</v>
      </c>
      <c r="AF69" s="36">
        <f t="shared" si="54"/>
        <v>0</v>
      </c>
      <c r="AG69" s="36">
        <f t="shared" si="55"/>
        <v>0</v>
      </c>
      <c r="AH69" s="36">
        <f t="shared" si="56"/>
        <v>0</v>
      </c>
      <c r="AI69" s="35" t="s">
        <v>498</v>
      </c>
      <c r="AJ69" s="20">
        <f t="shared" si="57"/>
        <v>0</v>
      </c>
      <c r="AK69" s="20">
        <f t="shared" si="58"/>
        <v>0</v>
      </c>
      <c r="AL69" s="20">
        <f t="shared" si="59"/>
        <v>0</v>
      </c>
      <c r="AN69" s="36">
        <v>21</v>
      </c>
      <c r="AO69" s="36">
        <f t="shared" si="60"/>
        <v>0</v>
      </c>
      <c r="AP69" s="36">
        <f t="shared" si="61"/>
        <v>0</v>
      </c>
      <c r="AQ69" s="37" t="s">
        <v>7</v>
      </c>
      <c r="AV69" s="36">
        <f t="shared" si="62"/>
        <v>0</v>
      </c>
      <c r="AW69" s="36">
        <f t="shared" si="63"/>
        <v>0</v>
      </c>
      <c r="AX69" s="36">
        <f t="shared" si="64"/>
        <v>0</v>
      </c>
      <c r="AY69" s="39" t="s">
        <v>505</v>
      </c>
      <c r="AZ69" s="39" t="s">
        <v>514</v>
      </c>
      <c r="BA69" s="35" t="s">
        <v>518</v>
      </c>
      <c r="BC69" s="36">
        <f t="shared" si="65"/>
        <v>0</v>
      </c>
      <c r="BD69" s="36">
        <f t="shared" si="66"/>
        <v>0</v>
      </c>
      <c r="BE69" s="36">
        <v>0</v>
      </c>
      <c r="BF69" s="36">
        <f>69</f>
        <v>69</v>
      </c>
      <c r="BH69" s="20">
        <f t="shared" si="67"/>
        <v>0</v>
      </c>
      <c r="BI69" s="20">
        <f t="shared" si="68"/>
        <v>0</v>
      </c>
      <c r="BJ69" s="20">
        <f t="shared" si="69"/>
        <v>0</v>
      </c>
      <c r="BK69" s="20" t="s">
        <v>524</v>
      </c>
      <c r="BL69" s="36" t="s">
        <v>201</v>
      </c>
    </row>
    <row r="70" spans="1:64" x14ac:dyDescent="0.25">
      <c r="A70" s="4" t="s">
        <v>58</v>
      </c>
      <c r="B70" s="13" t="s">
        <v>226</v>
      </c>
      <c r="C70" s="148" t="s">
        <v>406</v>
      </c>
      <c r="D70" s="149"/>
      <c r="E70" s="149"/>
      <c r="F70" s="149"/>
      <c r="G70" s="13" t="s">
        <v>471</v>
      </c>
      <c r="H70" s="80">
        <v>3</v>
      </c>
      <c r="I70" s="20">
        <v>0</v>
      </c>
      <c r="J70" s="20">
        <f t="shared" si="46"/>
        <v>0</v>
      </c>
      <c r="K70" s="20">
        <f t="shared" si="47"/>
        <v>0</v>
      </c>
      <c r="L70" s="20">
        <f t="shared" si="48"/>
        <v>0</v>
      </c>
      <c r="M70" s="31" t="s">
        <v>488</v>
      </c>
      <c r="N70" s="6"/>
      <c r="Z70" s="36">
        <f t="shared" si="49"/>
        <v>0</v>
      </c>
      <c r="AB70" s="36">
        <f t="shared" si="50"/>
        <v>0</v>
      </c>
      <c r="AC70" s="36">
        <f t="shared" si="51"/>
        <v>0</v>
      </c>
      <c r="AD70" s="36">
        <f t="shared" si="52"/>
        <v>0</v>
      </c>
      <c r="AE70" s="36">
        <f t="shared" si="53"/>
        <v>0</v>
      </c>
      <c r="AF70" s="36">
        <f t="shared" si="54"/>
        <v>0</v>
      </c>
      <c r="AG70" s="36">
        <f t="shared" si="55"/>
        <v>0</v>
      </c>
      <c r="AH70" s="36">
        <f t="shared" si="56"/>
        <v>0</v>
      </c>
      <c r="AI70" s="35" t="s">
        <v>498</v>
      </c>
      <c r="AJ70" s="20">
        <f t="shared" si="57"/>
        <v>0</v>
      </c>
      <c r="AK70" s="20">
        <f t="shared" si="58"/>
        <v>0</v>
      </c>
      <c r="AL70" s="20">
        <f t="shared" si="59"/>
        <v>0</v>
      </c>
      <c r="AN70" s="36">
        <v>21</v>
      </c>
      <c r="AO70" s="36">
        <f t="shared" si="60"/>
        <v>0</v>
      </c>
      <c r="AP70" s="36">
        <f t="shared" si="61"/>
        <v>0</v>
      </c>
      <c r="AQ70" s="37" t="s">
        <v>7</v>
      </c>
      <c r="AV70" s="36">
        <f t="shared" si="62"/>
        <v>0</v>
      </c>
      <c r="AW70" s="36">
        <f t="shared" si="63"/>
        <v>0</v>
      </c>
      <c r="AX70" s="36">
        <f t="shared" si="64"/>
        <v>0</v>
      </c>
      <c r="AY70" s="39" t="s">
        <v>505</v>
      </c>
      <c r="AZ70" s="39" t="s">
        <v>514</v>
      </c>
      <c r="BA70" s="35" t="s">
        <v>518</v>
      </c>
      <c r="BC70" s="36">
        <f t="shared" si="65"/>
        <v>0</v>
      </c>
      <c r="BD70" s="36">
        <f t="shared" si="66"/>
        <v>0</v>
      </c>
      <c r="BE70" s="36">
        <v>0</v>
      </c>
      <c r="BF70" s="36">
        <f>70</f>
        <v>70</v>
      </c>
      <c r="BH70" s="20">
        <f t="shared" si="67"/>
        <v>0</v>
      </c>
      <c r="BI70" s="20">
        <f t="shared" si="68"/>
        <v>0</v>
      </c>
      <c r="BJ70" s="20">
        <f t="shared" si="69"/>
        <v>0</v>
      </c>
      <c r="BK70" s="20" t="s">
        <v>524</v>
      </c>
      <c r="BL70" s="36" t="s">
        <v>201</v>
      </c>
    </row>
    <row r="71" spans="1:64" x14ac:dyDescent="0.25">
      <c r="A71" s="4" t="s">
        <v>59</v>
      </c>
      <c r="B71" s="13" t="s">
        <v>227</v>
      </c>
      <c r="C71" s="148" t="s">
        <v>407</v>
      </c>
      <c r="D71" s="149"/>
      <c r="E71" s="149"/>
      <c r="F71" s="149"/>
      <c r="G71" s="13" t="s">
        <v>471</v>
      </c>
      <c r="H71" s="80">
        <v>3</v>
      </c>
      <c r="I71" s="20">
        <v>0</v>
      </c>
      <c r="J71" s="20">
        <f t="shared" si="46"/>
        <v>0</v>
      </c>
      <c r="K71" s="20">
        <f t="shared" si="47"/>
        <v>0</v>
      </c>
      <c r="L71" s="20">
        <f t="shared" si="48"/>
        <v>0</v>
      </c>
      <c r="M71" s="31" t="s">
        <v>488</v>
      </c>
      <c r="N71" s="6"/>
      <c r="Z71" s="36">
        <f t="shared" si="49"/>
        <v>0</v>
      </c>
      <c r="AB71" s="36">
        <f t="shared" si="50"/>
        <v>0</v>
      </c>
      <c r="AC71" s="36">
        <f t="shared" si="51"/>
        <v>0</v>
      </c>
      <c r="AD71" s="36">
        <f t="shared" si="52"/>
        <v>0</v>
      </c>
      <c r="AE71" s="36">
        <f t="shared" si="53"/>
        <v>0</v>
      </c>
      <c r="AF71" s="36">
        <f t="shared" si="54"/>
        <v>0</v>
      </c>
      <c r="AG71" s="36">
        <f t="shared" si="55"/>
        <v>0</v>
      </c>
      <c r="AH71" s="36">
        <f t="shared" si="56"/>
        <v>0</v>
      </c>
      <c r="AI71" s="35" t="s">
        <v>498</v>
      </c>
      <c r="AJ71" s="20">
        <f t="shared" si="57"/>
        <v>0</v>
      </c>
      <c r="AK71" s="20">
        <f t="shared" si="58"/>
        <v>0</v>
      </c>
      <c r="AL71" s="20">
        <f t="shared" si="59"/>
        <v>0</v>
      </c>
      <c r="AN71" s="36">
        <v>21</v>
      </c>
      <c r="AO71" s="36">
        <f t="shared" si="60"/>
        <v>0</v>
      </c>
      <c r="AP71" s="36">
        <f t="shared" si="61"/>
        <v>0</v>
      </c>
      <c r="AQ71" s="37" t="s">
        <v>7</v>
      </c>
      <c r="AV71" s="36">
        <f t="shared" si="62"/>
        <v>0</v>
      </c>
      <c r="AW71" s="36">
        <f t="shared" si="63"/>
        <v>0</v>
      </c>
      <c r="AX71" s="36">
        <f t="shared" si="64"/>
        <v>0</v>
      </c>
      <c r="AY71" s="39" t="s">
        <v>505</v>
      </c>
      <c r="AZ71" s="39" t="s">
        <v>514</v>
      </c>
      <c r="BA71" s="35" t="s">
        <v>518</v>
      </c>
      <c r="BC71" s="36">
        <f t="shared" si="65"/>
        <v>0</v>
      </c>
      <c r="BD71" s="36">
        <f t="shared" si="66"/>
        <v>0</v>
      </c>
      <c r="BE71" s="36">
        <v>0</v>
      </c>
      <c r="BF71" s="36">
        <f>71</f>
        <v>71</v>
      </c>
      <c r="BH71" s="20">
        <f t="shared" si="67"/>
        <v>0</v>
      </c>
      <c r="BI71" s="20">
        <f t="shared" si="68"/>
        <v>0</v>
      </c>
      <c r="BJ71" s="20">
        <f t="shared" si="69"/>
        <v>0</v>
      </c>
      <c r="BK71" s="20" t="s">
        <v>524</v>
      </c>
      <c r="BL71" s="36" t="s">
        <v>201</v>
      </c>
    </row>
    <row r="72" spans="1:64" x14ac:dyDescent="0.25">
      <c r="A72" s="4" t="s">
        <v>60</v>
      </c>
      <c r="B72" s="13" t="s">
        <v>228</v>
      </c>
      <c r="C72" s="148" t="s">
        <v>408</v>
      </c>
      <c r="D72" s="149"/>
      <c r="E72" s="149"/>
      <c r="F72" s="149"/>
      <c r="G72" s="13" t="s">
        <v>472</v>
      </c>
      <c r="H72" s="80">
        <v>9.5</v>
      </c>
      <c r="I72" s="20">
        <v>0</v>
      </c>
      <c r="J72" s="20">
        <f t="shared" si="46"/>
        <v>0</v>
      </c>
      <c r="K72" s="20">
        <f t="shared" si="47"/>
        <v>0</v>
      </c>
      <c r="L72" s="20">
        <f t="shared" si="48"/>
        <v>0</v>
      </c>
      <c r="M72" s="31" t="s">
        <v>488</v>
      </c>
      <c r="N72" s="6"/>
      <c r="Z72" s="36">
        <f t="shared" si="49"/>
        <v>0</v>
      </c>
      <c r="AB72" s="36">
        <f t="shared" si="50"/>
        <v>0</v>
      </c>
      <c r="AC72" s="36">
        <f t="shared" si="51"/>
        <v>0</v>
      </c>
      <c r="AD72" s="36">
        <f t="shared" si="52"/>
        <v>0</v>
      </c>
      <c r="AE72" s="36">
        <f t="shared" si="53"/>
        <v>0</v>
      </c>
      <c r="AF72" s="36">
        <f t="shared" si="54"/>
        <v>0</v>
      </c>
      <c r="AG72" s="36">
        <f t="shared" si="55"/>
        <v>0</v>
      </c>
      <c r="AH72" s="36">
        <f t="shared" si="56"/>
        <v>0</v>
      </c>
      <c r="AI72" s="35" t="s">
        <v>498</v>
      </c>
      <c r="AJ72" s="20">
        <f t="shared" si="57"/>
        <v>0</v>
      </c>
      <c r="AK72" s="20">
        <f t="shared" si="58"/>
        <v>0</v>
      </c>
      <c r="AL72" s="20">
        <f t="shared" si="59"/>
        <v>0</v>
      </c>
      <c r="AN72" s="36">
        <v>21</v>
      </c>
      <c r="AO72" s="36">
        <f>I72*0.587999694585436</f>
        <v>0</v>
      </c>
      <c r="AP72" s="36">
        <f>I72*(1-0.587999694585436)</f>
        <v>0</v>
      </c>
      <c r="AQ72" s="37" t="s">
        <v>7</v>
      </c>
      <c r="AV72" s="36">
        <f t="shared" si="62"/>
        <v>0</v>
      </c>
      <c r="AW72" s="36">
        <f t="shared" si="63"/>
        <v>0</v>
      </c>
      <c r="AX72" s="36">
        <f t="shared" si="64"/>
        <v>0</v>
      </c>
      <c r="AY72" s="39" t="s">
        <v>505</v>
      </c>
      <c r="AZ72" s="39" t="s">
        <v>514</v>
      </c>
      <c r="BA72" s="35" t="s">
        <v>518</v>
      </c>
      <c r="BC72" s="36">
        <f t="shared" si="65"/>
        <v>0</v>
      </c>
      <c r="BD72" s="36">
        <f t="shared" si="66"/>
        <v>0</v>
      </c>
      <c r="BE72" s="36">
        <v>0</v>
      </c>
      <c r="BF72" s="36">
        <f>72</f>
        <v>72</v>
      </c>
      <c r="BH72" s="20">
        <f t="shared" si="67"/>
        <v>0</v>
      </c>
      <c r="BI72" s="20">
        <f t="shared" si="68"/>
        <v>0</v>
      </c>
      <c r="BJ72" s="20">
        <f t="shared" si="69"/>
        <v>0</v>
      </c>
      <c r="BK72" s="20" t="s">
        <v>524</v>
      </c>
      <c r="BL72" s="36" t="s">
        <v>201</v>
      </c>
    </row>
    <row r="73" spans="1:64" x14ac:dyDescent="0.25">
      <c r="A73" s="4" t="s">
        <v>61</v>
      </c>
      <c r="B73" s="13" t="s">
        <v>229</v>
      </c>
      <c r="C73" s="148" t="s">
        <v>409</v>
      </c>
      <c r="D73" s="149"/>
      <c r="E73" s="149"/>
      <c r="F73" s="149"/>
      <c r="G73" s="13" t="s">
        <v>471</v>
      </c>
      <c r="H73" s="80">
        <v>60</v>
      </c>
      <c r="I73" s="20">
        <v>0</v>
      </c>
      <c r="J73" s="20">
        <f t="shared" si="46"/>
        <v>0</v>
      </c>
      <c r="K73" s="20">
        <f t="shared" si="47"/>
        <v>0</v>
      </c>
      <c r="L73" s="20">
        <f t="shared" si="48"/>
        <v>0</v>
      </c>
      <c r="M73" s="31" t="s">
        <v>488</v>
      </c>
      <c r="N73" s="6"/>
      <c r="Z73" s="36">
        <f t="shared" si="49"/>
        <v>0</v>
      </c>
      <c r="AB73" s="36">
        <f t="shared" si="50"/>
        <v>0</v>
      </c>
      <c r="AC73" s="36">
        <f t="shared" si="51"/>
        <v>0</v>
      </c>
      <c r="AD73" s="36">
        <f t="shared" si="52"/>
        <v>0</v>
      </c>
      <c r="AE73" s="36">
        <f t="shared" si="53"/>
        <v>0</v>
      </c>
      <c r="AF73" s="36">
        <f t="shared" si="54"/>
        <v>0</v>
      </c>
      <c r="AG73" s="36">
        <f t="shared" si="55"/>
        <v>0</v>
      </c>
      <c r="AH73" s="36">
        <f t="shared" si="56"/>
        <v>0</v>
      </c>
      <c r="AI73" s="35" t="s">
        <v>498</v>
      </c>
      <c r="AJ73" s="20">
        <f t="shared" si="57"/>
        <v>0</v>
      </c>
      <c r="AK73" s="20">
        <f t="shared" si="58"/>
        <v>0</v>
      </c>
      <c r="AL73" s="20">
        <f t="shared" si="59"/>
        <v>0</v>
      </c>
      <c r="AN73" s="36">
        <v>21</v>
      </c>
      <c r="AO73" s="36">
        <f>I73*0.588</f>
        <v>0</v>
      </c>
      <c r="AP73" s="36">
        <f>I73*(1-0.588)</f>
        <v>0</v>
      </c>
      <c r="AQ73" s="37" t="s">
        <v>7</v>
      </c>
      <c r="AV73" s="36">
        <f t="shared" si="62"/>
        <v>0</v>
      </c>
      <c r="AW73" s="36">
        <f t="shared" si="63"/>
        <v>0</v>
      </c>
      <c r="AX73" s="36">
        <f t="shared" si="64"/>
        <v>0</v>
      </c>
      <c r="AY73" s="39" t="s">
        <v>505</v>
      </c>
      <c r="AZ73" s="39" t="s">
        <v>514</v>
      </c>
      <c r="BA73" s="35" t="s">
        <v>518</v>
      </c>
      <c r="BC73" s="36">
        <f t="shared" si="65"/>
        <v>0</v>
      </c>
      <c r="BD73" s="36">
        <f t="shared" si="66"/>
        <v>0</v>
      </c>
      <c r="BE73" s="36">
        <v>0</v>
      </c>
      <c r="BF73" s="36">
        <f>73</f>
        <v>73</v>
      </c>
      <c r="BH73" s="20">
        <f t="shared" si="67"/>
        <v>0</v>
      </c>
      <c r="BI73" s="20">
        <f t="shared" si="68"/>
        <v>0</v>
      </c>
      <c r="BJ73" s="20">
        <f t="shared" si="69"/>
        <v>0</v>
      </c>
      <c r="BK73" s="20" t="s">
        <v>524</v>
      </c>
      <c r="BL73" s="36" t="s">
        <v>201</v>
      </c>
    </row>
    <row r="74" spans="1:64" x14ac:dyDescent="0.25">
      <c r="A74" s="4" t="s">
        <v>62</v>
      </c>
      <c r="B74" s="13" t="s">
        <v>230</v>
      </c>
      <c r="C74" s="148" t="s">
        <v>410</v>
      </c>
      <c r="D74" s="149"/>
      <c r="E74" s="149"/>
      <c r="F74" s="149"/>
      <c r="G74" s="13" t="s">
        <v>471</v>
      </c>
      <c r="H74" s="80">
        <v>18</v>
      </c>
      <c r="I74" s="20">
        <v>0</v>
      </c>
      <c r="J74" s="20">
        <f t="shared" si="46"/>
        <v>0</v>
      </c>
      <c r="K74" s="20">
        <f t="shared" si="47"/>
        <v>0</v>
      </c>
      <c r="L74" s="20">
        <f t="shared" si="48"/>
        <v>0</v>
      </c>
      <c r="M74" s="31" t="s">
        <v>488</v>
      </c>
      <c r="N74" s="6"/>
      <c r="Z74" s="36">
        <f t="shared" si="49"/>
        <v>0</v>
      </c>
      <c r="AB74" s="36">
        <f t="shared" si="50"/>
        <v>0</v>
      </c>
      <c r="AC74" s="36">
        <f t="shared" si="51"/>
        <v>0</v>
      </c>
      <c r="AD74" s="36">
        <f t="shared" si="52"/>
        <v>0</v>
      </c>
      <c r="AE74" s="36">
        <f t="shared" si="53"/>
        <v>0</v>
      </c>
      <c r="AF74" s="36">
        <f t="shared" si="54"/>
        <v>0</v>
      </c>
      <c r="AG74" s="36">
        <f t="shared" si="55"/>
        <v>0</v>
      </c>
      <c r="AH74" s="36">
        <f t="shared" si="56"/>
        <v>0</v>
      </c>
      <c r="AI74" s="35" t="s">
        <v>498</v>
      </c>
      <c r="AJ74" s="20">
        <f t="shared" si="57"/>
        <v>0</v>
      </c>
      <c r="AK74" s="20">
        <f t="shared" si="58"/>
        <v>0</v>
      </c>
      <c r="AL74" s="20">
        <f t="shared" si="59"/>
        <v>0</v>
      </c>
      <c r="AN74" s="36">
        <v>21</v>
      </c>
      <c r="AO74" s="36">
        <f>I74*0.588</f>
        <v>0</v>
      </c>
      <c r="AP74" s="36">
        <f>I74*(1-0.588)</f>
        <v>0</v>
      </c>
      <c r="AQ74" s="37" t="s">
        <v>7</v>
      </c>
      <c r="AV74" s="36">
        <f t="shared" si="62"/>
        <v>0</v>
      </c>
      <c r="AW74" s="36">
        <f t="shared" si="63"/>
        <v>0</v>
      </c>
      <c r="AX74" s="36">
        <f t="shared" si="64"/>
        <v>0</v>
      </c>
      <c r="AY74" s="39" t="s">
        <v>505</v>
      </c>
      <c r="AZ74" s="39" t="s">
        <v>514</v>
      </c>
      <c r="BA74" s="35" t="s">
        <v>518</v>
      </c>
      <c r="BC74" s="36">
        <f t="shared" si="65"/>
        <v>0</v>
      </c>
      <c r="BD74" s="36">
        <f t="shared" si="66"/>
        <v>0</v>
      </c>
      <c r="BE74" s="36">
        <v>0</v>
      </c>
      <c r="BF74" s="36">
        <f>74</f>
        <v>74</v>
      </c>
      <c r="BH74" s="20">
        <f t="shared" si="67"/>
        <v>0</v>
      </c>
      <c r="BI74" s="20">
        <f t="shared" si="68"/>
        <v>0</v>
      </c>
      <c r="BJ74" s="20">
        <f t="shared" si="69"/>
        <v>0</v>
      </c>
      <c r="BK74" s="20" t="s">
        <v>524</v>
      </c>
      <c r="BL74" s="36" t="s">
        <v>201</v>
      </c>
    </row>
    <row r="75" spans="1:64" x14ac:dyDescent="0.25">
      <c r="A75" s="4" t="s">
        <v>63</v>
      </c>
      <c r="B75" s="13" t="s">
        <v>231</v>
      </c>
      <c r="C75" s="148" t="s">
        <v>411</v>
      </c>
      <c r="D75" s="149"/>
      <c r="E75" s="149"/>
      <c r="F75" s="149"/>
      <c r="G75" s="13" t="s">
        <v>471</v>
      </c>
      <c r="H75" s="80">
        <v>12</v>
      </c>
      <c r="I75" s="20">
        <v>0</v>
      </c>
      <c r="J75" s="20">
        <f t="shared" si="46"/>
        <v>0</v>
      </c>
      <c r="K75" s="20">
        <f t="shared" si="47"/>
        <v>0</v>
      </c>
      <c r="L75" s="20">
        <f t="shared" si="48"/>
        <v>0</v>
      </c>
      <c r="M75" s="31" t="s">
        <v>488</v>
      </c>
      <c r="N75" s="6"/>
      <c r="Z75" s="36">
        <f t="shared" si="49"/>
        <v>0</v>
      </c>
      <c r="AB75" s="36">
        <f t="shared" si="50"/>
        <v>0</v>
      </c>
      <c r="AC75" s="36">
        <f t="shared" si="51"/>
        <v>0</v>
      </c>
      <c r="AD75" s="36">
        <f t="shared" si="52"/>
        <v>0</v>
      </c>
      <c r="AE75" s="36">
        <f t="shared" si="53"/>
        <v>0</v>
      </c>
      <c r="AF75" s="36">
        <f t="shared" si="54"/>
        <v>0</v>
      </c>
      <c r="AG75" s="36">
        <f t="shared" si="55"/>
        <v>0</v>
      </c>
      <c r="AH75" s="36">
        <f t="shared" si="56"/>
        <v>0</v>
      </c>
      <c r="AI75" s="35" t="s">
        <v>498</v>
      </c>
      <c r="AJ75" s="20">
        <f t="shared" si="57"/>
        <v>0</v>
      </c>
      <c r="AK75" s="20">
        <f t="shared" si="58"/>
        <v>0</v>
      </c>
      <c r="AL75" s="20">
        <f t="shared" si="59"/>
        <v>0</v>
      </c>
      <c r="AN75" s="36">
        <v>21</v>
      </c>
      <c r="AO75" s="36">
        <f>I75*0.588</f>
        <v>0</v>
      </c>
      <c r="AP75" s="36">
        <f>I75*(1-0.588)</f>
        <v>0</v>
      </c>
      <c r="AQ75" s="37" t="s">
        <v>7</v>
      </c>
      <c r="AV75" s="36">
        <f t="shared" si="62"/>
        <v>0</v>
      </c>
      <c r="AW75" s="36">
        <f t="shared" si="63"/>
        <v>0</v>
      </c>
      <c r="AX75" s="36">
        <f t="shared" si="64"/>
        <v>0</v>
      </c>
      <c r="AY75" s="39" t="s">
        <v>505</v>
      </c>
      <c r="AZ75" s="39" t="s">
        <v>514</v>
      </c>
      <c r="BA75" s="35" t="s">
        <v>518</v>
      </c>
      <c r="BC75" s="36">
        <f t="shared" si="65"/>
        <v>0</v>
      </c>
      <c r="BD75" s="36">
        <f t="shared" si="66"/>
        <v>0</v>
      </c>
      <c r="BE75" s="36">
        <v>0</v>
      </c>
      <c r="BF75" s="36">
        <f>75</f>
        <v>75</v>
      </c>
      <c r="BH75" s="20">
        <f t="shared" si="67"/>
        <v>0</v>
      </c>
      <c r="BI75" s="20">
        <f t="shared" si="68"/>
        <v>0</v>
      </c>
      <c r="BJ75" s="20">
        <f t="shared" si="69"/>
        <v>0</v>
      </c>
      <c r="BK75" s="20" t="s">
        <v>524</v>
      </c>
      <c r="BL75" s="36" t="s">
        <v>201</v>
      </c>
    </row>
    <row r="76" spans="1:64" x14ac:dyDescent="0.25">
      <c r="A76" s="4" t="s">
        <v>64</v>
      </c>
      <c r="B76" s="13" t="s">
        <v>232</v>
      </c>
      <c r="C76" s="148" t="s">
        <v>412</v>
      </c>
      <c r="D76" s="149"/>
      <c r="E76" s="149"/>
      <c r="F76" s="149"/>
      <c r="G76" s="13" t="s">
        <v>471</v>
      </c>
      <c r="H76" s="80">
        <v>1</v>
      </c>
      <c r="I76" s="20">
        <v>0</v>
      </c>
      <c r="J76" s="20">
        <f t="shared" si="46"/>
        <v>0</v>
      </c>
      <c r="K76" s="20">
        <f t="shared" si="47"/>
        <v>0</v>
      </c>
      <c r="L76" s="20">
        <f t="shared" si="48"/>
        <v>0</v>
      </c>
      <c r="M76" s="31" t="s">
        <v>488</v>
      </c>
      <c r="N76" s="6"/>
      <c r="Z76" s="36">
        <f t="shared" si="49"/>
        <v>0</v>
      </c>
      <c r="AB76" s="36">
        <f t="shared" si="50"/>
        <v>0</v>
      </c>
      <c r="AC76" s="36">
        <f t="shared" si="51"/>
        <v>0</v>
      </c>
      <c r="AD76" s="36">
        <f t="shared" si="52"/>
        <v>0</v>
      </c>
      <c r="AE76" s="36">
        <f t="shared" si="53"/>
        <v>0</v>
      </c>
      <c r="AF76" s="36">
        <f t="shared" si="54"/>
        <v>0</v>
      </c>
      <c r="AG76" s="36">
        <f t="shared" si="55"/>
        <v>0</v>
      </c>
      <c r="AH76" s="36">
        <f t="shared" si="56"/>
        <v>0</v>
      </c>
      <c r="AI76" s="35" t="s">
        <v>498</v>
      </c>
      <c r="AJ76" s="20">
        <f t="shared" si="57"/>
        <v>0</v>
      </c>
      <c r="AK76" s="20">
        <f t="shared" si="58"/>
        <v>0</v>
      </c>
      <c r="AL76" s="20">
        <f t="shared" si="59"/>
        <v>0</v>
      </c>
      <c r="AN76" s="36">
        <v>21</v>
      </c>
      <c r="AO76" s="36">
        <f>I76*0.588</f>
        <v>0</v>
      </c>
      <c r="AP76" s="36">
        <f>I76*(1-0.588)</f>
        <v>0</v>
      </c>
      <c r="AQ76" s="37" t="s">
        <v>7</v>
      </c>
      <c r="AV76" s="36">
        <f t="shared" si="62"/>
        <v>0</v>
      </c>
      <c r="AW76" s="36">
        <f t="shared" si="63"/>
        <v>0</v>
      </c>
      <c r="AX76" s="36">
        <f t="shared" si="64"/>
        <v>0</v>
      </c>
      <c r="AY76" s="39" t="s">
        <v>505</v>
      </c>
      <c r="AZ76" s="39" t="s">
        <v>514</v>
      </c>
      <c r="BA76" s="35" t="s">
        <v>518</v>
      </c>
      <c r="BC76" s="36">
        <f t="shared" si="65"/>
        <v>0</v>
      </c>
      <c r="BD76" s="36">
        <f t="shared" si="66"/>
        <v>0</v>
      </c>
      <c r="BE76" s="36">
        <v>0</v>
      </c>
      <c r="BF76" s="36">
        <f>76</f>
        <v>76</v>
      </c>
      <c r="BH76" s="20">
        <f t="shared" si="67"/>
        <v>0</v>
      </c>
      <c r="BI76" s="20">
        <f t="shared" si="68"/>
        <v>0</v>
      </c>
      <c r="BJ76" s="20">
        <f t="shared" si="69"/>
        <v>0</v>
      </c>
      <c r="BK76" s="20" t="s">
        <v>524</v>
      </c>
      <c r="BL76" s="36" t="s">
        <v>201</v>
      </c>
    </row>
    <row r="77" spans="1:64" x14ac:dyDescent="0.25">
      <c r="A77" s="4" t="s">
        <v>65</v>
      </c>
      <c r="B77" s="13" t="s">
        <v>233</v>
      </c>
      <c r="C77" s="148" t="s">
        <v>413</v>
      </c>
      <c r="D77" s="149"/>
      <c r="E77" s="149"/>
      <c r="F77" s="149"/>
      <c r="G77" s="13" t="s">
        <v>471</v>
      </c>
      <c r="H77" s="80">
        <v>225</v>
      </c>
      <c r="I77" s="20">
        <v>0</v>
      </c>
      <c r="J77" s="20">
        <f t="shared" si="46"/>
        <v>0</v>
      </c>
      <c r="K77" s="20">
        <f t="shared" si="47"/>
        <v>0</v>
      </c>
      <c r="L77" s="20">
        <f t="shared" si="48"/>
        <v>0</v>
      </c>
      <c r="M77" s="31" t="s">
        <v>488</v>
      </c>
      <c r="N77" s="6"/>
      <c r="Z77" s="36">
        <f t="shared" si="49"/>
        <v>0</v>
      </c>
      <c r="AB77" s="36">
        <f t="shared" si="50"/>
        <v>0</v>
      </c>
      <c r="AC77" s="36">
        <f t="shared" si="51"/>
        <v>0</v>
      </c>
      <c r="AD77" s="36">
        <f t="shared" si="52"/>
        <v>0</v>
      </c>
      <c r="AE77" s="36">
        <f t="shared" si="53"/>
        <v>0</v>
      </c>
      <c r="AF77" s="36">
        <f t="shared" si="54"/>
        <v>0</v>
      </c>
      <c r="AG77" s="36">
        <f t="shared" si="55"/>
        <v>0</v>
      </c>
      <c r="AH77" s="36">
        <f t="shared" si="56"/>
        <v>0</v>
      </c>
      <c r="AI77" s="35" t="s">
        <v>498</v>
      </c>
      <c r="AJ77" s="20">
        <f t="shared" si="57"/>
        <v>0</v>
      </c>
      <c r="AK77" s="20">
        <f t="shared" si="58"/>
        <v>0</v>
      </c>
      <c r="AL77" s="20">
        <f t="shared" si="59"/>
        <v>0</v>
      </c>
      <c r="AN77" s="36">
        <v>21</v>
      </c>
      <c r="AO77" s="36">
        <f>I77*0</f>
        <v>0</v>
      </c>
      <c r="AP77" s="36">
        <f>I77*(1-0)</f>
        <v>0</v>
      </c>
      <c r="AQ77" s="37" t="s">
        <v>7</v>
      </c>
      <c r="AV77" s="36">
        <f t="shared" si="62"/>
        <v>0</v>
      </c>
      <c r="AW77" s="36">
        <f t="shared" si="63"/>
        <v>0</v>
      </c>
      <c r="AX77" s="36">
        <f t="shared" si="64"/>
        <v>0</v>
      </c>
      <c r="AY77" s="39" t="s">
        <v>505</v>
      </c>
      <c r="AZ77" s="39" t="s">
        <v>514</v>
      </c>
      <c r="BA77" s="35" t="s">
        <v>518</v>
      </c>
      <c r="BC77" s="36">
        <f t="shared" si="65"/>
        <v>0</v>
      </c>
      <c r="BD77" s="36">
        <f t="shared" si="66"/>
        <v>0</v>
      </c>
      <c r="BE77" s="36">
        <v>0</v>
      </c>
      <c r="BF77" s="36">
        <f>77</f>
        <v>77</v>
      </c>
      <c r="BH77" s="20">
        <f t="shared" si="67"/>
        <v>0</v>
      </c>
      <c r="BI77" s="20">
        <f t="shared" si="68"/>
        <v>0</v>
      </c>
      <c r="BJ77" s="20">
        <f t="shared" si="69"/>
        <v>0</v>
      </c>
      <c r="BK77" s="20" t="s">
        <v>524</v>
      </c>
      <c r="BL77" s="36" t="s">
        <v>201</v>
      </c>
    </row>
    <row r="78" spans="1:64" x14ac:dyDescent="0.25">
      <c r="A78" s="4" t="s">
        <v>66</v>
      </c>
      <c r="B78" s="13" t="s">
        <v>234</v>
      </c>
      <c r="C78" s="148" t="s">
        <v>414</v>
      </c>
      <c r="D78" s="149"/>
      <c r="E78" s="149"/>
      <c r="F78" s="149"/>
      <c r="G78" s="13" t="s">
        <v>471</v>
      </c>
      <c r="H78" s="80">
        <v>1</v>
      </c>
      <c r="I78" s="20">
        <v>0</v>
      </c>
      <c r="J78" s="20">
        <f t="shared" si="46"/>
        <v>0</v>
      </c>
      <c r="K78" s="20">
        <f t="shared" si="47"/>
        <v>0</v>
      </c>
      <c r="L78" s="20">
        <f t="shared" si="48"/>
        <v>0</v>
      </c>
      <c r="M78" s="31" t="s">
        <v>488</v>
      </c>
      <c r="N78" s="6"/>
      <c r="Z78" s="36">
        <f t="shared" si="49"/>
        <v>0</v>
      </c>
      <c r="AB78" s="36">
        <f t="shared" si="50"/>
        <v>0</v>
      </c>
      <c r="AC78" s="36">
        <f t="shared" si="51"/>
        <v>0</v>
      </c>
      <c r="AD78" s="36">
        <f t="shared" si="52"/>
        <v>0</v>
      </c>
      <c r="AE78" s="36">
        <f t="shared" si="53"/>
        <v>0</v>
      </c>
      <c r="AF78" s="36">
        <f t="shared" si="54"/>
        <v>0</v>
      </c>
      <c r="AG78" s="36">
        <f t="shared" si="55"/>
        <v>0</v>
      </c>
      <c r="AH78" s="36">
        <f t="shared" si="56"/>
        <v>0</v>
      </c>
      <c r="AI78" s="35" t="s">
        <v>498</v>
      </c>
      <c r="AJ78" s="20">
        <f t="shared" si="57"/>
        <v>0</v>
      </c>
      <c r="AK78" s="20">
        <f t="shared" si="58"/>
        <v>0</v>
      </c>
      <c r="AL78" s="20">
        <f t="shared" si="59"/>
        <v>0</v>
      </c>
      <c r="AN78" s="36">
        <v>21</v>
      </c>
      <c r="AO78" s="36">
        <f>I78*1</f>
        <v>0</v>
      </c>
      <c r="AP78" s="36">
        <f>I78*(1-1)</f>
        <v>0</v>
      </c>
      <c r="AQ78" s="37" t="s">
        <v>7</v>
      </c>
      <c r="AV78" s="36">
        <f t="shared" si="62"/>
        <v>0</v>
      </c>
      <c r="AW78" s="36">
        <f t="shared" si="63"/>
        <v>0</v>
      </c>
      <c r="AX78" s="36">
        <f t="shared" si="64"/>
        <v>0</v>
      </c>
      <c r="AY78" s="39" t="s">
        <v>505</v>
      </c>
      <c r="AZ78" s="39" t="s">
        <v>514</v>
      </c>
      <c r="BA78" s="35" t="s">
        <v>518</v>
      </c>
      <c r="BC78" s="36">
        <f t="shared" si="65"/>
        <v>0</v>
      </c>
      <c r="BD78" s="36">
        <f t="shared" si="66"/>
        <v>0</v>
      </c>
      <c r="BE78" s="36">
        <v>0</v>
      </c>
      <c r="BF78" s="36">
        <f>78</f>
        <v>78</v>
      </c>
      <c r="BH78" s="20">
        <f t="shared" si="67"/>
        <v>0</v>
      </c>
      <c r="BI78" s="20">
        <f t="shared" si="68"/>
        <v>0</v>
      </c>
      <c r="BJ78" s="20">
        <f t="shared" si="69"/>
        <v>0</v>
      </c>
      <c r="BK78" s="20" t="s">
        <v>524</v>
      </c>
      <c r="BL78" s="36" t="s">
        <v>201</v>
      </c>
    </row>
    <row r="79" spans="1:64" x14ac:dyDescent="0.25">
      <c r="A79" s="4" t="s">
        <v>67</v>
      </c>
      <c r="B79" s="13" t="s">
        <v>235</v>
      </c>
      <c r="C79" s="148" t="s">
        <v>415</v>
      </c>
      <c r="D79" s="149"/>
      <c r="E79" s="149"/>
      <c r="F79" s="149"/>
      <c r="G79" s="13" t="s">
        <v>471</v>
      </c>
      <c r="H79" s="80">
        <v>1</v>
      </c>
      <c r="I79" s="20">
        <v>0</v>
      </c>
      <c r="J79" s="20">
        <f t="shared" si="46"/>
        <v>0</v>
      </c>
      <c r="K79" s="20">
        <f t="shared" si="47"/>
        <v>0</v>
      </c>
      <c r="L79" s="20">
        <f t="shared" si="48"/>
        <v>0</v>
      </c>
      <c r="M79" s="31" t="s">
        <v>488</v>
      </c>
      <c r="N79" s="6"/>
      <c r="Z79" s="36">
        <f t="shared" si="49"/>
        <v>0</v>
      </c>
      <c r="AB79" s="36">
        <f t="shared" si="50"/>
        <v>0</v>
      </c>
      <c r="AC79" s="36">
        <f t="shared" si="51"/>
        <v>0</v>
      </c>
      <c r="AD79" s="36">
        <f t="shared" si="52"/>
        <v>0</v>
      </c>
      <c r="AE79" s="36">
        <f t="shared" si="53"/>
        <v>0</v>
      </c>
      <c r="AF79" s="36">
        <f t="shared" si="54"/>
        <v>0</v>
      </c>
      <c r="AG79" s="36">
        <f t="shared" si="55"/>
        <v>0</v>
      </c>
      <c r="AH79" s="36">
        <f t="shared" si="56"/>
        <v>0</v>
      </c>
      <c r="AI79" s="35" t="s">
        <v>498</v>
      </c>
      <c r="AJ79" s="20">
        <f t="shared" si="57"/>
        <v>0</v>
      </c>
      <c r="AK79" s="20">
        <f t="shared" si="58"/>
        <v>0</v>
      </c>
      <c r="AL79" s="20">
        <f t="shared" si="59"/>
        <v>0</v>
      </c>
      <c r="AN79" s="36">
        <v>21</v>
      </c>
      <c r="AO79" s="36">
        <f>I79*0</f>
        <v>0</v>
      </c>
      <c r="AP79" s="36">
        <f>I79*(1-0)</f>
        <v>0</v>
      </c>
      <c r="AQ79" s="37" t="s">
        <v>7</v>
      </c>
      <c r="AV79" s="36">
        <f t="shared" si="62"/>
        <v>0</v>
      </c>
      <c r="AW79" s="36">
        <f t="shared" si="63"/>
        <v>0</v>
      </c>
      <c r="AX79" s="36">
        <f t="shared" si="64"/>
        <v>0</v>
      </c>
      <c r="AY79" s="39" t="s">
        <v>505</v>
      </c>
      <c r="AZ79" s="39" t="s">
        <v>514</v>
      </c>
      <c r="BA79" s="35" t="s">
        <v>518</v>
      </c>
      <c r="BC79" s="36">
        <f t="shared" si="65"/>
        <v>0</v>
      </c>
      <c r="BD79" s="36">
        <f t="shared" si="66"/>
        <v>0</v>
      </c>
      <c r="BE79" s="36">
        <v>0</v>
      </c>
      <c r="BF79" s="36">
        <f>79</f>
        <v>79</v>
      </c>
      <c r="BH79" s="20">
        <f t="shared" si="67"/>
        <v>0</v>
      </c>
      <c r="BI79" s="20">
        <f t="shared" si="68"/>
        <v>0</v>
      </c>
      <c r="BJ79" s="20">
        <f t="shared" si="69"/>
        <v>0</v>
      </c>
      <c r="BK79" s="20" t="s">
        <v>524</v>
      </c>
      <c r="BL79" s="36" t="s">
        <v>201</v>
      </c>
    </row>
    <row r="80" spans="1:64" x14ac:dyDescent="0.25">
      <c r="A80" s="4" t="s">
        <v>68</v>
      </c>
      <c r="B80" s="13" t="s">
        <v>236</v>
      </c>
      <c r="C80" s="148" t="s">
        <v>416</v>
      </c>
      <c r="D80" s="149"/>
      <c r="E80" s="149"/>
      <c r="F80" s="149"/>
      <c r="G80" s="13" t="s">
        <v>471</v>
      </c>
      <c r="H80" s="80">
        <v>1</v>
      </c>
      <c r="I80" s="20">
        <v>0</v>
      </c>
      <c r="J80" s="20">
        <f t="shared" si="46"/>
        <v>0</v>
      </c>
      <c r="K80" s="20">
        <f t="shared" si="47"/>
        <v>0</v>
      </c>
      <c r="L80" s="20">
        <f t="shared" si="48"/>
        <v>0</v>
      </c>
      <c r="M80" s="31" t="s">
        <v>488</v>
      </c>
      <c r="N80" s="6"/>
      <c r="Z80" s="36">
        <f t="shared" si="49"/>
        <v>0</v>
      </c>
      <c r="AB80" s="36">
        <f t="shared" si="50"/>
        <v>0</v>
      </c>
      <c r="AC80" s="36">
        <f t="shared" si="51"/>
        <v>0</v>
      </c>
      <c r="AD80" s="36">
        <f t="shared" si="52"/>
        <v>0</v>
      </c>
      <c r="AE80" s="36">
        <f t="shared" si="53"/>
        <v>0</v>
      </c>
      <c r="AF80" s="36">
        <f t="shared" si="54"/>
        <v>0</v>
      </c>
      <c r="AG80" s="36">
        <f t="shared" si="55"/>
        <v>0</v>
      </c>
      <c r="AH80" s="36">
        <f t="shared" si="56"/>
        <v>0</v>
      </c>
      <c r="AI80" s="35" t="s">
        <v>498</v>
      </c>
      <c r="AJ80" s="20">
        <f t="shared" si="57"/>
        <v>0</v>
      </c>
      <c r="AK80" s="20">
        <f t="shared" si="58"/>
        <v>0</v>
      </c>
      <c r="AL80" s="20">
        <f t="shared" si="59"/>
        <v>0</v>
      </c>
      <c r="AN80" s="36">
        <v>21</v>
      </c>
      <c r="AO80" s="36">
        <f>I80*0</f>
        <v>0</v>
      </c>
      <c r="AP80" s="36">
        <f>I80*(1-0)</f>
        <v>0</v>
      </c>
      <c r="AQ80" s="37" t="s">
        <v>7</v>
      </c>
      <c r="AV80" s="36">
        <f t="shared" si="62"/>
        <v>0</v>
      </c>
      <c r="AW80" s="36">
        <f t="shared" si="63"/>
        <v>0</v>
      </c>
      <c r="AX80" s="36">
        <f t="shared" si="64"/>
        <v>0</v>
      </c>
      <c r="AY80" s="39" t="s">
        <v>505</v>
      </c>
      <c r="AZ80" s="39" t="s">
        <v>514</v>
      </c>
      <c r="BA80" s="35" t="s">
        <v>518</v>
      </c>
      <c r="BC80" s="36">
        <f t="shared" si="65"/>
        <v>0</v>
      </c>
      <c r="BD80" s="36">
        <f t="shared" si="66"/>
        <v>0</v>
      </c>
      <c r="BE80" s="36">
        <v>0</v>
      </c>
      <c r="BF80" s="36">
        <f>80</f>
        <v>80</v>
      </c>
      <c r="BH80" s="20">
        <f t="shared" si="67"/>
        <v>0</v>
      </c>
      <c r="BI80" s="20">
        <f t="shared" si="68"/>
        <v>0</v>
      </c>
      <c r="BJ80" s="20">
        <f t="shared" si="69"/>
        <v>0</v>
      </c>
      <c r="BK80" s="20" t="s">
        <v>524</v>
      </c>
      <c r="BL80" s="36" t="s">
        <v>201</v>
      </c>
    </row>
    <row r="81" spans="1:64" x14ac:dyDescent="0.25">
      <c r="A81" s="3"/>
      <c r="B81" s="12" t="s">
        <v>237</v>
      </c>
      <c r="C81" s="155" t="s">
        <v>417</v>
      </c>
      <c r="D81" s="156"/>
      <c r="E81" s="156"/>
      <c r="F81" s="156"/>
      <c r="G81" s="18" t="s">
        <v>6</v>
      </c>
      <c r="H81" s="18" t="s">
        <v>6</v>
      </c>
      <c r="I81" s="18" t="s">
        <v>6</v>
      </c>
      <c r="J81" s="41">
        <f>SUM(J82:J97)</f>
        <v>0</v>
      </c>
      <c r="K81" s="41">
        <f>SUM(K82:K97)</f>
        <v>0</v>
      </c>
      <c r="L81" s="41">
        <f>SUM(L82:L97)</f>
        <v>0</v>
      </c>
      <c r="M81" s="30"/>
      <c r="N81" s="6"/>
      <c r="AI81" s="35" t="s">
        <v>498</v>
      </c>
      <c r="AS81" s="41">
        <f>SUM(AJ82:AJ97)</f>
        <v>0</v>
      </c>
      <c r="AT81" s="41">
        <f>SUM(AK82:AK97)</f>
        <v>0</v>
      </c>
      <c r="AU81" s="41">
        <f>SUM(AL82:AL97)</f>
        <v>0</v>
      </c>
    </row>
    <row r="82" spans="1:64" x14ac:dyDescent="0.25">
      <c r="A82" s="4" t="s">
        <v>69</v>
      </c>
      <c r="B82" s="13" t="s">
        <v>238</v>
      </c>
      <c r="C82" s="148" t="s">
        <v>418</v>
      </c>
      <c r="D82" s="149"/>
      <c r="E82" s="149"/>
      <c r="F82" s="149"/>
      <c r="G82" s="13" t="s">
        <v>471</v>
      </c>
      <c r="H82" s="80">
        <v>1</v>
      </c>
      <c r="I82" s="20">
        <v>0</v>
      </c>
      <c r="J82" s="20">
        <f t="shared" ref="J82:J97" si="70">H82*AO82</f>
        <v>0</v>
      </c>
      <c r="K82" s="20">
        <f t="shared" ref="K82:K97" si="71">H82*AP82</f>
        <v>0</v>
      </c>
      <c r="L82" s="20">
        <f t="shared" ref="L82:L97" si="72">H82*I82</f>
        <v>0</v>
      </c>
      <c r="M82" s="31" t="s">
        <v>488</v>
      </c>
      <c r="N82" s="6"/>
      <c r="Z82" s="36">
        <f t="shared" ref="Z82:Z97" si="73">IF(AQ82="5",BJ82,0)</f>
        <v>0</v>
      </c>
      <c r="AB82" s="36">
        <f t="shared" ref="AB82:AB97" si="74">IF(AQ82="1",BH82,0)</f>
        <v>0</v>
      </c>
      <c r="AC82" s="36">
        <f t="shared" ref="AC82:AC97" si="75">IF(AQ82="1",BI82,0)</f>
        <v>0</v>
      </c>
      <c r="AD82" s="36">
        <f t="shared" ref="AD82:AD97" si="76">IF(AQ82="7",BH82,0)</f>
        <v>0</v>
      </c>
      <c r="AE82" s="36">
        <f t="shared" ref="AE82:AE97" si="77">IF(AQ82="7",BI82,0)</f>
        <v>0</v>
      </c>
      <c r="AF82" s="36">
        <f t="shared" ref="AF82:AF97" si="78">IF(AQ82="2",BH82,0)</f>
        <v>0</v>
      </c>
      <c r="AG82" s="36">
        <f t="shared" ref="AG82:AG97" si="79">IF(AQ82="2",BI82,0)</f>
        <v>0</v>
      </c>
      <c r="AH82" s="36">
        <f t="shared" ref="AH82:AH97" si="80">IF(AQ82="0",BJ82,0)</f>
        <v>0</v>
      </c>
      <c r="AI82" s="35" t="s">
        <v>498</v>
      </c>
      <c r="AJ82" s="20">
        <f t="shared" ref="AJ82:AJ97" si="81">IF(AN82=0,L82,0)</f>
        <v>0</v>
      </c>
      <c r="AK82" s="20">
        <f t="shared" ref="AK82:AK97" si="82">IF(AN82=15,L82,0)</f>
        <v>0</v>
      </c>
      <c r="AL82" s="20">
        <f t="shared" ref="AL82:AL97" si="83">IF(AN82=21,L82,0)</f>
        <v>0</v>
      </c>
      <c r="AN82" s="36">
        <v>21</v>
      </c>
      <c r="AO82" s="36">
        <f t="shared" ref="AO82:AO93" si="84">I82*0.588</f>
        <v>0</v>
      </c>
      <c r="AP82" s="36">
        <f t="shared" ref="AP82:AP93" si="85">I82*(1-0.588)</f>
        <v>0</v>
      </c>
      <c r="AQ82" s="37" t="s">
        <v>7</v>
      </c>
      <c r="AV82" s="36">
        <f t="shared" ref="AV82:AV97" si="86">AW82+AX82</f>
        <v>0</v>
      </c>
      <c r="AW82" s="36">
        <f t="shared" ref="AW82:AW97" si="87">H82*AO82</f>
        <v>0</v>
      </c>
      <c r="AX82" s="36">
        <f t="shared" ref="AX82:AX97" si="88">H82*AP82</f>
        <v>0</v>
      </c>
      <c r="AY82" s="39" t="s">
        <v>506</v>
      </c>
      <c r="AZ82" s="39" t="s">
        <v>514</v>
      </c>
      <c r="BA82" s="35" t="s">
        <v>518</v>
      </c>
      <c r="BC82" s="36">
        <f t="shared" ref="BC82:BC97" si="89">AW82+AX82</f>
        <v>0</v>
      </c>
      <c r="BD82" s="36">
        <f t="shared" ref="BD82:BD97" si="90">I82/(100-BE82)*100</f>
        <v>0</v>
      </c>
      <c r="BE82" s="36">
        <v>0</v>
      </c>
      <c r="BF82" s="36">
        <f>82</f>
        <v>82</v>
      </c>
      <c r="BH82" s="20">
        <f t="shared" ref="BH82:BH97" si="91">H82*AO82</f>
        <v>0</v>
      </c>
      <c r="BI82" s="20">
        <f t="shared" ref="BI82:BI97" si="92">H82*AP82</f>
        <v>0</v>
      </c>
      <c r="BJ82" s="20">
        <f t="shared" ref="BJ82:BJ97" si="93">H82*I82</f>
        <v>0</v>
      </c>
      <c r="BK82" s="20" t="s">
        <v>524</v>
      </c>
      <c r="BL82" s="36" t="s">
        <v>237</v>
      </c>
    </row>
    <row r="83" spans="1:64" x14ac:dyDescent="0.25">
      <c r="A83" s="4" t="s">
        <v>70</v>
      </c>
      <c r="B83" s="13" t="s">
        <v>239</v>
      </c>
      <c r="C83" s="148" t="s">
        <v>419</v>
      </c>
      <c r="D83" s="149"/>
      <c r="E83" s="149"/>
      <c r="F83" s="149"/>
      <c r="G83" s="13" t="s">
        <v>471</v>
      </c>
      <c r="H83" s="80">
        <v>1</v>
      </c>
      <c r="I83" s="20">
        <v>0</v>
      </c>
      <c r="J83" s="20">
        <f t="shared" si="70"/>
        <v>0</v>
      </c>
      <c r="K83" s="20">
        <f t="shared" si="71"/>
        <v>0</v>
      </c>
      <c r="L83" s="20">
        <f t="shared" si="72"/>
        <v>0</v>
      </c>
      <c r="M83" s="31" t="s">
        <v>488</v>
      </c>
      <c r="N83" s="6"/>
      <c r="Z83" s="36">
        <f t="shared" si="73"/>
        <v>0</v>
      </c>
      <c r="AB83" s="36">
        <f t="shared" si="74"/>
        <v>0</v>
      </c>
      <c r="AC83" s="36">
        <f t="shared" si="75"/>
        <v>0</v>
      </c>
      <c r="AD83" s="36">
        <f t="shared" si="76"/>
        <v>0</v>
      </c>
      <c r="AE83" s="36">
        <f t="shared" si="77"/>
        <v>0</v>
      </c>
      <c r="AF83" s="36">
        <f t="shared" si="78"/>
        <v>0</v>
      </c>
      <c r="AG83" s="36">
        <f t="shared" si="79"/>
        <v>0</v>
      </c>
      <c r="AH83" s="36">
        <f t="shared" si="80"/>
        <v>0</v>
      </c>
      <c r="AI83" s="35" t="s">
        <v>498</v>
      </c>
      <c r="AJ83" s="20">
        <f t="shared" si="81"/>
        <v>0</v>
      </c>
      <c r="AK83" s="20">
        <f t="shared" si="82"/>
        <v>0</v>
      </c>
      <c r="AL83" s="20">
        <f t="shared" si="83"/>
        <v>0</v>
      </c>
      <c r="AN83" s="36">
        <v>21</v>
      </c>
      <c r="AO83" s="36">
        <f t="shared" si="84"/>
        <v>0</v>
      </c>
      <c r="AP83" s="36">
        <f t="shared" si="85"/>
        <v>0</v>
      </c>
      <c r="AQ83" s="37" t="s">
        <v>7</v>
      </c>
      <c r="AV83" s="36">
        <f t="shared" si="86"/>
        <v>0</v>
      </c>
      <c r="AW83" s="36">
        <f t="shared" si="87"/>
        <v>0</v>
      </c>
      <c r="AX83" s="36">
        <f t="shared" si="88"/>
        <v>0</v>
      </c>
      <c r="AY83" s="39" t="s">
        <v>506</v>
      </c>
      <c r="AZ83" s="39" t="s">
        <v>514</v>
      </c>
      <c r="BA83" s="35" t="s">
        <v>518</v>
      </c>
      <c r="BC83" s="36">
        <f t="shared" si="89"/>
        <v>0</v>
      </c>
      <c r="BD83" s="36">
        <f t="shared" si="90"/>
        <v>0</v>
      </c>
      <c r="BE83" s="36">
        <v>0</v>
      </c>
      <c r="BF83" s="36">
        <f>83</f>
        <v>83</v>
      </c>
      <c r="BH83" s="20">
        <f t="shared" si="91"/>
        <v>0</v>
      </c>
      <c r="BI83" s="20">
        <f t="shared" si="92"/>
        <v>0</v>
      </c>
      <c r="BJ83" s="20">
        <f t="shared" si="93"/>
        <v>0</v>
      </c>
      <c r="BK83" s="20" t="s">
        <v>524</v>
      </c>
      <c r="BL83" s="36" t="s">
        <v>237</v>
      </c>
    </row>
    <row r="84" spans="1:64" x14ac:dyDescent="0.25">
      <c r="A84" s="4" t="s">
        <v>71</v>
      </c>
      <c r="B84" s="13" t="s">
        <v>240</v>
      </c>
      <c r="C84" s="148" t="s">
        <v>420</v>
      </c>
      <c r="D84" s="149"/>
      <c r="E84" s="149"/>
      <c r="F84" s="149"/>
      <c r="G84" s="13" t="s">
        <v>471</v>
      </c>
      <c r="H84" s="80">
        <v>1</v>
      </c>
      <c r="I84" s="20">
        <v>0</v>
      </c>
      <c r="J84" s="20">
        <f t="shared" si="70"/>
        <v>0</v>
      </c>
      <c r="K84" s="20">
        <f t="shared" si="71"/>
        <v>0</v>
      </c>
      <c r="L84" s="20">
        <f t="shared" si="72"/>
        <v>0</v>
      </c>
      <c r="M84" s="31" t="s">
        <v>488</v>
      </c>
      <c r="N84" s="6"/>
      <c r="Z84" s="36">
        <f t="shared" si="73"/>
        <v>0</v>
      </c>
      <c r="AB84" s="36">
        <f t="shared" si="74"/>
        <v>0</v>
      </c>
      <c r="AC84" s="36">
        <f t="shared" si="75"/>
        <v>0</v>
      </c>
      <c r="AD84" s="36">
        <f t="shared" si="76"/>
        <v>0</v>
      </c>
      <c r="AE84" s="36">
        <f t="shared" si="77"/>
        <v>0</v>
      </c>
      <c r="AF84" s="36">
        <f t="shared" si="78"/>
        <v>0</v>
      </c>
      <c r="AG84" s="36">
        <f t="shared" si="79"/>
        <v>0</v>
      </c>
      <c r="AH84" s="36">
        <f t="shared" si="80"/>
        <v>0</v>
      </c>
      <c r="AI84" s="35" t="s">
        <v>498</v>
      </c>
      <c r="AJ84" s="20">
        <f t="shared" si="81"/>
        <v>0</v>
      </c>
      <c r="AK84" s="20">
        <f t="shared" si="82"/>
        <v>0</v>
      </c>
      <c r="AL84" s="20">
        <f t="shared" si="83"/>
        <v>0</v>
      </c>
      <c r="AN84" s="36">
        <v>21</v>
      </c>
      <c r="AO84" s="36">
        <f t="shared" si="84"/>
        <v>0</v>
      </c>
      <c r="AP84" s="36">
        <f t="shared" si="85"/>
        <v>0</v>
      </c>
      <c r="AQ84" s="37" t="s">
        <v>7</v>
      </c>
      <c r="AV84" s="36">
        <f t="shared" si="86"/>
        <v>0</v>
      </c>
      <c r="AW84" s="36">
        <f t="shared" si="87"/>
        <v>0</v>
      </c>
      <c r="AX84" s="36">
        <f t="shared" si="88"/>
        <v>0</v>
      </c>
      <c r="AY84" s="39" t="s">
        <v>506</v>
      </c>
      <c r="AZ84" s="39" t="s">
        <v>514</v>
      </c>
      <c r="BA84" s="35" t="s">
        <v>518</v>
      </c>
      <c r="BC84" s="36">
        <f t="shared" si="89"/>
        <v>0</v>
      </c>
      <c r="BD84" s="36">
        <f t="shared" si="90"/>
        <v>0</v>
      </c>
      <c r="BE84" s="36">
        <v>0</v>
      </c>
      <c r="BF84" s="36">
        <f>84</f>
        <v>84</v>
      </c>
      <c r="BH84" s="20">
        <f t="shared" si="91"/>
        <v>0</v>
      </c>
      <c r="BI84" s="20">
        <f t="shared" si="92"/>
        <v>0</v>
      </c>
      <c r="BJ84" s="20">
        <f t="shared" si="93"/>
        <v>0</v>
      </c>
      <c r="BK84" s="20" t="s">
        <v>524</v>
      </c>
      <c r="BL84" s="36" t="s">
        <v>237</v>
      </c>
    </row>
    <row r="85" spans="1:64" x14ac:dyDescent="0.25">
      <c r="A85" s="4" t="s">
        <v>72</v>
      </c>
      <c r="B85" s="13" t="s">
        <v>241</v>
      </c>
      <c r="C85" s="148" t="s">
        <v>390</v>
      </c>
      <c r="D85" s="149"/>
      <c r="E85" s="149"/>
      <c r="F85" s="149"/>
      <c r="G85" s="13" t="s">
        <v>471</v>
      </c>
      <c r="H85" s="80">
        <v>1</v>
      </c>
      <c r="I85" s="20">
        <v>0</v>
      </c>
      <c r="J85" s="20">
        <f t="shared" si="70"/>
        <v>0</v>
      </c>
      <c r="K85" s="20">
        <f t="shared" si="71"/>
        <v>0</v>
      </c>
      <c r="L85" s="20">
        <f t="shared" si="72"/>
        <v>0</v>
      </c>
      <c r="M85" s="31" t="s">
        <v>488</v>
      </c>
      <c r="N85" s="6"/>
      <c r="Z85" s="36">
        <f t="shared" si="73"/>
        <v>0</v>
      </c>
      <c r="AB85" s="36">
        <f t="shared" si="74"/>
        <v>0</v>
      </c>
      <c r="AC85" s="36">
        <f t="shared" si="75"/>
        <v>0</v>
      </c>
      <c r="AD85" s="36">
        <f t="shared" si="76"/>
        <v>0</v>
      </c>
      <c r="AE85" s="36">
        <f t="shared" si="77"/>
        <v>0</v>
      </c>
      <c r="AF85" s="36">
        <f t="shared" si="78"/>
        <v>0</v>
      </c>
      <c r="AG85" s="36">
        <f t="shared" si="79"/>
        <v>0</v>
      </c>
      <c r="AH85" s="36">
        <f t="shared" si="80"/>
        <v>0</v>
      </c>
      <c r="AI85" s="35" t="s">
        <v>498</v>
      </c>
      <c r="AJ85" s="20">
        <f t="shared" si="81"/>
        <v>0</v>
      </c>
      <c r="AK85" s="20">
        <f t="shared" si="82"/>
        <v>0</v>
      </c>
      <c r="AL85" s="20">
        <f t="shared" si="83"/>
        <v>0</v>
      </c>
      <c r="AN85" s="36">
        <v>21</v>
      </c>
      <c r="AO85" s="36">
        <f t="shared" si="84"/>
        <v>0</v>
      </c>
      <c r="AP85" s="36">
        <f t="shared" si="85"/>
        <v>0</v>
      </c>
      <c r="AQ85" s="37" t="s">
        <v>7</v>
      </c>
      <c r="AV85" s="36">
        <f t="shared" si="86"/>
        <v>0</v>
      </c>
      <c r="AW85" s="36">
        <f t="shared" si="87"/>
        <v>0</v>
      </c>
      <c r="AX85" s="36">
        <f t="shared" si="88"/>
        <v>0</v>
      </c>
      <c r="AY85" s="39" t="s">
        <v>506</v>
      </c>
      <c r="AZ85" s="39" t="s">
        <v>514</v>
      </c>
      <c r="BA85" s="35" t="s">
        <v>518</v>
      </c>
      <c r="BC85" s="36">
        <f t="shared" si="89"/>
        <v>0</v>
      </c>
      <c r="BD85" s="36">
        <f t="shared" si="90"/>
        <v>0</v>
      </c>
      <c r="BE85" s="36">
        <v>0</v>
      </c>
      <c r="BF85" s="36">
        <f>85</f>
        <v>85</v>
      </c>
      <c r="BH85" s="20">
        <f t="shared" si="91"/>
        <v>0</v>
      </c>
      <c r="BI85" s="20">
        <f t="shared" si="92"/>
        <v>0</v>
      </c>
      <c r="BJ85" s="20">
        <f t="shared" si="93"/>
        <v>0</v>
      </c>
      <c r="BK85" s="20" t="s">
        <v>524</v>
      </c>
      <c r="BL85" s="36" t="s">
        <v>237</v>
      </c>
    </row>
    <row r="86" spans="1:64" x14ac:dyDescent="0.25">
      <c r="A86" s="4" t="s">
        <v>73</v>
      </c>
      <c r="B86" s="13" t="s">
        <v>242</v>
      </c>
      <c r="C86" s="148" t="s">
        <v>421</v>
      </c>
      <c r="D86" s="149"/>
      <c r="E86" s="149"/>
      <c r="F86" s="149"/>
      <c r="G86" s="13" t="s">
        <v>471</v>
      </c>
      <c r="H86" s="80">
        <v>19</v>
      </c>
      <c r="I86" s="20">
        <v>0</v>
      </c>
      <c r="J86" s="20">
        <f t="shared" si="70"/>
        <v>0</v>
      </c>
      <c r="K86" s="20">
        <f t="shared" si="71"/>
        <v>0</v>
      </c>
      <c r="L86" s="20">
        <f t="shared" si="72"/>
        <v>0</v>
      </c>
      <c r="M86" s="31" t="s">
        <v>488</v>
      </c>
      <c r="N86" s="6"/>
      <c r="Z86" s="36">
        <f t="shared" si="73"/>
        <v>0</v>
      </c>
      <c r="AB86" s="36">
        <f t="shared" si="74"/>
        <v>0</v>
      </c>
      <c r="AC86" s="36">
        <f t="shared" si="75"/>
        <v>0</v>
      </c>
      <c r="AD86" s="36">
        <f t="shared" si="76"/>
        <v>0</v>
      </c>
      <c r="AE86" s="36">
        <f t="shared" si="77"/>
        <v>0</v>
      </c>
      <c r="AF86" s="36">
        <f t="shared" si="78"/>
        <v>0</v>
      </c>
      <c r="AG86" s="36">
        <f t="shared" si="79"/>
        <v>0</v>
      </c>
      <c r="AH86" s="36">
        <f t="shared" si="80"/>
        <v>0</v>
      </c>
      <c r="AI86" s="35" t="s">
        <v>498</v>
      </c>
      <c r="AJ86" s="20">
        <f t="shared" si="81"/>
        <v>0</v>
      </c>
      <c r="AK86" s="20">
        <f t="shared" si="82"/>
        <v>0</v>
      </c>
      <c r="AL86" s="20">
        <f t="shared" si="83"/>
        <v>0</v>
      </c>
      <c r="AN86" s="36">
        <v>21</v>
      </c>
      <c r="AO86" s="36">
        <f t="shared" si="84"/>
        <v>0</v>
      </c>
      <c r="AP86" s="36">
        <f t="shared" si="85"/>
        <v>0</v>
      </c>
      <c r="AQ86" s="37" t="s">
        <v>7</v>
      </c>
      <c r="AV86" s="36">
        <f t="shared" si="86"/>
        <v>0</v>
      </c>
      <c r="AW86" s="36">
        <f t="shared" si="87"/>
        <v>0</v>
      </c>
      <c r="AX86" s="36">
        <f t="shared" si="88"/>
        <v>0</v>
      </c>
      <c r="AY86" s="39" t="s">
        <v>506</v>
      </c>
      <c r="AZ86" s="39" t="s">
        <v>514</v>
      </c>
      <c r="BA86" s="35" t="s">
        <v>518</v>
      </c>
      <c r="BC86" s="36">
        <f t="shared" si="89"/>
        <v>0</v>
      </c>
      <c r="BD86" s="36">
        <f t="shared" si="90"/>
        <v>0</v>
      </c>
      <c r="BE86" s="36">
        <v>0</v>
      </c>
      <c r="BF86" s="36">
        <f>86</f>
        <v>86</v>
      </c>
      <c r="BH86" s="20">
        <f t="shared" si="91"/>
        <v>0</v>
      </c>
      <c r="BI86" s="20">
        <f t="shared" si="92"/>
        <v>0</v>
      </c>
      <c r="BJ86" s="20">
        <f t="shared" si="93"/>
        <v>0</v>
      </c>
      <c r="BK86" s="20" t="s">
        <v>524</v>
      </c>
      <c r="BL86" s="36" t="s">
        <v>237</v>
      </c>
    </row>
    <row r="87" spans="1:64" x14ac:dyDescent="0.25">
      <c r="A87" s="4" t="s">
        <v>74</v>
      </c>
      <c r="B87" s="13" t="s">
        <v>243</v>
      </c>
      <c r="C87" s="148" t="s">
        <v>394</v>
      </c>
      <c r="D87" s="149"/>
      <c r="E87" s="149"/>
      <c r="F87" s="149"/>
      <c r="G87" s="13" t="s">
        <v>471</v>
      </c>
      <c r="H87" s="80">
        <v>15</v>
      </c>
      <c r="I87" s="20">
        <v>0</v>
      </c>
      <c r="J87" s="20">
        <f t="shared" si="70"/>
        <v>0</v>
      </c>
      <c r="K87" s="20">
        <f t="shared" si="71"/>
        <v>0</v>
      </c>
      <c r="L87" s="20">
        <f t="shared" si="72"/>
        <v>0</v>
      </c>
      <c r="M87" s="31" t="s">
        <v>488</v>
      </c>
      <c r="N87" s="6"/>
      <c r="Z87" s="36">
        <f t="shared" si="73"/>
        <v>0</v>
      </c>
      <c r="AB87" s="36">
        <f t="shared" si="74"/>
        <v>0</v>
      </c>
      <c r="AC87" s="36">
        <f t="shared" si="75"/>
        <v>0</v>
      </c>
      <c r="AD87" s="36">
        <f t="shared" si="76"/>
        <v>0</v>
      </c>
      <c r="AE87" s="36">
        <f t="shared" si="77"/>
        <v>0</v>
      </c>
      <c r="AF87" s="36">
        <f t="shared" si="78"/>
        <v>0</v>
      </c>
      <c r="AG87" s="36">
        <f t="shared" si="79"/>
        <v>0</v>
      </c>
      <c r="AH87" s="36">
        <f t="shared" si="80"/>
        <v>0</v>
      </c>
      <c r="AI87" s="35" t="s">
        <v>498</v>
      </c>
      <c r="AJ87" s="20">
        <f t="shared" si="81"/>
        <v>0</v>
      </c>
      <c r="AK87" s="20">
        <f t="shared" si="82"/>
        <v>0</v>
      </c>
      <c r="AL87" s="20">
        <f t="shared" si="83"/>
        <v>0</v>
      </c>
      <c r="AN87" s="36">
        <v>21</v>
      </c>
      <c r="AO87" s="36">
        <f t="shared" si="84"/>
        <v>0</v>
      </c>
      <c r="AP87" s="36">
        <f t="shared" si="85"/>
        <v>0</v>
      </c>
      <c r="AQ87" s="37" t="s">
        <v>7</v>
      </c>
      <c r="AV87" s="36">
        <f t="shared" si="86"/>
        <v>0</v>
      </c>
      <c r="AW87" s="36">
        <f t="shared" si="87"/>
        <v>0</v>
      </c>
      <c r="AX87" s="36">
        <f t="shared" si="88"/>
        <v>0</v>
      </c>
      <c r="AY87" s="39" t="s">
        <v>506</v>
      </c>
      <c r="AZ87" s="39" t="s">
        <v>514</v>
      </c>
      <c r="BA87" s="35" t="s">
        <v>518</v>
      </c>
      <c r="BC87" s="36">
        <f t="shared" si="89"/>
        <v>0</v>
      </c>
      <c r="BD87" s="36">
        <f t="shared" si="90"/>
        <v>0</v>
      </c>
      <c r="BE87" s="36">
        <v>0</v>
      </c>
      <c r="BF87" s="36">
        <f>87</f>
        <v>87</v>
      </c>
      <c r="BH87" s="20">
        <f t="shared" si="91"/>
        <v>0</v>
      </c>
      <c r="BI87" s="20">
        <f t="shared" si="92"/>
        <v>0</v>
      </c>
      <c r="BJ87" s="20">
        <f t="shared" si="93"/>
        <v>0</v>
      </c>
      <c r="BK87" s="20" t="s">
        <v>524</v>
      </c>
      <c r="BL87" s="36" t="s">
        <v>237</v>
      </c>
    </row>
    <row r="88" spans="1:64" x14ac:dyDescent="0.25">
      <c r="A88" s="4" t="s">
        <v>75</v>
      </c>
      <c r="B88" s="13" t="s">
        <v>244</v>
      </c>
      <c r="C88" s="148" t="s">
        <v>422</v>
      </c>
      <c r="D88" s="149"/>
      <c r="E88" s="149"/>
      <c r="F88" s="149"/>
      <c r="G88" s="13" t="s">
        <v>471</v>
      </c>
      <c r="H88" s="80">
        <v>1</v>
      </c>
      <c r="I88" s="20">
        <v>0</v>
      </c>
      <c r="J88" s="20">
        <f t="shared" si="70"/>
        <v>0</v>
      </c>
      <c r="K88" s="20">
        <f t="shared" si="71"/>
        <v>0</v>
      </c>
      <c r="L88" s="20">
        <f t="shared" si="72"/>
        <v>0</v>
      </c>
      <c r="M88" s="31" t="s">
        <v>488</v>
      </c>
      <c r="N88" s="6"/>
      <c r="Z88" s="36">
        <f t="shared" si="73"/>
        <v>0</v>
      </c>
      <c r="AB88" s="36">
        <f t="shared" si="74"/>
        <v>0</v>
      </c>
      <c r="AC88" s="36">
        <f t="shared" si="75"/>
        <v>0</v>
      </c>
      <c r="AD88" s="36">
        <f t="shared" si="76"/>
        <v>0</v>
      </c>
      <c r="AE88" s="36">
        <f t="shared" si="77"/>
        <v>0</v>
      </c>
      <c r="AF88" s="36">
        <f t="shared" si="78"/>
        <v>0</v>
      </c>
      <c r="AG88" s="36">
        <f t="shared" si="79"/>
        <v>0</v>
      </c>
      <c r="AH88" s="36">
        <f t="shared" si="80"/>
        <v>0</v>
      </c>
      <c r="AI88" s="35" t="s">
        <v>498</v>
      </c>
      <c r="AJ88" s="20">
        <f t="shared" si="81"/>
        <v>0</v>
      </c>
      <c r="AK88" s="20">
        <f t="shared" si="82"/>
        <v>0</v>
      </c>
      <c r="AL88" s="20">
        <f t="shared" si="83"/>
        <v>0</v>
      </c>
      <c r="AN88" s="36">
        <v>21</v>
      </c>
      <c r="AO88" s="36">
        <f t="shared" si="84"/>
        <v>0</v>
      </c>
      <c r="AP88" s="36">
        <f t="shared" si="85"/>
        <v>0</v>
      </c>
      <c r="AQ88" s="37" t="s">
        <v>7</v>
      </c>
      <c r="AV88" s="36">
        <f t="shared" si="86"/>
        <v>0</v>
      </c>
      <c r="AW88" s="36">
        <f t="shared" si="87"/>
        <v>0</v>
      </c>
      <c r="AX88" s="36">
        <f t="shared" si="88"/>
        <v>0</v>
      </c>
      <c r="AY88" s="39" t="s">
        <v>506</v>
      </c>
      <c r="AZ88" s="39" t="s">
        <v>514</v>
      </c>
      <c r="BA88" s="35" t="s">
        <v>518</v>
      </c>
      <c r="BC88" s="36">
        <f t="shared" si="89"/>
        <v>0</v>
      </c>
      <c r="BD88" s="36">
        <f t="shared" si="90"/>
        <v>0</v>
      </c>
      <c r="BE88" s="36">
        <v>0</v>
      </c>
      <c r="BF88" s="36">
        <f>88</f>
        <v>88</v>
      </c>
      <c r="BH88" s="20">
        <f t="shared" si="91"/>
        <v>0</v>
      </c>
      <c r="BI88" s="20">
        <f t="shared" si="92"/>
        <v>0</v>
      </c>
      <c r="BJ88" s="20">
        <f t="shared" si="93"/>
        <v>0</v>
      </c>
      <c r="BK88" s="20" t="s">
        <v>524</v>
      </c>
      <c r="BL88" s="36" t="s">
        <v>237</v>
      </c>
    </row>
    <row r="89" spans="1:64" x14ac:dyDescent="0.25">
      <c r="A89" s="4" t="s">
        <v>76</v>
      </c>
      <c r="B89" s="13" t="s">
        <v>245</v>
      </c>
      <c r="C89" s="148" t="s">
        <v>423</v>
      </c>
      <c r="D89" s="149"/>
      <c r="E89" s="149"/>
      <c r="F89" s="149"/>
      <c r="G89" s="13" t="s">
        <v>471</v>
      </c>
      <c r="H89" s="80">
        <v>3</v>
      </c>
      <c r="I89" s="20">
        <v>0</v>
      </c>
      <c r="J89" s="20">
        <f t="shared" si="70"/>
        <v>0</v>
      </c>
      <c r="K89" s="20">
        <f t="shared" si="71"/>
        <v>0</v>
      </c>
      <c r="L89" s="20">
        <f t="shared" si="72"/>
        <v>0</v>
      </c>
      <c r="M89" s="31" t="s">
        <v>488</v>
      </c>
      <c r="N89" s="6"/>
      <c r="Z89" s="36">
        <f t="shared" si="73"/>
        <v>0</v>
      </c>
      <c r="AB89" s="36">
        <f t="shared" si="74"/>
        <v>0</v>
      </c>
      <c r="AC89" s="36">
        <f t="shared" si="75"/>
        <v>0</v>
      </c>
      <c r="AD89" s="36">
        <f t="shared" si="76"/>
        <v>0</v>
      </c>
      <c r="AE89" s="36">
        <f t="shared" si="77"/>
        <v>0</v>
      </c>
      <c r="AF89" s="36">
        <f t="shared" si="78"/>
        <v>0</v>
      </c>
      <c r="AG89" s="36">
        <f t="shared" si="79"/>
        <v>0</v>
      </c>
      <c r="AH89" s="36">
        <f t="shared" si="80"/>
        <v>0</v>
      </c>
      <c r="AI89" s="35" t="s">
        <v>498</v>
      </c>
      <c r="AJ89" s="20">
        <f t="shared" si="81"/>
        <v>0</v>
      </c>
      <c r="AK89" s="20">
        <f t="shared" si="82"/>
        <v>0</v>
      </c>
      <c r="AL89" s="20">
        <f t="shared" si="83"/>
        <v>0</v>
      </c>
      <c r="AN89" s="36">
        <v>21</v>
      </c>
      <c r="AO89" s="36">
        <f t="shared" si="84"/>
        <v>0</v>
      </c>
      <c r="AP89" s="36">
        <f t="shared" si="85"/>
        <v>0</v>
      </c>
      <c r="AQ89" s="37" t="s">
        <v>7</v>
      </c>
      <c r="AV89" s="36">
        <f t="shared" si="86"/>
        <v>0</v>
      </c>
      <c r="AW89" s="36">
        <f t="shared" si="87"/>
        <v>0</v>
      </c>
      <c r="AX89" s="36">
        <f t="shared" si="88"/>
        <v>0</v>
      </c>
      <c r="AY89" s="39" t="s">
        <v>506</v>
      </c>
      <c r="AZ89" s="39" t="s">
        <v>514</v>
      </c>
      <c r="BA89" s="35" t="s">
        <v>518</v>
      </c>
      <c r="BC89" s="36">
        <f t="shared" si="89"/>
        <v>0</v>
      </c>
      <c r="BD89" s="36">
        <f t="shared" si="90"/>
        <v>0</v>
      </c>
      <c r="BE89" s="36">
        <v>0</v>
      </c>
      <c r="BF89" s="36">
        <f>89</f>
        <v>89</v>
      </c>
      <c r="BH89" s="20">
        <f t="shared" si="91"/>
        <v>0</v>
      </c>
      <c r="BI89" s="20">
        <f t="shared" si="92"/>
        <v>0</v>
      </c>
      <c r="BJ89" s="20">
        <f t="shared" si="93"/>
        <v>0</v>
      </c>
      <c r="BK89" s="20" t="s">
        <v>524</v>
      </c>
      <c r="BL89" s="36" t="s">
        <v>237</v>
      </c>
    </row>
    <row r="90" spans="1:64" x14ac:dyDescent="0.25">
      <c r="A90" s="4" t="s">
        <v>77</v>
      </c>
      <c r="B90" s="13" t="s">
        <v>246</v>
      </c>
      <c r="C90" s="148" t="s">
        <v>402</v>
      </c>
      <c r="D90" s="149"/>
      <c r="E90" s="149"/>
      <c r="F90" s="149"/>
      <c r="G90" s="13" t="s">
        <v>471</v>
      </c>
      <c r="H90" s="80">
        <v>2</v>
      </c>
      <c r="I90" s="20">
        <v>0</v>
      </c>
      <c r="J90" s="20">
        <f t="shared" si="70"/>
        <v>0</v>
      </c>
      <c r="K90" s="20">
        <f t="shared" si="71"/>
        <v>0</v>
      </c>
      <c r="L90" s="20">
        <f t="shared" si="72"/>
        <v>0</v>
      </c>
      <c r="M90" s="31" t="s">
        <v>488</v>
      </c>
      <c r="N90" s="6"/>
      <c r="Z90" s="36">
        <f t="shared" si="73"/>
        <v>0</v>
      </c>
      <c r="AB90" s="36">
        <f t="shared" si="74"/>
        <v>0</v>
      </c>
      <c r="AC90" s="36">
        <f t="shared" si="75"/>
        <v>0</v>
      </c>
      <c r="AD90" s="36">
        <f t="shared" si="76"/>
        <v>0</v>
      </c>
      <c r="AE90" s="36">
        <f t="shared" si="77"/>
        <v>0</v>
      </c>
      <c r="AF90" s="36">
        <f t="shared" si="78"/>
        <v>0</v>
      </c>
      <c r="AG90" s="36">
        <f t="shared" si="79"/>
        <v>0</v>
      </c>
      <c r="AH90" s="36">
        <f t="shared" si="80"/>
        <v>0</v>
      </c>
      <c r="AI90" s="35" t="s">
        <v>498</v>
      </c>
      <c r="AJ90" s="20">
        <f t="shared" si="81"/>
        <v>0</v>
      </c>
      <c r="AK90" s="20">
        <f t="shared" si="82"/>
        <v>0</v>
      </c>
      <c r="AL90" s="20">
        <f t="shared" si="83"/>
        <v>0</v>
      </c>
      <c r="AN90" s="36">
        <v>21</v>
      </c>
      <c r="AO90" s="36">
        <f t="shared" si="84"/>
        <v>0</v>
      </c>
      <c r="AP90" s="36">
        <f t="shared" si="85"/>
        <v>0</v>
      </c>
      <c r="AQ90" s="37" t="s">
        <v>7</v>
      </c>
      <c r="AV90" s="36">
        <f t="shared" si="86"/>
        <v>0</v>
      </c>
      <c r="AW90" s="36">
        <f t="shared" si="87"/>
        <v>0</v>
      </c>
      <c r="AX90" s="36">
        <f t="shared" si="88"/>
        <v>0</v>
      </c>
      <c r="AY90" s="39" t="s">
        <v>506</v>
      </c>
      <c r="AZ90" s="39" t="s">
        <v>514</v>
      </c>
      <c r="BA90" s="35" t="s">
        <v>518</v>
      </c>
      <c r="BC90" s="36">
        <f t="shared" si="89"/>
        <v>0</v>
      </c>
      <c r="BD90" s="36">
        <f t="shared" si="90"/>
        <v>0</v>
      </c>
      <c r="BE90" s="36">
        <v>0</v>
      </c>
      <c r="BF90" s="36">
        <f>90</f>
        <v>90</v>
      </c>
      <c r="BH90" s="20">
        <f t="shared" si="91"/>
        <v>0</v>
      </c>
      <c r="BI90" s="20">
        <f t="shared" si="92"/>
        <v>0</v>
      </c>
      <c r="BJ90" s="20">
        <f t="shared" si="93"/>
        <v>0</v>
      </c>
      <c r="BK90" s="20" t="s">
        <v>524</v>
      </c>
      <c r="BL90" s="36" t="s">
        <v>237</v>
      </c>
    </row>
    <row r="91" spans="1:64" x14ac:dyDescent="0.25">
      <c r="A91" s="4" t="s">
        <v>78</v>
      </c>
      <c r="B91" s="13" t="s">
        <v>247</v>
      </c>
      <c r="C91" s="148" t="s">
        <v>407</v>
      </c>
      <c r="D91" s="149"/>
      <c r="E91" s="149"/>
      <c r="F91" s="149"/>
      <c r="G91" s="13" t="s">
        <v>471</v>
      </c>
      <c r="H91" s="80">
        <v>1</v>
      </c>
      <c r="I91" s="20">
        <v>0</v>
      </c>
      <c r="J91" s="20">
        <f t="shared" si="70"/>
        <v>0</v>
      </c>
      <c r="K91" s="20">
        <f t="shared" si="71"/>
        <v>0</v>
      </c>
      <c r="L91" s="20">
        <f t="shared" si="72"/>
        <v>0</v>
      </c>
      <c r="M91" s="31" t="s">
        <v>488</v>
      </c>
      <c r="N91" s="6"/>
      <c r="Z91" s="36">
        <f t="shared" si="73"/>
        <v>0</v>
      </c>
      <c r="AB91" s="36">
        <f t="shared" si="74"/>
        <v>0</v>
      </c>
      <c r="AC91" s="36">
        <f t="shared" si="75"/>
        <v>0</v>
      </c>
      <c r="AD91" s="36">
        <f t="shared" si="76"/>
        <v>0</v>
      </c>
      <c r="AE91" s="36">
        <f t="shared" si="77"/>
        <v>0</v>
      </c>
      <c r="AF91" s="36">
        <f t="shared" si="78"/>
        <v>0</v>
      </c>
      <c r="AG91" s="36">
        <f t="shared" si="79"/>
        <v>0</v>
      </c>
      <c r="AH91" s="36">
        <f t="shared" si="80"/>
        <v>0</v>
      </c>
      <c r="AI91" s="35" t="s">
        <v>498</v>
      </c>
      <c r="AJ91" s="20">
        <f t="shared" si="81"/>
        <v>0</v>
      </c>
      <c r="AK91" s="20">
        <f t="shared" si="82"/>
        <v>0</v>
      </c>
      <c r="AL91" s="20">
        <f t="shared" si="83"/>
        <v>0</v>
      </c>
      <c r="AN91" s="36">
        <v>21</v>
      </c>
      <c r="AO91" s="36">
        <f t="shared" si="84"/>
        <v>0</v>
      </c>
      <c r="AP91" s="36">
        <f t="shared" si="85"/>
        <v>0</v>
      </c>
      <c r="AQ91" s="37" t="s">
        <v>7</v>
      </c>
      <c r="AV91" s="36">
        <f t="shared" si="86"/>
        <v>0</v>
      </c>
      <c r="AW91" s="36">
        <f t="shared" si="87"/>
        <v>0</v>
      </c>
      <c r="AX91" s="36">
        <f t="shared" si="88"/>
        <v>0</v>
      </c>
      <c r="AY91" s="39" t="s">
        <v>506</v>
      </c>
      <c r="AZ91" s="39" t="s">
        <v>514</v>
      </c>
      <c r="BA91" s="35" t="s">
        <v>518</v>
      </c>
      <c r="BC91" s="36">
        <f t="shared" si="89"/>
        <v>0</v>
      </c>
      <c r="BD91" s="36">
        <f t="shared" si="90"/>
        <v>0</v>
      </c>
      <c r="BE91" s="36">
        <v>0</v>
      </c>
      <c r="BF91" s="36">
        <f>91</f>
        <v>91</v>
      </c>
      <c r="BH91" s="20">
        <f t="shared" si="91"/>
        <v>0</v>
      </c>
      <c r="BI91" s="20">
        <f t="shared" si="92"/>
        <v>0</v>
      </c>
      <c r="BJ91" s="20">
        <f t="shared" si="93"/>
        <v>0</v>
      </c>
      <c r="BK91" s="20" t="s">
        <v>524</v>
      </c>
      <c r="BL91" s="36" t="s">
        <v>237</v>
      </c>
    </row>
    <row r="92" spans="1:64" x14ac:dyDescent="0.25">
      <c r="A92" s="4" t="s">
        <v>79</v>
      </c>
      <c r="B92" s="13" t="s">
        <v>248</v>
      </c>
      <c r="C92" s="148" t="s">
        <v>409</v>
      </c>
      <c r="D92" s="149"/>
      <c r="E92" s="149"/>
      <c r="F92" s="149"/>
      <c r="G92" s="13" t="s">
        <v>471</v>
      </c>
      <c r="H92" s="80">
        <v>65</v>
      </c>
      <c r="I92" s="20">
        <v>0</v>
      </c>
      <c r="J92" s="20">
        <f t="shared" si="70"/>
        <v>0</v>
      </c>
      <c r="K92" s="20">
        <f t="shared" si="71"/>
        <v>0</v>
      </c>
      <c r="L92" s="20">
        <f t="shared" si="72"/>
        <v>0</v>
      </c>
      <c r="M92" s="31" t="s">
        <v>488</v>
      </c>
      <c r="N92" s="6"/>
      <c r="Z92" s="36">
        <f t="shared" si="73"/>
        <v>0</v>
      </c>
      <c r="AB92" s="36">
        <f t="shared" si="74"/>
        <v>0</v>
      </c>
      <c r="AC92" s="36">
        <f t="shared" si="75"/>
        <v>0</v>
      </c>
      <c r="AD92" s="36">
        <f t="shared" si="76"/>
        <v>0</v>
      </c>
      <c r="AE92" s="36">
        <f t="shared" si="77"/>
        <v>0</v>
      </c>
      <c r="AF92" s="36">
        <f t="shared" si="78"/>
        <v>0</v>
      </c>
      <c r="AG92" s="36">
        <f t="shared" si="79"/>
        <v>0</v>
      </c>
      <c r="AH92" s="36">
        <f t="shared" si="80"/>
        <v>0</v>
      </c>
      <c r="AI92" s="35" t="s">
        <v>498</v>
      </c>
      <c r="AJ92" s="20">
        <f t="shared" si="81"/>
        <v>0</v>
      </c>
      <c r="AK92" s="20">
        <f t="shared" si="82"/>
        <v>0</v>
      </c>
      <c r="AL92" s="20">
        <f t="shared" si="83"/>
        <v>0</v>
      </c>
      <c r="AN92" s="36">
        <v>21</v>
      </c>
      <c r="AO92" s="36">
        <f t="shared" si="84"/>
        <v>0</v>
      </c>
      <c r="AP92" s="36">
        <f t="shared" si="85"/>
        <v>0</v>
      </c>
      <c r="AQ92" s="37" t="s">
        <v>7</v>
      </c>
      <c r="AV92" s="36">
        <f t="shared" si="86"/>
        <v>0</v>
      </c>
      <c r="AW92" s="36">
        <f t="shared" si="87"/>
        <v>0</v>
      </c>
      <c r="AX92" s="36">
        <f t="shared" si="88"/>
        <v>0</v>
      </c>
      <c r="AY92" s="39" t="s">
        <v>506</v>
      </c>
      <c r="AZ92" s="39" t="s">
        <v>514</v>
      </c>
      <c r="BA92" s="35" t="s">
        <v>518</v>
      </c>
      <c r="BC92" s="36">
        <f t="shared" si="89"/>
        <v>0</v>
      </c>
      <c r="BD92" s="36">
        <f t="shared" si="90"/>
        <v>0</v>
      </c>
      <c r="BE92" s="36">
        <v>0</v>
      </c>
      <c r="BF92" s="36">
        <f>92</f>
        <v>92</v>
      </c>
      <c r="BH92" s="20">
        <f t="shared" si="91"/>
        <v>0</v>
      </c>
      <c r="BI92" s="20">
        <f t="shared" si="92"/>
        <v>0</v>
      </c>
      <c r="BJ92" s="20">
        <f t="shared" si="93"/>
        <v>0</v>
      </c>
      <c r="BK92" s="20" t="s">
        <v>524</v>
      </c>
      <c r="BL92" s="36" t="s">
        <v>237</v>
      </c>
    </row>
    <row r="93" spans="1:64" x14ac:dyDescent="0.25">
      <c r="A93" s="4" t="s">
        <v>80</v>
      </c>
      <c r="B93" s="13" t="s">
        <v>249</v>
      </c>
      <c r="C93" s="148" t="s">
        <v>411</v>
      </c>
      <c r="D93" s="149"/>
      <c r="E93" s="149"/>
      <c r="F93" s="149"/>
      <c r="G93" s="13" t="s">
        <v>471</v>
      </c>
      <c r="H93" s="80">
        <v>3</v>
      </c>
      <c r="I93" s="20">
        <v>0</v>
      </c>
      <c r="J93" s="20">
        <f t="shared" si="70"/>
        <v>0</v>
      </c>
      <c r="K93" s="20">
        <f t="shared" si="71"/>
        <v>0</v>
      </c>
      <c r="L93" s="20">
        <f t="shared" si="72"/>
        <v>0</v>
      </c>
      <c r="M93" s="31" t="s">
        <v>488</v>
      </c>
      <c r="N93" s="6"/>
      <c r="Z93" s="36">
        <f t="shared" si="73"/>
        <v>0</v>
      </c>
      <c r="AB93" s="36">
        <f t="shared" si="74"/>
        <v>0</v>
      </c>
      <c r="AC93" s="36">
        <f t="shared" si="75"/>
        <v>0</v>
      </c>
      <c r="AD93" s="36">
        <f t="shared" si="76"/>
        <v>0</v>
      </c>
      <c r="AE93" s="36">
        <f t="shared" si="77"/>
        <v>0</v>
      </c>
      <c r="AF93" s="36">
        <f t="shared" si="78"/>
        <v>0</v>
      </c>
      <c r="AG93" s="36">
        <f t="shared" si="79"/>
        <v>0</v>
      </c>
      <c r="AH93" s="36">
        <f t="shared" si="80"/>
        <v>0</v>
      </c>
      <c r="AI93" s="35" t="s">
        <v>498</v>
      </c>
      <c r="AJ93" s="20">
        <f t="shared" si="81"/>
        <v>0</v>
      </c>
      <c r="AK93" s="20">
        <f t="shared" si="82"/>
        <v>0</v>
      </c>
      <c r="AL93" s="20">
        <f t="shared" si="83"/>
        <v>0</v>
      </c>
      <c r="AN93" s="36">
        <v>21</v>
      </c>
      <c r="AO93" s="36">
        <f t="shared" si="84"/>
        <v>0</v>
      </c>
      <c r="AP93" s="36">
        <f t="shared" si="85"/>
        <v>0</v>
      </c>
      <c r="AQ93" s="37" t="s">
        <v>7</v>
      </c>
      <c r="AV93" s="36">
        <f t="shared" si="86"/>
        <v>0</v>
      </c>
      <c r="AW93" s="36">
        <f t="shared" si="87"/>
        <v>0</v>
      </c>
      <c r="AX93" s="36">
        <f t="shared" si="88"/>
        <v>0</v>
      </c>
      <c r="AY93" s="39" t="s">
        <v>506</v>
      </c>
      <c r="AZ93" s="39" t="s">
        <v>514</v>
      </c>
      <c r="BA93" s="35" t="s">
        <v>518</v>
      </c>
      <c r="BC93" s="36">
        <f t="shared" si="89"/>
        <v>0</v>
      </c>
      <c r="BD93" s="36">
        <f t="shared" si="90"/>
        <v>0</v>
      </c>
      <c r="BE93" s="36">
        <v>0</v>
      </c>
      <c r="BF93" s="36">
        <f>93</f>
        <v>93</v>
      </c>
      <c r="BH93" s="20">
        <f t="shared" si="91"/>
        <v>0</v>
      </c>
      <c r="BI93" s="20">
        <f t="shared" si="92"/>
        <v>0</v>
      </c>
      <c r="BJ93" s="20">
        <f t="shared" si="93"/>
        <v>0</v>
      </c>
      <c r="BK93" s="20" t="s">
        <v>524</v>
      </c>
      <c r="BL93" s="36" t="s">
        <v>237</v>
      </c>
    </row>
    <row r="94" spans="1:64" x14ac:dyDescent="0.25">
      <c r="A94" s="4" t="s">
        <v>81</v>
      </c>
      <c r="B94" s="13" t="s">
        <v>250</v>
      </c>
      <c r="C94" s="148" t="s">
        <v>413</v>
      </c>
      <c r="D94" s="149"/>
      <c r="E94" s="149"/>
      <c r="F94" s="149"/>
      <c r="G94" s="13" t="s">
        <v>471</v>
      </c>
      <c r="H94" s="80">
        <v>155</v>
      </c>
      <c r="I94" s="20">
        <v>0</v>
      </c>
      <c r="J94" s="20">
        <f t="shared" si="70"/>
        <v>0</v>
      </c>
      <c r="K94" s="20">
        <f t="shared" si="71"/>
        <v>0</v>
      </c>
      <c r="L94" s="20">
        <f t="shared" si="72"/>
        <v>0</v>
      </c>
      <c r="M94" s="31" t="s">
        <v>488</v>
      </c>
      <c r="N94" s="6"/>
      <c r="Z94" s="36">
        <f t="shared" si="73"/>
        <v>0</v>
      </c>
      <c r="AB94" s="36">
        <f t="shared" si="74"/>
        <v>0</v>
      </c>
      <c r="AC94" s="36">
        <f t="shared" si="75"/>
        <v>0</v>
      </c>
      <c r="AD94" s="36">
        <f t="shared" si="76"/>
        <v>0</v>
      </c>
      <c r="AE94" s="36">
        <f t="shared" si="77"/>
        <v>0</v>
      </c>
      <c r="AF94" s="36">
        <f t="shared" si="78"/>
        <v>0</v>
      </c>
      <c r="AG94" s="36">
        <f t="shared" si="79"/>
        <v>0</v>
      </c>
      <c r="AH94" s="36">
        <f t="shared" si="80"/>
        <v>0</v>
      </c>
      <c r="AI94" s="35" t="s">
        <v>498</v>
      </c>
      <c r="AJ94" s="20">
        <f t="shared" si="81"/>
        <v>0</v>
      </c>
      <c r="AK94" s="20">
        <f t="shared" si="82"/>
        <v>0</v>
      </c>
      <c r="AL94" s="20">
        <f t="shared" si="83"/>
        <v>0</v>
      </c>
      <c r="AN94" s="36">
        <v>21</v>
      </c>
      <c r="AO94" s="36">
        <f>I94*0</f>
        <v>0</v>
      </c>
      <c r="AP94" s="36">
        <f>I94*(1-0)</f>
        <v>0</v>
      </c>
      <c r="AQ94" s="37" t="s">
        <v>7</v>
      </c>
      <c r="AV94" s="36">
        <f t="shared" si="86"/>
        <v>0</v>
      </c>
      <c r="AW94" s="36">
        <f t="shared" si="87"/>
        <v>0</v>
      </c>
      <c r="AX94" s="36">
        <f t="shared" si="88"/>
        <v>0</v>
      </c>
      <c r="AY94" s="39" t="s">
        <v>506</v>
      </c>
      <c r="AZ94" s="39" t="s">
        <v>514</v>
      </c>
      <c r="BA94" s="35" t="s">
        <v>518</v>
      </c>
      <c r="BC94" s="36">
        <f t="shared" si="89"/>
        <v>0</v>
      </c>
      <c r="BD94" s="36">
        <f t="shared" si="90"/>
        <v>0</v>
      </c>
      <c r="BE94" s="36">
        <v>0</v>
      </c>
      <c r="BF94" s="36">
        <f>94</f>
        <v>94</v>
      </c>
      <c r="BH94" s="20">
        <f t="shared" si="91"/>
        <v>0</v>
      </c>
      <c r="BI94" s="20">
        <f t="shared" si="92"/>
        <v>0</v>
      </c>
      <c r="BJ94" s="20">
        <f t="shared" si="93"/>
        <v>0</v>
      </c>
      <c r="BK94" s="20" t="s">
        <v>524</v>
      </c>
      <c r="BL94" s="36" t="s">
        <v>237</v>
      </c>
    </row>
    <row r="95" spans="1:64" x14ac:dyDescent="0.25">
      <c r="A95" s="4" t="s">
        <v>82</v>
      </c>
      <c r="B95" s="13" t="s">
        <v>251</v>
      </c>
      <c r="C95" s="148" t="s">
        <v>414</v>
      </c>
      <c r="D95" s="149"/>
      <c r="E95" s="149"/>
      <c r="F95" s="149"/>
      <c r="G95" s="13" t="s">
        <v>471</v>
      </c>
      <c r="H95" s="80">
        <v>1</v>
      </c>
      <c r="I95" s="20">
        <v>0</v>
      </c>
      <c r="J95" s="20">
        <f t="shared" si="70"/>
        <v>0</v>
      </c>
      <c r="K95" s="20">
        <f t="shared" si="71"/>
        <v>0</v>
      </c>
      <c r="L95" s="20">
        <f t="shared" si="72"/>
        <v>0</v>
      </c>
      <c r="M95" s="31" t="s">
        <v>488</v>
      </c>
      <c r="N95" s="6"/>
      <c r="Z95" s="36">
        <f t="shared" si="73"/>
        <v>0</v>
      </c>
      <c r="AB95" s="36">
        <f t="shared" si="74"/>
        <v>0</v>
      </c>
      <c r="AC95" s="36">
        <f t="shared" si="75"/>
        <v>0</v>
      </c>
      <c r="AD95" s="36">
        <f t="shared" si="76"/>
        <v>0</v>
      </c>
      <c r="AE95" s="36">
        <f t="shared" si="77"/>
        <v>0</v>
      </c>
      <c r="AF95" s="36">
        <f t="shared" si="78"/>
        <v>0</v>
      </c>
      <c r="AG95" s="36">
        <f t="shared" si="79"/>
        <v>0</v>
      </c>
      <c r="AH95" s="36">
        <f t="shared" si="80"/>
        <v>0</v>
      </c>
      <c r="AI95" s="35" t="s">
        <v>498</v>
      </c>
      <c r="AJ95" s="20">
        <f t="shared" si="81"/>
        <v>0</v>
      </c>
      <c r="AK95" s="20">
        <f t="shared" si="82"/>
        <v>0</v>
      </c>
      <c r="AL95" s="20">
        <f t="shared" si="83"/>
        <v>0</v>
      </c>
      <c r="AN95" s="36">
        <v>21</v>
      </c>
      <c r="AO95" s="36">
        <f>I95*1</f>
        <v>0</v>
      </c>
      <c r="AP95" s="36">
        <f>I95*(1-1)</f>
        <v>0</v>
      </c>
      <c r="AQ95" s="37" t="s">
        <v>7</v>
      </c>
      <c r="AV95" s="36">
        <f t="shared" si="86"/>
        <v>0</v>
      </c>
      <c r="AW95" s="36">
        <f t="shared" si="87"/>
        <v>0</v>
      </c>
      <c r="AX95" s="36">
        <f t="shared" si="88"/>
        <v>0</v>
      </c>
      <c r="AY95" s="39" t="s">
        <v>506</v>
      </c>
      <c r="AZ95" s="39" t="s">
        <v>514</v>
      </c>
      <c r="BA95" s="35" t="s">
        <v>518</v>
      </c>
      <c r="BC95" s="36">
        <f t="shared" si="89"/>
        <v>0</v>
      </c>
      <c r="BD95" s="36">
        <f t="shared" si="90"/>
        <v>0</v>
      </c>
      <c r="BE95" s="36">
        <v>0</v>
      </c>
      <c r="BF95" s="36">
        <f>95</f>
        <v>95</v>
      </c>
      <c r="BH95" s="20">
        <f t="shared" si="91"/>
        <v>0</v>
      </c>
      <c r="BI95" s="20">
        <f t="shared" si="92"/>
        <v>0</v>
      </c>
      <c r="BJ95" s="20">
        <f t="shared" si="93"/>
        <v>0</v>
      </c>
      <c r="BK95" s="20" t="s">
        <v>524</v>
      </c>
      <c r="BL95" s="36" t="s">
        <v>237</v>
      </c>
    </row>
    <row r="96" spans="1:64" x14ac:dyDescent="0.25">
      <c r="A96" s="4" t="s">
        <v>83</v>
      </c>
      <c r="B96" s="13" t="s">
        <v>252</v>
      </c>
      <c r="C96" s="148" t="s">
        <v>415</v>
      </c>
      <c r="D96" s="149"/>
      <c r="E96" s="149"/>
      <c r="F96" s="149"/>
      <c r="G96" s="13" t="s">
        <v>471</v>
      </c>
      <c r="H96" s="80">
        <v>1</v>
      </c>
      <c r="I96" s="20">
        <v>0</v>
      </c>
      <c r="J96" s="20">
        <f t="shared" si="70"/>
        <v>0</v>
      </c>
      <c r="K96" s="20">
        <f t="shared" si="71"/>
        <v>0</v>
      </c>
      <c r="L96" s="20">
        <f t="shared" si="72"/>
        <v>0</v>
      </c>
      <c r="M96" s="31" t="s">
        <v>488</v>
      </c>
      <c r="N96" s="6"/>
      <c r="Z96" s="36">
        <f t="shared" si="73"/>
        <v>0</v>
      </c>
      <c r="AB96" s="36">
        <f t="shared" si="74"/>
        <v>0</v>
      </c>
      <c r="AC96" s="36">
        <f t="shared" si="75"/>
        <v>0</v>
      </c>
      <c r="AD96" s="36">
        <f t="shared" si="76"/>
        <v>0</v>
      </c>
      <c r="AE96" s="36">
        <f t="shared" si="77"/>
        <v>0</v>
      </c>
      <c r="AF96" s="36">
        <f t="shared" si="78"/>
        <v>0</v>
      </c>
      <c r="AG96" s="36">
        <f t="shared" si="79"/>
        <v>0</v>
      </c>
      <c r="AH96" s="36">
        <f t="shared" si="80"/>
        <v>0</v>
      </c>
      <c r="AI96" s="35" t="s">
        <v>498</v>
      </c>
      <c r="AJ96" s="20">
        <f t="shared" si="81"/>
        <v>0</v>
      </c>
      <c r="AK96" s="20">
        <f t="shared" si="82"/>
        <v>0</v>
      </c>
      <c r="AL96" s="20">
        <f t="shared" si="83"/>
        <v>0</v>
      </c>
      <c r="AN96" s="36">
        <v>21</v>
      </c>
      <c r="AO96" s="36">
        <f>I96*0</f>
        <v>0</v>
      </c>
      <c r="AP96" s="36">
        <f>I96*(1-0)</f>
        <v>0</v>
      </c>
      <c r="AQ96" s="37" t="s">
        <v>7</v>
      </c>
      <c r="AV96" s="36">
        <f t="shared" si="86"/>
        <v>0</v>
      </c>
      <c r="AW96" s="36">
        <f t="shared" si="87"/>
        <v>0</v>
      </c>
      <c r="AX96" s="36">
        <f t="shared" si="88"/>
        <v>0</v>
      </c>
      <c r="AY96" s="39" t="s">
        <v>506</v>
      </c>
      <c r="AZ96" s="39" t="s">
        <v>514</v>
      </c>
      <c r="BA96" s="35" t="s">
        <v>518</v>
      </c>
      <c r="BC96" s="36">
        <f t="shared" si="89"/>
        <v>0</v>
      </c>
      <c r="BD96" s="36">
        <f t="shared" si="90"/>
        <v>0</v>
      </c>
      <c r="BE96" s="36">
        <v>0</v>
      </c>
      <c r="BF96" s="36">
        <f>96</f>
        <v>96</v>
      </c>
      <c r="BH96" s="20">
        <f t="shared" si="91"/>
        <v>0</v>
      </c>
      <c r="BI96" s="20">
        <f t="shared" si="92"/>
        <v>0</v>
      </c>
      <c r="BJ96" s="20">
        <f t="shared" si="93"/>
        <v>0</v>
      </c>
      <c r="BK96" s="20" t="s">
        <v>524</v>
      </c>
      <c r="BL96" s="36" t="s">
        <v>237</v>
      </c>
    </row>
    <row r="97" spans="1:64" x14ac:dyDescent="0.25">
      <c r="A97" s="4" t="s">
        <v>84</v>
      </c>
      <c r="B97" s="13" t="s">
        <v>253</v>
      </c>
      <c r="C97" s="148" t="s">
        <v>416</v>
      </c>
      <c r="D97" s="149"/>
      <c r="E97" s="149"/>
      <c r="F97" s="149"/>
      <c r="G97" s="13" t="s">
        <v>471</v>
      </c>
      <c r="H97" s="80">
        <v>1</v>
      </c>
      <c r="I97" s="20">
        <v>0</v>
      </c>
      <c r="J97" s="20">
        <f t="shared" si="70"/>
        <v>0</v>
      </c>
      <c r="K97" s="20">
        <f t="shared" si="71"/>
        <v>0</v>
      </c>
      <c r="L97" s="20">
        <f t="shared" si="72"/>
        <v>0</v>
      </c>
      <c r="M97" s="31" t="s">
        <v>488</v>
      </c>
      <c r="N97" s="6"/>
      <c r="Z97" s="36">
        <f t="shared" si="73"/>
        <v>0</v>
      </c>
      <c r="AB97" s="36">
        <f t="shared" si="74"/>
        <v>0</v>
      </c>
      <c r="AC97" s="36">
        <f t="shared" si="75"/>
        <v>0</v>
      </c>
      <c r="AD97" s="36">
        <f t="shared" si="76"/>
        <v>0</v>
      </c>
      <c r="AE97" s="36">
        <f t="shared" si="77"/>
        <v>0</v>
      </c>
      <c r="AF97" s="36">
        <f t="shared" si="78"/>
        <v>0</v>
      </c>
      <c r="AG97" s="36">
        <f t="shared" si="79"/>
        <v>0</v>
      </c>
      <c r="AH97" s="36">
        <f t="shared" si="80"/>
        <v>0</v>
      </c>
      <c r="AI97" s="35" t="s">
        <v>498</v>
      </c>
      <c r="AJ97" s="20">
        <f t="shared" si="81"/>
        <v>0</v>
      </c>
      <c r="AK97" s="20">
        <f t="shared" si="82"/>
        <v>0</v>
      </c>
      <c r="AL97" s="20">
        <f t="shared" si="83"/>
        <v>0</v>
      </c>
      <c r="AN97" s="36">
        <v>21</v>
      </c>
      <c r="AO97" s="36">
        <f>I97*0</f>
        <v>0</v>
      </c>
      <c r="AP97" s="36">
        <f>I97*(1-0)</f>
        <v>0</v>
      </c>
      <c r="AQ97" s="37" t="s">
        <v>7</v>
      </c>
      <c r="AV97" s="36">
        <f t="shared" si="86"/>
        <v>0</v>
      </c>
      <c r="AW97" s="36">
        <f t="shared" si="87"/>
        <v>0</v>
      </c>
      <c r="AX97" s="36">
        <f t="shared" si="88"/>
        <v>0</v>
      </c>
      <c r="AY97" s="39" t="s">
        <v>506</v>
      </c>
      <c r="AZ97" s="39" t="s">
        <v>514</v>
      </c>
      <c r="BA97" s="35" t="s">
        <v>518</v>
      </c>
      <c r="BC97" s="36">
        <f t="shared" si="89"/>
        <v>0</v>
      </c>
      <c r="BD97" s="36">
        <f t="shared" si="90"/>
        <v>0</v>
      </c>
      <c r="BE97" s="36">
        <v>0</v>
      </c>
      <c r="BF97" s="36">
        <f>97</f>
        <v>97</v>
      </c>
      <c r="BH97" s="20">
        <f t="shared" si="91"/>
        <v>0</v>
      </c>
      <c r="BI97" s="20">
        <f t="shared" si="92"/>
        <v>0</v>
      </c>
      <c r="BJ97" s="20">
        <f t="shared" si="93"/>
        <v>0</v>
      </c>
      <c r="BK97" s="20" t="s">
        <v>524</v>
      </c>
      <c r="BL97" s="36" t="s">
        <v>237</v>
      </c>
    </row>
    <row r="98" spans="1:64" x14ac:dyDescent="0.25">
      <c r="A98" s="3"/>
      <c r="B98" s="12" t="s">
        <v>254</v>
      </c>
      <c r="C98" s="155" t="s">
        <v>424</v>
      </c>
      <c r="D98" s="156"/>
      <c r="E98" s="156"/>
      <c r="F98" s="156"/>
      <c r="G98" s="18" t="s">
        <v>6</v>
      </c>
      <c r="H98" s="18" t="s">
        <v>6</v>
      </c>
      <c r="I98" s="18" t="s">
        <v>6</v>
      </c>
      <c r="J98" s="41">
        <f>SUM(J99:J118)</f>
        <v>0</v>
      </c>
      <c r="K98" s="41">
        <f>SUM(K99:K118)</f>
        <v>0</v>
      </c>
      <c r="L98" s="41">
        <f>SUM(L99:L118)</f>
        <v>0</v>
      </c>
      <c r="M98" s="30"/>
      <c r="N98" s="6"/>
      <c r="AI98" s="35" t="s">
        <v>498</v>
      </c>
      <c r="AS98" s="41">
        <f>SUM(AJ99:AJ118)</f>
        <v>0</v>
      </c>
      <c r="AT98" s="41">
        <f>SUM(AK99:AK118)</f>
        <v>0</v>
      </c>
      <c r="AU98" s="41">
        <f>SUM(AL99:AL118)</f>
        <v>0</v>
      </c>
    </row>
    <row r="99" spans="1:64" x14ac:dyDescent="0.25">
      <c r="A99" s="4" t="s">
        <v>85</v>
      </c>
      <c r="B99" s="13" t="s">
        <v>255</v>
      </c>
      <c r="C99" s="148" t="s">
        <v>425</v>
      </c>
      <c r="D99" s="149"/>
      <c r="E99" s="149"/>
      <c r="F99" s="149"/>
      <c r="G99" s="13" t="s">
        <v>471</v>
      </c>
      <c r="H99" s="80">
        <v>1</v>
      </c>
      <c r="I99" s="20">
        <v>0</v>
      </c>
      <c r="J99" s="20">
        <f t="shared" ref="J99:J118" si="94">H99*AO99</f>
        <v>0</v>
      </c>
      <c r="K99" s="20">
        <f t="shared" ref="K99:K118" si="95">H99*AP99</f>
        <v>0</v>
      </c>
      <c r="L99" s="20">
        <f t="shared" ref="L99:L118" si="96">H99*I99</f>
        <v>0</v>
      </c>
      <c r="M99" s="31" t="s">
        <v>488</v>
      </c>
      <c r="N99" s="6"/>
      <c r="Z99" s="36">
        <f t="shared" ref="Z99:Z118" si="97">IF(AQ99="5",BJ99,0)</f>
        <v>0</v>
      </c>
      <c r="AB99" s="36">
        <f t="shared" ref="AB99:AB118" si="98">IF(AQ99="1",BH99,0)</f>
        <v>0</v>
      </c>
      <c r="AC99" s="36">
        <f t="shared" ref="AC99:AC118" si="99">IF(AQ99="1",BI99,0)</f>
        <v>0</v>
      </c>
      <c r="AD99" s="36">
        <f t="shared" ref="AD99:AD118" si="100">IF(AQ99="7",BH99,0)</f>
        <v>0</v>
      </c>
      <c r="AE99" s="36">
        <f t="shared" ref="AE99:AE118" si="101">IF(AQ99="7",BI99,0)</f>
        <v>0</v>
      </c>
      <c r="AF99" s="36">
        <f t="shared" ref="AF99:AF118" si="102">IF(AQ99="2",BH99,0)</f>
        <v>0</v>
      </c>
      <c r="AG99" s="36">
        <f t="shared" ref="AG99:AG118" si="103">IF(AQ99="2",BI99,0)</f>
        <v>0</v>
      </c>
      <c r="AH99" s="36">
        <f t="shared" ref="AH99:AH118" si="104">IF(AQ99="0",BJ99,0)</f>
        <v>0</v>
      </c>
      <c r="AI99" s="35" t="s">
        <v>498</v>
      </c>
      <c r="AJ99" s="20">
        <f t="shared" ref="AJ99:AJ118" si="105">IF(AN99=0,L99,0)</f>
        <v>0</v>
      </c>
      <c r="AK99" s="20">
        <f t="shared" ref="AK99:AK118" si="106">IF(AN99=15,L99,0)</f>
        <v>0</v>
      </c>
      <c r="AL99" s="20">
        <f t="shared" ref="AL99:AL118" si="107">IF(AN99=21,L99,0)</f>
        <v>0</v>
      </c>
      <c r="AN99" s="36">
        <v>21</v>
      </c>
      <c r="AO99" s="36">
        <f t="shared" ref="AO99:AO114" si="108">I99*0.588</f>
        <v>0</v>
      </c>
      <c r="AP99" s="36">
        <f t="shared" ref="AP99:AP114" si="109">I99*(1-0.588)</f>
        <v>0</v>
      </c>
      <c r="AQ99" s="37" t="s">
        <v>7</v>
      </c>
      <c r="AV99" s="36">
        <f t="shared" ref="AV99:AV118" si="110">AW99+AX99</f>
        <v>0</v>
      </c>
      <c r="AW99" s="36">
        <f t="shared" ref="AW99:AW118" si="111">H99*AO99</f>
        <v>0</v>
      </c>
      <c r="AX99" s="36">
        <f t="shared" ref="AX99:AX118" si="112">H99*AP99</f>
        <v>0</v>
      </c>
      <c r="AY99" s="39" t="s">
        <v>507</v>
      </c>
      <c r="AZ99" s="39" t="s">
        <v>514</v>
      </c>
      <c r="BA99" s="35" t="s">
        <v>518</v>
      </c>
      <c r="BC99" s="36">
        <f t="shared" ref="BC99:BC118" si="113">AW99+AX99</f>
        <v>0</v>
      </c>
      <c r="BD99" s="36">
        <f t="shared" ref="BD99:BD118" si="114">I99/(100-BE99)*100</f>
        <v>0</v>
      </c>
      <c r="BE99" s="36">
        <v>0</v>
      </c>
      <c r="BF99" s="36">
        <f>99</f>
        <v>99</v>
      </c>
      <c r="BH99" s="20">
        <f t="shared" ref="BH99:BH118" si="115">H99*AO99</f>
        <v>0</v>
      </c>
      <c r="BI99" s="20">
        <f t="shared" ref="BI99:BI118" si="116">H99*AP99</f>
        <v>0</v>
      </c>
      <c r="BJ99" s="20">
        <f t="shared" ref="BJ99:BJ118" si="117">H99*I99</f>
        <v>0</v>
      </c>
      <c r="BK99" s="20" t="s">
        <v>524</v>
      </c>
      <c r="BL99" s="36" t="s">
        <v>254</v>
      </c>
    </row>
    <row r="100" spans="1:64" x14ac:dyDescent="0.25">
      <c r="A100" s="4" t="s">
        <v>86</v>
      </c>
      <c r="B100" s="13" t="s">
        <v>256</v>
      </c>
      <c r="C100" s="148" t="s">
        <v>419</v>
      </c>
      <c r="D100" s="149"/>
      <c r="E100" s="149"/>
      <c r="F100" s="149"/>
      <c r="G100" s="13" t="s">
        <v>471</v>
      </c>
      <c r="H100" s="80">
        <v>1</v>
      </c>
      <c r="I100" s="20">
        <v>0</v>
      </c>
      <c r="J100" s="20">
        <f t="shared" si="94"/>
        <v>0</v>
      </c>
      <c r="K100" s="20">
        <f t="shared" si="95"/>
        <v>0</v>
      </c>
      <c r="L100" s="20">
        <f t="shared" si="96"/>
        <v>0</v>
      </c>
      <c r="M100" s="31" t="s">
        <v>488</v>
      </c>
      <c r="N100" s="6"/>
      <c r="Z100" s="36">
        <f t="shared" si="97"/>
        <v>0</v>
      </c>
      <c r="AB100" s="36">
        <f t="shared" si="98"/>
        <v>0</v>
      </c>
      <c r="AC100" s="36">
        <f t="shared" si="99"/>
        <v>0</v>
      </c>
      <c r="AD100" s="36">
        <f t="shared" si="100"/>
        <v>0</v>
      </c>
      <c r="AE100" s="36">
        <f t="shared" si="101"/>
        <v>0</v>
      </c>
      <c r="AF100" s="36">
        <f t="shared" si="102"/>
        <v>0</v>
      </c>
      <c r="AG100" s="36">
        <f t="shared" si="103"/>
        <v>0</v>
      </c>
      <c r="AH100" s="36">
        <f t="shared" si="104"/>
        <v>0</v>
      </c>
      <c r="AI100" s="35" t="s">
        <v>498</v>
      </c>
      <c r="AJ100" s="20">
        <f t="shared" si="105"/>
        <v>0</v>
      </c>
      <c r="AK100" s="20">
        <f t="shared" si="106"/>
        <v>0</v>
      </c>
      <c r="AL100" s="20">
        <f t="shared" si="107"/>
        <v>0</v>
      </c>
      <c r="AN100" s="36">
        <v>21</v>
      </c>
      <c r="AO100" s="36">
        <f t="shared" si="108"/>
        <v>0</v>
      </c>
      <c r="AP100" s="36">
        <f t="shared" si="109"/>
        <v>0</v>
      </c>
      <c r="AQ100" s="37" t="s">
        <v>7</v>
      </c>
      <c r="AV100" s="36">
        <f t="shared" si="110"/>
        <v>0</v>
      </c>
      <c r="AW100" s="36">
        <f t="shared" si="111"/>
        <v>0</v>
      </c>
      <c r="AX100" s="36">
        <f t="shared" si="112"/>
        <v>0</v>
      </c>
      <c r="AY100" s="39" t="s">
        <v>507</v>
      </c>
      <c r="AZ100" s="39" t="s">
        <v>514</v>
      </c>
      <c r="BA100" s="35" t="s">
        <v>518</v>
      </c>
      <c r="BC100" s="36">
        <f t="shared" si="113"/>
        <v>0</v>
      </c>
      <c r="BD100" s="36">
        <f t="shared" si="114"/>
        <v>0</v>
      </c>
      <c r="BE100" s="36">
        <v>0</v>
      </c>
      <c r="BF100" s="36">
        <f>100</f>
        <v>100</v>
      </c>
      <c r="BH100" s="20">
        <f t="shared" si="115"/>
        <v>0</v>
      </c>
      <c r="BI100" s="20">
        <f t="shared" si="116"/>
        <v>0</v>
      </c>
      <c r="BJ100" s="20">
        <f t="shared" si="117"/>
        <v>0</v>
      </c>
      <c r="BK100" s="20" t="s">
        <v>524</v>
      </c>
      <c r="BL100" s="36" t="s">
        <v>254</v>
      </c>
    </row>
    <row r="101" spans="1:64" x14ac:dyDescent="0.25">
      <c r="A101" s="4" t="s">
        <v>87</v>
      </c>
      <c r="B101" s="13" t="s">
        <v>257</v>
      </c>
      <c r="C101" s="148" t="s">
        <v>420</v>
      </c>
      <c r="D101" s="149"/>
      <c r="E101" s="149"/>
      <c r="F101" s="149"/>
      <c r="G101" s="13" t="s">
        <v>471</v>
      </c>
      <c r="H101" s="80">
        <v>1</v>
      </c>
      <c r="I101" s="20">
        <v>0</v>
      </c>
      <c r="J101" s="20">
        <f t="shared" si="94"/>
        <v>0</v>
      </c>
      <c r="K101" s="20">
        <f t="shared" si="95"/>
        <v>0</v>
      </c>
      <c r="L101" s="20">
        <f t="shared" si="96"/>
        <v>0</v>
      </c>
      <c r="M101" s="31" t="s">
        <v>488</v>
      </c>
      <c r="N101" s="6"/>
      <c r="Z101" s="36">
        <f t="shared" si="97"/>
        <v>0</v>
      </c>
      <c r="AB101" s="36">
        <f t="shared" si="98"/>
        <v>0</v>
      </c>
      <c r="AC101" s="36">
        <f t="shared" si="99"/>
        <v>0</v>
      </c>
      <c r="AD101" s="36">
        <f t="shared" si="100"/>
        <v>0</v>
      </c>
      <c r="AE101" s="36">
        <f t="shared" si="101"/>
        <v>0</v>
      </c>
      <c r="AF101" s="36">
        <f t="shared" si="102"/>
        <v>0</v>
      </c>
      <c r="AG101" s="36">
        <f t="shared" si="103"/>
        <v>0</v>
      </c>
      <c r="AH101" s="36">
        <f t="shared" si="104"/>
        <v>0</v>
      </c>
      <c r="AI101" s="35" t="s">
        <v>498</v>
      </c>
      <c r="AJ101" s="20">
        <f t="shared" si="105"/>
        <v>0</v>
      </c>
      <c r="AK101" s="20">
        <f t="shared" si="106"/>
        <v>0</v>
      </c>
      <c r="AL101" s="20">
        <f t="shared" si="107"/>
        <v>0</v>
      </c>
      <c r="AN101" s="36">
        <v>21</v>
      </c>
      <c r="AO101" s="36">
        <f t="shared" si="108"/>
        <v>0</v>
      </c>
      <c r="AP101" s="36">
        <f t="shared" si="109"/>
        <v>0</v>
      </c>
      <c r="AQ101" s="37" t="s">
        <v>7</v>
      </c>
      <c r="AV101" s="36">
        <f t="shared" si="110"/>
        <v>0</v>
      </c>
      <c r="AW101" s="36">
        <f t="shared" si="111"/>
        <v>0</v>
      </c>
      <c r="AX101" s="36">
        <f t="shared" si="112"/>
        <v>0</v>
      </c>
      <c r="AY101" s="39" t="s">
        <v>507</v>
      </c>
      <c r="AZ101" s="39" t="s">
        <v>514</v>
      </c>
      <c r="BA101" s="35" t="s">
        <v>518</v>
      </c>
      <c r="BC101" s="36">
        <f t="shared" si="113"/>
        <v>0</v>
      </c>
      <c r="BD101" s="36">
        <f t="shared" si="114"/>
        <v>0</v>
      </c>
      <c r="BE101" s="36">
        <v>0</v>
      </c>
      <c r="BF101" s="36">
        <f>101</f>
        <v>101</v>
      </c>
      <c r="BH101" s="20">
        <f t="shared" si="115"/>
        <v>0</v>
      </c>
      <c r="BI101" s="20">
        <f t="shared" si="116"/>
        <v>0</v>
      </c>
      <c r="BJ101" s="20">
        <f t="shared" si="117"/>
        <v>0</v>
      </c>
      <c r="BK101" s="20" t="s">
        <v>524</v>
      </c>
      <c r="BL101" s="36" t="s">
        <v>254</v>
      </c>
    </row>
    <row r="102" spans="1:64" x14ac:dyDescent="0.25">
      <c r="A102" s="4" t="s">
        <v>88</v>
      </c>
      <c r="B102" s="13" t="s">
        <v>258</v>
      </c>
      <c r="C102" s="148" t="s">
        <v>390</v>
      </c>
      <c r="D102" s="149"/>
      <c r="E102" s="149"/>
      <c r="F102" s="149"/>
      <c r="G102" s="13" t="s">
        <v>471</v>
      </c>
      <c r="H102" s="80">
        <v>1</v>
      </c>
      <c r="I102" s="20">
        <v>0</v>
      </c>
      <c r="J102" s="20">
        <f t="shared" si="94"/>
        <v>0</v>
      </c>
      <c r="K102" s="20">
        <f t="shared" si="95"/>
        <v>0</v>
      </c>
      <c r="L102" s="20">
        <f t="shared" si="96"/>
        <v>0</v>
      </c>
      <c r="M102" s="31" t="s">
        <v>488</v>
      </c>
      <c r="N102" s="6"/>
      <c r="Z102" s="36">
        <f t="shared" si="97"/>
        <v>0</v>
      </c>
      <c r="AB102" s="36">
        <f t="shared" si="98"/>
        <v>0</v>
      </c>
      <c r="AC102" s="36">
        <f t="shared" si="99"/>
        <v>0</v>
      </c>
      <c r="AD102" s="36">
        <f t="shared" si="100"/>
        <v>0</v>
      </c>
      <c r="AE102" s="36">
        <f t="shared" si="101"/>
        <v>0</v>
      </c>
      <c r="AF102" s="36">
        <f t="shared" si="102"/>
        <v>0</v>
      </c>
      <c r="AG102" s="36">
        <f t="shared" si="103"/>
        <v>0</v>
      </c>
      <c r="AH102" s="36">
        <f t="shared" si="104"/>
        <v>0</v>
      </c>
      <c r="AI102" s="35" t="s">
        <v>498</v>
      </c>
      <c r="AJ102" s="20">
        <f t="shared" si="105"/>
        <v>0</v>
      </c>
      <c r="AK102" s="20">
        <f t="shared" si="106"/>
        <v>0</v>
      </c>
      <c r="AL102" s="20">
        <f t="shared" si="107"/>
        <v>0</v>
      </c>
      <c r="AN102" s="36">
        <v>21</v>
      </c>
      <c r="AO102" s="36">
        <f t="shared" si="108"/>
        <v>0</v>
      </c>
      <c r="AP102" s="36">
        <f t="shared" si="109"/>
        <v>0</v>
      </c>
      <c r="AQ102" s="37" t="s">
        <v>7</v>
      </c>
      <c r="AV102" s="36">
        <f t="shared" si="110"/>
        <v>0</v>
      </c>
      <c r="AW102" s="36">
        <f t="shared" si="111"/>
        <v>0</v>
      </c>
      <c r="AX102" s="36">
        <f t="shared" si="112"/>
        <v>0</v>
      </c>
      <c r="AY102" s="39" t="s">
        <v>507</v>
      </c>
      <c r="AZ102" s="39" t="s">
        <v>514</v>
      </c>
      <c r="BA102" s="35" t="s">
        <v>518</v>
      </c>
      <c r="BC102" s="36">
        <f t="shared" si="113"/>
        <v>0</v>
      </c>
      <c r="BD102" s="36">
        <f t="shared" si="114"/>
        <v>0</v>
      </c>
      <c r="BE102" s="36">
        <v>0</v>
      </c>
      <c r="BF102" s="36">
        <f>102</f>
        <v>102</v>
      </c>
      <c r="BH102" s="20">
        <f t="shared" si="115"/>
        <v>0</v>
      </c>
      <c r="BI102" s="20">
        <f t="shared" si="116"/>
        <v>0</v>
      </c>
      <c r="BJ102" s="20">
        <f t="shared" si="117"/>
        <v>0</v>
      </c>
      <c r="BK102" s="20" t="s">
        <v>524</v>
      </c>
      <c r="BL102" s="36" t="s">
        <v>254</v>
      </c>
    </row>
    <row r="103" spans="1:64" x14ac:dyDescent="0.25">
      <c r="A103" s="4" t="s">
        <v>89</v>
      </c>
      <c r="B103" s="13" t="s">
        <v>259</v>
      </c>
      <c r="C103" s="148" t="s">
        <v>391</v>
      </c>
      <c r="D103" s="149"/>
      <c r="E103" s="149"/>
      <c r="F103" s="149"/>
      <c r="G103" s="13" t="s">
        <v>471</v>
      </c>
      <c r="H103" s="80">
        <v>1</v>
      </c>
      <c r="I103" s="20">
        <v>0</v>
      </c>
      <c r="J103" s="20">
        <f t="shared" si="94"/>
        <v>0</v>
      </c>
      <c r="K103" s="20">
        <f t="shared" si="95"/>
        <v>0</v>
      </c>
      <c r="L103" s="20">
        <f t="shared" si="96"/>
        <v>0</v>
      </c>
      <c r="M103" s="31" t="s">
        <v>488</v>
      </c>
      <c r="N103" s="6"/>
      <c r="Z103" s="36">
        <f t="shared" si="97"/>
        <v>0</v>
      </c>
      <c r="AB103" s="36">
        <f t="shared" si="98"/>
        <v>0</v>
      </c>
      <c r="AC103" s="36">
        <f t="shared" si="99"/>
        <v>0</v>
      </c>
      <c r="AD103" s="36">
        <f t="shared" si="100"/>
        <v>0</v>
      </c>
      <c r="AE103" s="36">
        <f t="shared" si="101"/>
        <v>0</v>
      </c>
      <c r="AF103" s="36">
        <f t="shared" si="102"/>
        <v>0</v>
      </c>
      <c r="AG103" s="36">
        <f t="shared" si="103"/>
        <v>0</v>
      </c>
      <c r="AH103" s="36">
        <f t="shared" si="104"/>
        <v>0</v>
      </c>
      <c r="AI103" s="35" t="s">
        <v>498</v>
      </c>
      <c r="AJ103" s="20">
        <f t="shared" si="105"/>
        <v>0</v>
      </c>
      <c r="AK103" s="20">
        <f t="shared" si="106"/>
        <v>0</v>
      </c>
      <c r="AL103" s="20">
        <f t="shared" si="107"/>
        <v>0</v>
      </c>
      <c r="AN103" s="36">
        <v>21</v>
      </c>
      <c r="AO103" s="36">
        <f t="shared" si="108"/>
        <v>0</v>
      </c>
      <c r="AP103" s="36">
        <f t="shared" si="109"/>
        <v>0</v>
      </c>
      <c r="AQ103" s="37" t="s">
        <v>7</v>
      </c>
      <c r="AV103" s="36">
        <f t="shared" si="110"/>
        <v>0</v>
      </c>
      <c r="AW103" s="36">
        <f t="shared" si="111"/>
        <v>0</v>
      </c>
      <c r="AX103" s="36">
        <f t="shared" si="112"/>
        <v>0</v>
      </c>
      <c r="AY103" s="39" t="s">
        <v>507</v>
      </c>
      <c r="AZ103" s="39" t="s">
        <v>514</v>
      </c>
      <c r="BA103" s="35" t="s">
        <v>518</v>
      </c>
      <c r="BC103" s="36">
        <f t="shared" si="113"/>
        <v>0</v>
      </c>
      <c r="BD103" s="36">
        <f t="shared" si="114"/>
        <v>0</v>
      </c>
      <c r="BE103" s="36">
        <v>0</v>
      </c>
      <c r="BF103" s="36">
        <f>103</f>
        <v>103</v>
      </c>
      <c r="BH103" s="20">
        <f t="shared" si="115"/>
        <v>0</v>
      </c>
      <c r="BI103" s="20">
        <f t="shared" si="116"/>
        <v>0</v>
      </c>
      <c r="BJ103" s="20">
        <f t="shared" si="117"/>
        <v>0</v>
      </c>
      <c r="BK103" s="20" t="s">
        <v>524</v>
      </c>
      <c r="BL103" s="36" t="s">
        <v>254</v>
      </c>
    </row>
    <row r="104" spans="1:64" x14ac:dyDescent="0.25">
      <c r="A104" s="4" t="s">
        <v>90</v>
      </c>
      <c r="B104" s="13" t="s">
        <v>260</v>
      </c>
      <c r="C104" s="148" t="s">
        <v>426</v>
      </c>
      <c r="D104" s="149"/>
      <c r="E104" s="149"/>
      <c r="F104" s="149"/>
      <c r="G104" s="13" t="s">
        <v>471</v>
      </c>
      <c r="H104" s="80">
        <v>1</v>
      </c>
      <c r="I104" s="20">
        <v>0</v>
      </c>
      <c r="J104" s="20">
        <f t="shared" si="94"/>
        <v>0</v>
      </c>
      <c r="K104" s="20">
        <f t="shared" si="95"/>
        <v>0</v>
      </c>
      <c r="L104" s="20">
        <f t="shared" si="96"/>
        <v>0</v>
      </c>
      <c r="M104" s="31" t="s">
        <v>488</v>
      </c>
      <c r="N104" s="6"/>
      <c r="Z104" s="36">
        <f t="shared" si="97"/>
        <v>0</v>
      </c>
      <c r="AB104" s="36">
        <f t="shared" si="98"/>
        <v>0</v>
      </c>
      <c r="AC104" s="36">
        <f t="shared" si="99"/>
        <v>0</v>
      </c>
      <c r="AD104" s="36">
        <f t="shared" si="100"/>
        <v>0</v>
      </c>
      <c r="AE104" s="36">
        <f t="shared" si="101"/>
        <v>0</v>
      </c>
      <c r="AF104" s="36">
        <f t="shared" si="102"/>
        <v>0</v>
      </c>
      <c r="AG104" s="36">
        <f t="shared" si="103"/>
        <v>0</v>
      </c>
      <c r="AH104" s="36">
        <f t="shared" si="104"/>
        <v>0</v>
      </c>
      <c r="AI104" s="35" t="s">
        <v>498</v>
      </c>
      <c r="AJ104" s="20">
        <f t="shared" si="105"/>
        <v>0</v>
      </c>
      <c r="AK104" s="20">
        <f t="shared" si="106"/>
        <v>0</v>
      </c>
      <c r="AL104" s="20">
        <f t="shared" si="107"/>
        <v>0</v>
      </c>
      <c r="AN104" s="36">
        <v>21</v>
      </c>
      <c r="AO104" s="36">
        <f t="shared" si="108"/>
        <v>0</v>
      </c>
      <c r="AP104" s="36">
        <f t="shared" si="109"/>
        <v>0</v>
      </c>
      <c r="AQ104" s="37" t="s">
        <v>7</v>
      </c>
      <c r="AV104" s="36">
        <f t="shared" si="110"/>
        <v>0</v>
      </c>
      <c r="AW104" s="36">
        <f t="shared" si="111"/>
        <v>0</v>
      </c>
      <c r="AX104" s="36">
        <f t="shared" si="112"/>
        <v>0</v>
      </c>
      <c r="AY104" s="39" t="s">
        <v>507</v>
      </c>
      <c r="AZ104" s="39" t="s">
        <v>514</v>
      </c>
      <c r="BA104" s="35" t="s">
        <v>518</v>
      </c>
      <c r="BC104" s="36">
        <f t="shared" si="113"/>
        <v>0</v>
      </c>
      <c r="BD104" s="36">
        <f t="shared" si="114"/>
        <v>0</v>
      </c>
      <c r="BE104" s="36">
        <v>0</v>
      </c>
      <c r="BF104" s="36">
        <f>104</f>
        <v>104</v>
      </c>
      <c r="BH104" s="20">
        <f t="shared" si="115"/>
        <v>0</v>
      </c>
      <c r="BI104" s="20">
        <f t="shared" si="116"/>
        <v>0</v>
      </c>
      <c r="BJ104" s="20">
        <f t="shared" si="117"/>
        <v>0</v>
      </c>
      <c r="BK104" s="20" t="s">
        <v>524</v>
      </c>
      <c r="BL104" s="36" t="s">
        <v>254</v>
      </c>
    </row>
    <row r="105" spans="1:64" x14ac:dyDescent="0.25">
      <c r="A105" s="4" t="s">
        <v>91</v>
      </c>
      <c r="B105" s="13" t="s">
        <v>261</v>
      </c>
      <c r="C105" s="148" t="s">
        <v>392</v>
      </c>
      <c r="D105" s="149"/>
      <c r="E105" s="149"/>
      <c r="F105" s="149"/>
      <c r="G105" s="13" t="s">
        <v>471</v>
      </c>
      <c r="H105" s="80">
        <v>1</v>
      </c>
      <c r="I105" s="20">
        <v>0</v>
      </c>
      <c r="J105" s="20">
        <f t="shared" si="94"/>
        <v>0</v>
      </c>
      <c r="K105" s="20">
        <f t="shared" si="95"/>
        <v>0</v>
      </c>
      <c r="L105" s="20">
        <f t="shared" si="96"/>
        <v>0</v>
      </c>
      <c r="M105" s="31" t="s">
        <v>488</v>
      </c>
      <c r="N105" s="6"/>
      <c r="Z105" s="36">
        <f t="shared" si="97"/>
        <v>0</v>
      </c>
      <c r="AB105" s="36">
        <f t="shared" si="98"/>
        <v>0</v>
      </c>
      <c r="AC105" s="36">
        <f t="shared" si="99"/>
        <v>0</v>
      </c>
      <c r="AD105" s="36">
        <f t="shared" si="100"/>
        <v>0</v>
      </c>
      <c r="AE105" s="36">
        <f t="shared" si="101"/>
        <v>0</v>
      </c>
      <c r="AF105" s="36">
        <f t="shared" si="102"/>
        <v>0</v>
      </c>
      <c r="AG105" s="36">
        <f t="shared" si="103"/>
        <v>0</v>
      </c>
      <c r="AH105" s="36">
        <f t="shared" si="104"/>
        <v>0</v>
      </c>
      <c r="AI105" s="35" t="s">
        <v>498</v>
      </c>
      <c r="AJ105" s="20">
        <f t="shared" si="105"/>
        <v>0</v>
      </c>
      <c r="AK105" s="20">
        <f t="shared" si="106"/>
        <v>0</v>
      </c>
      <c r="AL105" s="20">
        <f t="shared" si="107"/>
        <v>0</v>
      </c>
      <c r="AN105" s="36">
        <v>21</v>
      </c>
      <c r="AO105" s="36">
        <f t="shared" si="108"/>
        <v>0</v>
      </c>
      <c r="AP105" s="36">
        <f t="shared" si="109"/>
        <v>0</v>
      </c>
      <c r="AQ105" s="37" t="s">
        <v>7</v>
      </c>
      <c r="AV105" s="36">
        <f t="shared" si="110"/>
        <v>0</v>
      </c>
      <c r="AW105" s="36">
        <f t="shared" si="111"/>
        <v>0</v>
      </c>
      <c r="AX105" s="36">
        <f t="shared" si="112"/>
        <v>0</v>
      </c>
      <c r="AY105" s="39" t="s">
        <v>507</v>
      </c>
      <c r="AZ105" s="39" t="s">
        <v>514</v>
      </c>
      <c r="BA105" s="35" t="s">
        <v>518</v>
      </c>
      <c r="BC105" s="36">
        <f t="shared" si="113"/>
        <v>0</v>
      </c>
      <c r="BD105" s="36">
        <f t="shared" si="114"/>
        <v>0</v>
      </c>
      <c r="BE105" s="36">
        <v>0</v>
      </c>
      <c r="BF105" s="36">
        <f>105</f>
        <v>105</v>
      </c>
      <c r="BH105" s="20">
        <f t="shared" si="115"/>
        <v>0</v>
      </c>
      <c r="BI105" s="20">
        <f t="shared" si="116"/>
        <v>0</v>
      </c>
      <c r="BJ105" s="20">
        <f t="shared" si="117"/>
        <v>0</v>
      </c>
      <c r="BK105" s="20" t="s">
        <v>524</v>
      </c>
      <c r="BL105" s="36" t="s">
        <v>254</v>
      </c>
    </row>
    <row r="106" spans="1:64" x14ac:dyDescent="0.25">
      <c r="A106" s="4" t="s">
        <v>92</v>
      </c>
      <c r="B106" s="13" t="s">
        <v>262</v>
      </c>
      <c r="C106" s="148" t="s">
        <v>421</v>
      </c>
      <c r="D106" s="149"/>
      <c r="E106" s="149"/>
      <c r="F106" s="149"/>
      <c r="G106" s="13" t="s">
        <v>471</v>
      </c>
      <c r="H106" s="80">
        <v>10</v>
      </c>
      <c r="I106" s="20">
        <v>0</v>
      </c>
      <c r="J106" s="20">
        <f t="shared" si="94"/>
        <v>0</v>
      </c>
      <c r="K106" s="20">
        <f t="shared" si="95"/>
        <v>0</v>
      </c>
      <c r="L106" s="20">
        <f t="shared" si="96"/>
        <v>0</v>
      </c>
      <c r="M106" s="31" t="s">
        <v>488</v>
      </c>
      <c r="N106" s="6"/>
      <c r="Z106" s="36">
        <f t="shared" si="97"/>
        <v>0</v>
      </c>
      <c r="AB106" s="36">
        <f t="shared" si="98"/>
        <v>0</v>
      </c>
      <c r="AC106" s="36">
        <f t="shared" si="99"/>
        <v>0</v>
      </c>
      <c r="AD106" s="36">
        <f t="shared" si="100"/>
        <v>0</v>
      </c>
      <c r="AE106" s="36">
        <f t="shared" si="101"/>
        <v>0</v>
      </c>
      <c r="AF106" s="36">
        <f t="shared" si="102"/>
        <v>0</v>
      </c>
      <c r="AG106" s="36">
        <f t="shared" si="103"/>
        <v>0</v>
      </c>
      <c r="AH106" s="36">
        <f t="shared" si="104"/>
        <v>0</v>
      </c>
      <c r="AI106" s="35" t="s">
        <v>498</v>
      </c>
      <c r="AJ106" s="20">
        <f t="shared" si="105"/>
        <v>0</v>
      </c>
      <c r="AK106" s="20">
        <f t="shared" si="106"/>
        <v>0</v>
      </c>
      <c r="AL106" s="20">
        <f t="shared" si="107"/>
        <v>0</v>
      </c>
      <c r="AN106" s="36">
        <v>21</v>
      </c>
      <c r="AO106" s="36">
        <f t="shared" si="108"/>
        <v>0</v>
      </c>
      <c r="AP106" s="36">
        <f t="shared" si="109"/>
        <v>0</v>
      </c>
      <c r="AQ106" s="37" t="s">
        <v>7</v>
      </c>
      <c r="AV106" s="36">
        <f t="shared" si="110"/>
        <v>0</v>
      </c>
      <c r="AW106" s="36">
        <f t="shared" si="111"/>
        <v>0</v>
      </c>
      <c r="AX106" s="36">
        <f t="shared" si="112"/>
        <v>0</v>
      </c>
      <c r="AY106" s="39" t="s">
        <v>507</v>
      </c>
      <c r="AZ106" s="39" t="s">
        <v>514</v>
      </c>
      <c r="BA106" s="35" t="s">
        <v>518</v>
      </c>
      <c r="BC106" s="36">
        <f t="shared" si="113"/>
        <v>0</v>
      </c>
      <c r="BD106" s="36">
        <f t="shared" si="114"/>
        <v>0</v>
      </c>
      <c r="BE106" s="36">
        <v>0</v>
      </c>
      <c r="BF106" s="36">
        <f>106</f>
        <v>106</v>
      </c>
      <c r="BH106" s="20">
        <f t="shared" si="115"/>
        <v>0</v>
      </c>
      <c r="BI106" s="20">
        <f t="shared" si="116"/>
        <v>0</v>
      </c>
      <c r="BJ106" s="20">
        <f t="shared" si="117"/>
        <v>0</v>
      </c>
      <c r="BK106" s="20" t="s">
        <v>524</v>
      </c>
      <c r="BL106" s="36" t="s">
        <v>254</v>
      </c>
    </row>
    <row r="107" spans="1:64" x14ac:dyDescent="0.25">
      <c r="A107" s="4" t="s">
        <v>93</v>
      </c>
      <c r="B107" s="13" t="s">
        <v>263</v>
      </c>
      <c r="C107" s="148" t="s">
        <v>394</v>
      </c>
      <c r="D107" s="149"/>
      <c r="E107" s="149"/>
      <c r="F107" s="149"/>
      <c r="G107" s="13" t="s">
        <v>471</v>
      </c>
      <c r="H107" s="80">
        <v>7</v>
      </c>
      <c r="I107" s="20">
        <v>0</v>
      </c>
      <c r="J107" s="20">
        <f t="shared" si="94"/>
        <v>0</v>
      </c>
      <c r="K107" s="20">
        <f t="shared" si="95"/>
        <v>0</v>
      </c>
      <c r="L107" s="20">
        <f t="shared" si="96"/>
        <v>0</v>
      </c>
      <c r="M107" s="31" t="s">
        <v>488</v>
      </c>
      <c r="N107" s="6"/>
      <c r="Z107" s="36">
        <f t="shared" si="97"/>
        <v>0</v>
      </c>
      <c r="AB107" s="36">
        <f t="shared" si="98"/>
        <v>0</v>
      </c>
      <c r="AC107" s="36">
        <f t="shared" si="99"/>
        <v>0</v>
      </c>
      <c r="AD107" s="36">
        <f t="shared" si="100"/>
        <v>0</v>
      </c>
      <c r="AE107" s="36">
        <f t="shared" si="101"/>
        <v>0</v>
      </c>
      <c r="AF107" s="36">
        <f t="shared" si="102"/>
        <v>0</v>
      </c>
      <c r="AG107" s="36">
        <f t="shared" si="103"/>
        <v>0</v>
      </c>
      <c r="AH107" s="36">
        <f t="shared" si="104"/>
        <v>0</v>
      </c>
      <c r="AI107" s="35" t="s">
        <v>498</v>
      </c>
      <c r="AJ107" s="20">
        <f t="shared" si="105"/>
        <v>0</v>
      </c>
      <c r="AK107" s="20">
        <f t="shared" si="106"/>
        <v>0</v>
      </c>
      <c r="AL107" s="20">
        <f t="shared" si="107"/>
        <v>0</v>
      </c>
      <c r="AN107" s="36">
        <v>21</v>
      </c>
      <c r="AO107" s="36">
        <f t="shared" si="108"/>
        <v>0</v>
      </c>
      <c r="AP107" s="36">
        <f t="shared" si="109"/>
        <v>0</v>
      </c>
      <c r="AQ107" s="37" t="s">
        <v>7</v>
      </c>
      <c r="AV107" s="36">
        <f t="shared" si="110"/>
        <v>0</v>
      </c>
      <c r="AW107" s="36">
        <f t="shared" si="111"/>
        <v>0</v>
      </c>
      <c r="AX107" s="36">
        <f t="shared" si="112"/>
        <v>0</v>
      </c>
      <c r="AY107" s="39" t="s">
        <v>507</v>
      </c>
      <c r="AZ107" s="39" t="s">
        <v>514</v>
      </c>
      <c r="BA107" s="35" t="s">
        <v>518</v>
      </c>
      <c r="BC107" s="36">
        <f t="shared" si="113"/>
        <v>0</v>
      </c>
      <c r="BD107" s="36">
        <f t="shared" si="114"/>
        <v>0</v>
      </c>
      <c r="BE107" s="36">
        <v>0</v>
      </c>
      <c r="BF107" s="36">
        <f>107</f>
        <v>107</v>
      </c>
      <c r="BH107" s="20">
        <f t="shared" si="115"/>
        <v>0</v>
      </c>
      <c r="BI107" s="20">
        <f t="shared" si="116"/>
        <v>0</v>
      </c>
      <c r="BJ107" s="20">
        <f t="shared" si="117"/>
        <v>0</v>
      </c>
      <c r="BK107" s="20" t="s">
        <v>524</v>
      </c>
      <c r="BL107" s="36" t="s">
        <v>254</v>
      </c>
    </row>
    <row r="108" spans="1:64" x14ac:dyDescent="0.25">
      <c r="A108" s="4" t="s">
        <v>94</v>
      </c>
      <c r="B108" s="13" t="s">
        <v>264</v>
      </c>
      <c r="C108" s="148" t="s">
        <v>427</v>
      </c>
      <c r="D108" s="149"/>
      <c r="E108" s="149"/>
      <c r="F108" s="149"/>
      <c r="G108" s="13" t="s">
        <v>471</v>
      </c>
      <c r="H108" s="80">
        <v>1</v>
      </c>
      <c r="I108" s="20">
        <v>0</v>
      </c>
      <c r="J108" s="20">
        <f t="shared" si="94"/>
        <v>0</v>
      </c>
      <c r="K108" s="20">
        <f t="shared" si="95"/>
        <v>0</v>
      </c>
      <c r="L108" s="20">
        <f t="shared" si="96"/>
        <v>0</v>
      </c>
      <c r="M108" s="31" t="s">
        <v>488</v>
      </c>
      <c r="N108" s="6"/>
      <c r="Z108" s="36">
        <f t="shared" si="97"/>
        <v>0</v>
      </c>
      <c r="AB108" s="36">
        <f t="shared" si="98"/>
        <v>0</v>
      </c>
      <c r="AC108" s="36">
        <f t="shared" si="99"/>
        <v>0</v>
      </c>
      <c r="AD108" s="36">
        <f t="shared" si="100"/>
        <v>0</v>
      </c>
      <c r="AE108" s="36">
        <f t="shared" si="101"/>
        <v>0</v>
      </c>
      <c r="AF108" s="36">
        <f t="shared" si="102"/>
        <v>0</v>
      </c>
      <c r="AG108" s="36">
        <f t="shared" si="103"/>
        <v>0</v>
      </c>
      <c r="AH108" s="36">
        <f t="shared" si="104"/>
        <v>0</v>
      </c>
      <c r="AI108" s="35" t="s">
        <v>498</v>
      </c>
      <c r="AJ108" s="20">
        <f t="shared" si="105"/>
        <v>0</v>
      </c>
      <c r="AK108" s="20">
        <f t="shared" si="106"/>
        <v>0</v>
      </c>
      <c r="AL108" s="20">
        <f t="shared" si="107"/>
        <v>0</v>
      </c>
      <c r="AN108" s="36">
        <v>21</v>
      </c>
      <c r="AO108" s="36">
        <f t="shared" si="108"/>
        <v>0</v>
      </c>
      <c r="AP108" s="36">
        <f t="shared" si="109"/>
        <v>0</v>
      </c>
      <c r="AQ108" s="37" t="s">
        <v>7</v>
      </c>
      <c r="AV108" s="36">
        <f t="shared" si="110"/>
        <v>0</v>
      </c>
      <c r="AW108" s="36">
        <f t="shared" si="111"/>
        <v>0</v>
      </c>
      <c r="AX108" s="36">
        <f t="shared" si="112"/>
        <v>0</v>
      </c>
      <c r="AY108" s="39" t="s">
        <v>507</v>
      </c>
      <c r="AZ108" s="39" t="s">
        <v>514</v>
      </c>
      <c r="BA108" s="35" t="s">
        <v>518</v>
      </c>
      <c r="BC108" s="36">
        <f t="shared" si="113"/>
        <v>0</v>
      </c>
      <c r="BD108" s="36">
        <f t="shared" si="114"/>
        <v>0</v>
      </c>
      <c r="BE108" s="36">
        <v>0</v>
      </c>
      <c r="BF108" s="36">
        <f>108</f>
        <v>108</v>
      </c>
      <c r="BH108" s="20">
        <f t="shared" si="115"/>
        <v>0</v>
      </c>
      <c r="BI108" s="20">
        <f t="shared" si="116"/>
        <v>0</v>
      </c>
      <c r="BJ108" s="20">
        <f t="shared" si="117"/>
        <v>0</v>
      </c>
      <c r="BK108" s="20" t="s">
        <v>524</v>
      </c>
      <c r="BL108" s="36" t="s">
        <v>254</v>
      </c>
    </row>
    <row r="109" spans="1:64" x14ac:dyDescent="0.25">
      <c r="A109" s="4" t="s">
        <v>95</v>
      </c>
      <c r="B109" s="13" t="s">
        <v>265</v>
      </c>
      <c r="C109" s="148" t="s">
        <v>401</v>
      </c>
      <c r="D109" s="149"/>
      <c r="E109" s="149"/>
      <c r="F109" s="149"/>
      <c r="G109" s="13" t="s">
        <v>471</v>
      </c>
      <c r="H109" s="80">
        <v>1</v>
      </c>
      <c r="I109" s="20">
        <v>0</v>
      </c>
      <c r="J109" s="20">
        <f t="shared" si="94"/>
        <v>0</v>
      </c>
      <c r="K109" s="20">
        <f t="shared" si="95"/>
        <v>0</v>
      </c>
      <c r="L109" s="20">
        <f t="shared" si="96"/>
        <v>0</v>
      </c>
      <c r="M109" s="31" t="s">
        <v>488</v>
      </c>
      <c r="N109" s="6"/>
      <c r="Z109" s="36">
        <f t="shared" si="97"/>
        <v>0</v>
      </c>
      <c r="AB109" s="36">
        <f t="shared" si="98"/>
        <v>0</v>
      </c>
      <c r="AC109" s="36">
        <f t="shared" si="99"/>
        <v>0</v>
      </c>
      <c r="AD109" s="36">
        <f t="shared" si="100"/>
        <v>0</v>
      </c>
      <c r="AE109" s="36">
        <f t="shared" si="101"/>
        <v>0</v>
      </c>
      <c r="AF109" s="36">
        <f t="shared" si="102"/>
        <v>0</v>
      </c>
      <c r="AG109" s="36">
        <f t="shared" si="103"/>
        <v>0</v>
      </c>
      <c r="AH109" s="36">
        <f t="shared" si="104"/>
        <v>0</v>
      </c>
      <c r="AI109" s="35" t="s">
        <v>498</v>
      </c>
      <c r="AJ109" s="20">
        <f t="shared" si="105"/>
        <v>0</v>
      </c>
      <c r="AK109" s="20">
        <f t="shared" si="106"/>
        <v>0</v>
      </c>
      <c r="AL109" s="20">
        <f t="shared" si="107"/>
        <v>0</v>
      </c>
      <c r="AN109" s="36">
        <v>21</v>
      </c>
      <c r="AO109" s="36">
        <f t="shared" si="108"/>
        <v>0</v>
      </c>
      <c r="AP109" s="36">
        <f t="shared" si="109"/>
        <v>0</v>
      </c>
      <c r="AQ109" s="37" t="s">
        <v>7</v>
      </c>
      <c r="AV109" s="36">
        <f t="shared" si="110"/>
        <v>0</v>
      </c>
      <c r="AW109" s="36">
        <f t="shared" si="111"/>
        <v>0</v>
      </c>
      <c r="AX109" s="36">
        <f t="shared" si="112"/>
        <v>0</v>
      </c>
      <c r="AY109" s="39" t="s">
        <v>507</v>
      </c>
      <c r="AZ109" s="39" t="s">
        <v>514</v>
      </c>
      <c r="BA109" s="35" t="s">
        <v>518</v>
      </c>
      <c r="BC109" s="36">
        <f t="shared" si="113"/>
        <v>0</v>
      </c>
      <c r="BD109" s="36">
        <f t="shared" si="114"/>
        <v>0</v>
      </c>
      <c r="BE109" s="36">
        <v>0</v>
      </c>
      <c r="BF109" s="36">
        <f>109</f>
        <v>109</v>
      </c>
      <c r="BH109" s="20">
        <f t="shared" si="115"/>
        <v>0</v>
      </c>
      <c r="BI109" s="20">
        <f t="shared" si="116"/>
        <v>0</v>
      </c>
      <c r="BJ109" s="20">
        <f t="shared" si="117"/>
        <v>0</v>
      </c>
      <c r="BK109" s="20" t="s">
        <v>524</v>
      </c>
      <c r="BL109" s="36" t="s">
        <v>254</v>
      </c>
    </row>
    <row r="110" spans="1:64" x14ac:dyDescent="0.25">
      <c r="A110" s="4" t="s">
        <v>96</v>
      </c>
      <c r="B110" s="13" t="s">
        <v>266</v>
      </c>
      <c r="C110" s="148" t="s">
        <v>402</v>
      </c>
      <c r="D110" s="149"/>
      <c r="E110" s="149"/>
      <c r="F110" s="149"/>
      <c r="G110" s="13" t="s">
        <v>471</v>
      </c>
      <c r="H110" s="80">
        <v>1</v>
      </c>
      <c r="I110" s="20">
        <v>0</v>
      </c>
      <c r="J110" s="20">
        <f t="shared" si="94"/>
        <v>0</v>
      </c>
      <c r="K110" s="20">
        <f t="shared" si="95"/>
        <v>0</v>
      </c>
      <c r="L110" s="20">
        <f t="shared" si="96"/>
        <v>0</v>
      </c>
      <c r="M110" s="31" t="s">
        <v>488</v>
      </c>
      <c r="N110" s="6"/>
      <c r="Z110" s="36">
        <f t="shared" si="97"/>
        <v>0</v>
      </c>
      <c r="AB110" s="36">
        <f t="shared" si="98"/>
        <v>0</v>
      </c>
      <c r="AC110" s="36">
        <f t="shared" si="99"/>
        <v>0</v>
      </c>
      <c r="AD110" s="36">
        <f t="shared" si="100"/>
        <v>0</v>
      </c>
      <c r="AE110" s="36">
        <f t="shared" si="101"/>
        <v>0</v>
      </c>
      <c r="AF110" s="36">
        <f t="shared" si="102"/>
        <v>0</v>
      </c>
      <c r="AG110" s="36">
        <f t="shared" si="103"/>
        <v>0</v>
      </c>
      <c r="AH110" s="36">
        <f t="shared" si="104"/>
        <v>0</v>
      </c>
      <c r="AI110" s="35" t="s">
        <v>498</v>
      </c>
      <c r="AJ110" s="20">
        <f t="shared" si="105"/>
        <v>0</v>
      </c>
      <c r="AK110" s="20">
        <f t="shared" si="106"/>
        <v>0</v>
      </c>
      <c r="AL110" s="20">
        <f t="shared" si="107"/>
        <v>0</v>
      </c>
      <c r="AN110" s="36">
        <v>21</v>
      </c>
      <c r="AO110" s="36">
        <f t="shared" si="108"/>
        <v>0</v>
      </c>
      <c r="AP110" s="36">
        <f t="shared" si="109"/>
        <v>0</v>
      </c>
      <c r="AQ110" s="37" t="s">
        <v>7</v>
      </c>
      <c r="AV110" s="36">
        <f t="shared" si="110"/>
        <v>0</v>
      </c>
      <c r="AW110" s="36">
        <f t="shared" si="111"/>
        <v>0</v>
      </c>
      <c r="AX110" s="36">
        <f t="shared" si="112"/>
        <v>0</v>
      </c>
      <c r="AY110" s="39" t="s">
        <v>507</v>
      </c>
      <c r="AZ110" s="39" t="s">
        <v>514</v>
      </c>
      <c r="BA110" s="35" t="s">
        <v>518</v>
      </c>
      <c r="BC110" s="36">
        <f t="shared" si="113"/>
        <v>0</v>
      </c>
      <c r="BD110" s="36">
        <f t="shared" si="114"/>
        <v>0</v>
      </c>
      <c r="BE110" s="36">
        <v>0</v>
      </c>
      <c r="BF110" s="36">
        <f>110</f>
        <v>110</v>
      </c>
      <c r="BH110" s="20">
        <f t="shared" si="115"/>
        <v>0</v>
      </c>
      <c r="BI110" s="20">
        <f t="shared" si="116"/>
        <v>0</v>
      </c>
      <c r="BJ110" s="20">
        <f t="shared" si="117"/>
        <v>0</v>
      </c>
      <c r="BK110" s="20" t="s">
        <v>524</v>
      </c>
      <c r="BL110" s="36" t="s">
        <v>254</v>
      </c>
    </row>
    <row r="111" spans="1:64" x14ac:dyDescent="0.25">
      <c r="A111" s="4" t="s">
        <v>97</v>
      </c>
      <c r="B111" s="13" t="s">
        <v>267</v>
      </c>
      <c r="C111" s="148" t="s">
        <v>407</v>
      </c>
      <c r="D111" s="149"/>
      <c r="E111" s="149"/>
      <c r="F111" s="149"/>
      <c r="G111" s="13" t="s">
        <v>471</v>
      </c>
      <c r="H111" s="80">
        <v>1</v>
      </c>
      <c r="I111" s="20">
        <v>0</v>
      </c>
      <c r="J111" s="20">
        <f t="shared" si="94"/>
        <v>0</v>
      </c>
      <c r="K111" s="20">
        <f t="shared" si="95"/>
        <v>0</v>
      </c>
      <c r="L111" s="20">
        <f t="shared" si="96"/>
        <v>0</v>
      </c>
      <c r="M111" s="31" t="s">
        <v>488</v>
      </c>
      <c r="N111" s="6"/>
      <c r="Z111" s="36">
        <f t="shared" si="97"/>
        <v>0</v>
      </c>
      <c r="AB111" s="36">
        <f t="shared" si="98"/>
        <v>0</v>
      </c>
      <c r="AC111" s="36">
        <f t="shared" si="99"/>
        <v>0</v>
      </c>
      <c r="AD111" s="36">
        <f t="shared" si="100"/>
        <v>0</v>
      </c>
      <c r="AE111" s="36">
        <f t="shared" si="101"/>
        <v>0</v>
      </c>
      <c r="AF111" s="36">
        <f t="shared" si="102"/>
        <v>0</v>
      </c>
      <c r="AG111" s="36">
        <f t="shared" si="103"/>
        <v>0</v>
      </c>
      <c r="AH111" s="36">
        <f t="shared" si="104"/>
        <v>0</v>
      </c>
      <c r="AI111" s="35" t="s">
        <v>498</v>
      </c>
      <c r="AJ111" s="20">
        <f t="shared" si="105"/>
        <v>0</v>
      </c>
      <c r="AK111" s="20">
        <f t="shared" si="106"/>
        <v>0</v>
      </c>
      <c r="AL111" s="20">
        <f t="shared" si="107"/>
        <v>0</v>
      </c>
      <c r="AN111" s="36">
        <v>21</v>
      </c>
      <c r="AO111" s="36">
        <f t="shared" si="108"/>
        <v>0</v>
      </c>
      <c r="AP111" s="36">
        <f t="shared" si="109"/>
        <v>0</v>
      </c>
      <c r="AQ111" s="37" t="s">
        <v>7</v>
      </c>
      <c r="AV111" s="36">
        <f t="shared" si="110"/>
        <v>0</v>
      </c>
      <c r="AW111" s="36">
        <f t="shared" si="111"/>
        <v>0</v>
      </c>
      <c r="AX111" s="36">
        <f t="shared" si="112"/>
        <v>0</v>
      </c>
      <c r="AY111" s="39" t="s">
        <v>507</v>
      </c>
      <c r="AZ111" s="39" t="s">
        <v>514</v>
      </c>
      <c r="BA111" s="35" t="s">
        <v>518</v>
      </c>
      <c r="BC111" s="36">
        <f t="shared" si="113"/>
        <v>0</v>
      </c>
      <c r="BD111" s="36">
        <f t="shared" si="114"/>
        <v>0</v>
      </c>
      <c r="BE111" s="36">
        <v>0</v>
      </c>
      <c r="BF111" s="36">
        <f>111</f>
        <v>111</v>
      </c>
      <c r="BH111" s="20">
        <f t="shared" si="115"/>
        <v>0</v>
      </c>
      <c r="BI111" s="20">
        <f t="shared" si="116"/>
        <v>0</v>
      </c>
      <c r="BJ111" s="20">
        <f t="shared" si="117"/>
        <v>0</v>
      </c>
      <c r="BK111" s="20" t="s">
        <v>524</v>
      </c>
      <c r="BL111" s="36" t="s">
        <v>254</v>
      </c>
    </row>
    <row r="112" spans="1:64" x14ac:dyDescent="0.25">
      <c r="A112" s="4" t="s">
        <v>98</v>
      </c>
      <c r="B112" s="13" t="s">
        <v>268</v>
      </c>
      <c r="C112" s="148" t="s">
        <v>409</v>
      </c>
      <c r="D112" s="149"/>
      <c r="E112" s="149"/>
      <c r="F112" s="149"/>
      <c r="G112" s="13" t="s">
        <v>471</v>
      </c>
      <c r="H112" s="80">
        <v>35</v>
      </c>
      <c r="I112" s="20">
        <v>0</v>
      </c>
      <c r="J112" s="20">
        <f t="shared" si="94"/>
        <v>0</v>
      </c>
      <c r="K112" s="20">
        <f t="shared" si="95"/>
        <v>0</v>
      </c>
      <c r="L112" s="20">
        <f t="shared" si="96"/>
        <v>0</v>
      </c>
      <c r="M112" s="31" t="s">
        <v>488</v>
      </c>
      <c r="N112" s="6"/>
      <c r="Z112" s="36">
        <f t="shared" si="97"/>
        <v>0</v>
      </c>
      <c r="AB112" s="36">
        <f t="shared" si="98"/>
        <v>0</v>
      </c>
      <c r="AC112" s="36">
        <f t="shared" si="99"/>
        <v>0</v>
      </c>
      <c r="AD112" s="36">
        <f t="shared" si="100"/>
        <v>0</v>
      </c>
      <c r="AE112" s="36">
        <f t="shared" si="101"/>
        <v>0</v>
      </c>
      <c r="AF112" s="36">
        <f t="shared" si="102"/>
        <v>0</v>
      </c>
      <c r="AG112" s="36">
        <f t="shared" si="103"/>
        <v>0</v>
      </c>
      <c r="AH112" s="36">
        <f t="shared" si="104"/>
        <v>0</v>
      </c>
      <c r="AI112" s="35" t="s">
        <v>498</v>
      </c>
      <c r="AJ112" s="20">
        <f t="shared" si="105"/>
        <v>0</v>
      </c>
      <c r="AK112" s="20">
        <f t="shared" si="106"/>
        <v>0</v>
      </c>
      <c r="AL112" s="20">
        <f t="shared" si="107"/>
        <v>0</v>
      </c>
      <c r="AN112" s="36">
        <v>21</v>
      </c>
      <c r="AO112" s="36">
        <f t="shared" si="108"/>
        <v>0</v>
      </c>
      <c r="AP112" s="36">
        <f t="shared" si="109"/>
        <v>0</v>
      </c>
      <c r="AQ112" s="37" t="s">
        <v>7</v>
      </c>
      <c r="AV112" s="36">
        <f t="shared" si="110"/>
        <v>0</v>
      </c>
      <c r="AW112" s="36">
        <f t="shared" si="111"/>
        <v>0</v>
      </c>
      <c r="AX112" s="36">
        <f t="shared" si="112"/>
        <v>0</v>
      </c>
      <c r="AY112" s="39" t="s">
        <v>507</v>
      </c>
      <c r="AZ112" s="39" t="s">
        <v>514</v>
      </c>
      <c r="BA112" s="35" t="s">
        <v>518</v>
      </c>
      <c r="BC112" s="36">
        <f t="shared" si="113"/>
        <v>0</v>
      </c>
      <c r="BD112" s="36">
        <f t="shared" si="114"/>
        <v>0</v>
      </c>
      <c r="BE112" s="36">
        <v>0</v>
      </c>
      <c r="BF112" s="36">
        <f>112</f>
        <v>112</v>
      </c>
      <c r="BH112" s="20">
        <f t="shared" si="115"/>
        <v>0</v>
      </c>
      <c r="BI112" s="20">
        <f t="shared" si="116"/>
        <v>0</v>
      </c>
      <c r="BJ112" s="20">
        <f t="shared" si="117"/>
        <v>0</v>
      </c>
      <c r="BK112" s="20" t="s">
        <v>524</v>
      </c>
      <c r="BL112" s="36" t="s">
        <v>254</v>
      </c>
    </row>
    <row r="113" spans="1:64" x14ac:dyDescent="0.25">
      <c r="A113" s="4" t="s">
        <v>99</v>
      </c>
      <c r="B113" s="13" t="s">
        <v>269</v>
      </c>
      <c r="C113" s="148" t="s">
        <v>410</v>
      </c>
      <c r="D113" s="149"/>
      <c r="E113" s="149"/>
      <c r="F113" s="149"/>
      <c r="G113" s="13" t="s">
        <v>471</v>
      </c>
      <c r="H113" s="80">
        <v>3</v>
      </c>
      <c r="I113" s="20">
        <v>0</v>
      </c>
      <c r="J113" s="20">
        <f t="shared" si="94"/>
        <v>0</v>
      </c>
      <c r="K113" s="20">
        <f t="shared" si="95"/>
        <v>0</v>
      </c>
      <c r="L113" s="20">
        <f t="shared" si="96"/>
        <v>0</v>
      </c>
      <c r="M113" s="31" t="s">
        <v>488</v>
      </c>
      <c r="N113" s="6"/>
      <c r="Z113" s="36">
        <f t="shared" si="97"/>
        <v>0</v>
      </c>
      <c r="AB113" s="36">
        <f t="shared" si="98"/>
        <v>0</v>
      </c>
      <c r="AC113" s="36">
        <f t="shared" si="99"/>
        <v>0</v>
      </c>
      <c r="AD113" s="36">
        <f t="shared" si="100"/>
        <v>0</v>
      </c>
      <c r="AE113" s="36">
        <f t="shared" si="101"/>
        <v>0</v>
      </c>
      <c r="AF113" s="36">
        <f t="shared" si="102"/>
        <v>0</v>
      </c>
      <c r="AG113" s="36">
        <f t="shared" si="103"/>
        <v>0</v>
      </c>
      <c r="AH113" s="36">
        <f t="shared" si="104"/>
        <v>0</v>
      </c>
      <c r="AI113" s="35" t="s">
        <v>498</v>
      </c>
      <c r="AJ113" s="20">
        <f t="shared" si="105"/>
        <v>0</v>
      </c>
      <c r="AK113" s="20">
        <f t="shared" si="106"/>
        <v>0</v>
      </c>
      <c r="AL113" s="20">
        <f t="shared" si="107"/>
        <v>0</v>
      </c>
      <c r="AN113" s="36">
        <v>21</v>
      </c>
      <c r="AO113" s="36">
        <f t="shared" si="108"/>
        <v>0</v>
      </c>
      <c r="AP113" s="36">
        <f t="shared" si="109"/>
        <v>0</v>
      </c>
      <c r="AQ113" s="37" t="s">
        <v>7</v>
      </c>
      <c r="AV113" s="36">
        <f t="shared" si="110"/>
        <v>0</v>
      </c>
      <c r="AW113" s="36">
        <f t="shared" si="111"/>
        <v>0</v>
      </c>
      <c r="AX113" s="36">
        <f t="shared" si="112"/>
        <v>0</v>
      </c>
      <c r="AY113" s="39" t="s">
        <v>507</v>
      </c>
      <c r="AZ113" s="39" t="s">
        <v>514</v>
      </c>
      <c r="BA113" s="35" t="s">
        <v>518</v>
      </c>
      <c r="BC113" s="36">
        <f t="shared" si="113"/>
        <v>0</v>
      </c>
      <c r="BD113" s="36">
        <f t="shared" si="114"/>
        <v>0</v>
      </c>
      <c r="BE113" s="36">
        <v>0</v>
      </c>
      <c r="BF113" s="36">
        <f>113</f>
        <v>113</v>
      </c>
      <c r="BH113" s="20">
        <f t="shared" si="115"/>
        <v>0</v>
      </c>
      <c r="BI113" s="20">
        <f t="shared" si="116"/>
        <v>0</v>
      </c>
      <c r="BJ113" s="20">
        <f t="shared" si="117"/>
        <v>0</v>
      </c>
      <c r="BK113" s="20" t="s">
        <v>524</v>
      </c>
      <c r="BL113" s="36" t="s">
        <v>254</v>
      </c>
    </row>
    <row r="114" spans="1:64" x14ac:dyDescent="0.25">
      <c r="A114" s="4" t="s">
        <v>100</v>
      </c>
      <c r="B114" s="13" t="s">
        <v>270</v>
      </c>
      <c r="C114" s="148" t="s">
        <v>411</v>
      </c>
      <c r="D114" s="149"/>
      <c r="E114" s="149"/>
      <c r="F114" s="149"/>
      <c r="G114" s="13" t="s">
        <v>471</v>
      </c>
      <c r="H114" s="80">
        <v>3</v>
      </c>
      <c r="I114" s="20">
        <v>0</v>
      </c>
      <c r="J114" s="20">
        <f t="shared" si="94"/>
        <v>0</v>
      </c>
      <c r="K114" s="20">
        <f t="shared" si="95"/>
        <v>0</v>
      </c>
      <c r="L114" s="20">
        <f t="shared" si="96"/>
        <v>0</v>
      </c>
      <c r="M114" s="31" t="s">
        <v>488</v>
      </c>
      <c r="N114" s="6"/>
      <c r="Z114" s="36">
        <f t="shared" si="97"/>
        <v>0</v>
      </c>
      <c r="AB114" s="36">
        <f t="shared" si="98"/>
        <v>0</v>
      </c>
      <c r="AC114" s="36">
        <f t="shared" si="99"/>
        <v>0</v>
      </c>
      <c r="AD114" s="36">
        <f t="shared" si="100"/>
        <v>0</v>
      </c>
      <c r="AE114" s="36">
        <f t="shared" si="101"/>
        <v>0</v>
      </c>
      <c r="AF114" s="36">
        <f t="shared" si="102"/>
        <v>0</v>
      </c>
      <c r="AG114" s="36">
        <f t="shared" si="103"/>
        <v>0</v>
      </c>
      <c r="AH114" s="36">
        <f t="shared" si="104"/>
        <v>0</v>
      </c>
      <c r="AI114" s="35" t="s">
        <v>498</v>
      </c>
      <c r="AJ114" s="20">
        <f t="shared" si="105"/>
        <v>0</v>
      </c>
      <c r="AK114" s="20">
        <f t="shared" si="106"/>
        <v>0</v>
      </c>
      <c r="AL114" s="20">
        <f t="shared" si="107"/>
        <v>0</v>
      </c>
      <c r="AN114" s="36">
        <v>21</v>
      </c>
      <c r="AO114" s="36">
        <f t="shared" si="108"/>
        <v>0</v>
      </c>
      <c r="AP114" s="36">
        <f t="shared" si="109"/>
        <v>0</v>
      </c>
      <c r="AQ114" s="37" t="s">
        <v>7</v>
      </c>
      <c r="AV114" s="36">
        <f t="shared" si="110"/>
        <v>0</v>
      </c>
      <c r="AW114" s="36">
        <f t="shared" si="111"/>
        <v>0</v>
      </c>
      <c r="AX114" s="36">
        <f t="shared" si="112"/>
        <v>0</v>
      </c>
      <c r="AY114" s="39" t="s">
        <v>507</v>
      </c>
      <c r="AZ114" s="39" t="s">
        <v>514</v>
      </c>
      <c r="BA114" s="35" t="s">
        <v>518</v>
      </c>
      <c r="BC114" s="36">
        <f t="shared" si="113"/>
        <v>0</v>
      </c>
      <c r="BD114" s="36">
        <f t="shared" si="114"/>
        <v>0</v>
      </c>
      <c r="BE114" s="36">
        <v>0</v>
      </c>
      <c r="BF114" s="36">
        <f>114</f>
        <v>114</v>
      </c>
      <c r="BH114" s="20">
        <f t="shared" si="115"/>
        <v>0</v>
      </c>
      <c r="BI114" s="20">
        <f t="shared" si="116"/>
        <v>0</v>
      </c>
      <c r="BJ114" s="20">
        <f t="shared" si="117"/>
        <v>0</v>
      </c>
      <c r="BK114" s="20" t="s">
        <v>524</v>
      </c>
      <c r="BL114" s="36" t="s">
        <v>254</v>
      </c>
    </row>
    <row r="115" spans="1:64" x14ac:dyDescent="0.25">
      <c r="A115" s="4" t="s">
        <v>101</v>
      </c>
      <c r="B115" s="13" t="s">
        <v>271</v>
      </c>
      <c r="C115" s="148" t="s">
        <v>413</v>
      </c>
      <c r="D115" s="149"/>
      <c r="E115" s="149"/>
      <c r="F115" s="149"/>
      <c r="G115" s="13" t="s">
        <v>471</v>
      </c>
      <c r="H115" s="80">
        <v>90</v>
      </c>
      <c r="I115" s="20">
        <v>0</v>
      </c>
      <c r="J115" s="20">
        <f t="shared" si="94"/>
        <v>0</v>
      </c>
      <c r="K115" s="20">
        <f t="shared" si="95"/>
        <v>0</v>
      </c>
      <c r="L115" s="20">
        <f t="shared" si="96"/>
        <v>0</v>
      </c>
      <c r="M115" s="31" t="s">
        <v>488</v>
      </c>
      <c r="N115" s="6"/>
      <c r="Z115" s="36">
        <f t="shared" si="97"/>
        <v>0</v>
      </c>
      <c r="AB115" s="36">
        <f t="shared" si="98"/>
        <v>0</v>
      </c>
      <c r="AC115" s="36">
        <f t="shared" si="99"/>
        <v>0</v>
      </c>
      <c r="AD115" s="36">
        <f t="shared" si="100"/>
        <v>0</v>
      </c>
      <c r="AE115" s="36">
        <f t="shared" si="101"/>
        <v>0</v>
      </c>
      <c r="AF115" s="36">
        <f t="shared" si="102"/>
        <v>0</v>
      </c>
      <c r="AG115" s="36">
        <f t="shared" si="103"/>
        <v>0</v>
      </c>
      <c r="AH115" s="36">
        <f t="shared" si="104"/>
        <v>0</v>
      </c>
      <c r="AI115" s="35" t="s">
        <v>498</v>
      </c>
      <c r="AJ115" s="20">
        <f t="shared" si="105"/>
        <v>0</v>
      </c>
      <c r="AK115" s="20">
        <f t="shared" si="106"/>
        <v>0</v>
      </c>
      <c r="AL115" s="20">
        <f t="shared" si="107"/>
        <v>0</v>
      </c>
      <c r="AN115" s="36">
        <v>21</v>
      </c>
      <c r="AO115" s="36">
        <f>I115*0</f>
        <v>0</v>
      </c>
      <c r="AP115" s="36">
        <f>I115*(1-0)</f>
        <v>0</v>
      </c>
      <c r="AQ115" s="37" t="s">
        <v>7</v>
      </c>
      <c r="AV115" s="36">
        <f t="shared" si="110"/>
        <v>0</v>
      </c>
      <c r="AW115" s="36">
        <f t="shared" si="111"/>
        <v>0</v>
      </c>
      <c r="AX115" s="36">
        <f t="shared" si="112"/>
        <v>0</v>
      </c>
      <c r="AY115" s="39" t="s">
        <v>507</v>
      </c>
      <c r="AZ115" s="39" t="s">
        <v>514</v>
      </c>
      <c r="BA115" s="35" t="s">
        <v>518</v>
      </c>
      <c r="BC115" s="36">
        <f t="shared" si="113"/>
        <v>0</v>
      </c>
      <c r="BD115" s="36">
        <f t="shared" si="114"/>
        <v>0</v>
      </c>
      <c r="BE115" s="36">
        <v>0</v>
      </c>
      <c r="BF115" s="36">
        <f>115</f>
        <v>115</v>
      </c>
      <c r="BH115" s="20">
        <f t="shared" si="115"/>
        <v>0</v>
      </c>
      <c r="BI115" s="20">
        <f t="shared" si="116"/>
        <v>0</v>
      </c>
      <c r="BJ115" s="20">
        <f t="shared" si="117"/>
        <v>0</v>
      </c>
      <c r="BK115" s="20" t="s">
        <v>524</v>
      </c>
      <c r="BL115" s="36" t="s">
        <v>254</v>
      </c>
    </row>
    <row r="116" spans="1:64" x14ac:dyDescent="0.25">
      <c r="A116" s="4" t="s">
        <v>102</v>
      </c>
      <c r="B116" s="13" t="s">
        <v>272</v>
      </c>
      <c r="C116" s="148" t="s">
        <v>414</v>
      </c>
      <c r="D116" s="149"/>
      <c r="E116" s="149"/>
      <c r="F116" s="149"/>
      <c r="G116" s="13" t="s">
        <v>471</v>
      </c>
      <c r="H116" s="80">
        <v>1</v>
      </c>
      <c r="I116" s="20">
        <v>0</v>
      </c>
      <c r="J116" s="20">
        <f t="shared" si="94"/>
        <v>0</v>
      </c>
      <c r="K116" s="20">
        <f t="shared" si="95"/>
        <v>0</v>
      </c>
      <c r="L116" s="20">
        <f t="shared" si="96"/>
        <v>0</v>
      </c>
      <c r="M116" s="31" t="s">
        <v>488</v>
      </c>
      <c r="N116" s="6"/>
      <c r="Z116" s="36">
        <f t="shared" si="97"/>
        <v>0</v>
      </c>
      <c r="AB116" s="36">
        <f t="shared" si="98"/>
        <v>0</v>
      </c>
      <c r="AC116" s="36">
        <f t="shared" si="99"/>
        <v>0</v>
      </c>
      <c r="AD116" s="36">
        <f t="shared" si="100"/>
        <v>0</v>
      </c>
      <c r="AE116" s="36">
        <f t="shared" si="101"/>
        <v>0</v>
      </c>
      <c r="AF116" s="36">
        <f t="shared" si="102"/>
        <v>0</v>
      </c>
      <c r="AG116" s="36">
        <f t="shared" si="103"/>
        <v>0</v>
      </c>
      <c r="AH116" s="36">
        <f t="shared" si="104"/>
        <v>0</v>
      </c>
      <c r="AI116" s="35" t="s">
        <v>498</v>
      </c>
      <c r="AJ116" s="20">
        <f t="shared" si="105"/>
        <v>0</v>
      </c>
      <c r="AK116" s="20">
        <f t="shared" si="106"/>
        <v>0</v>
      </c>
      <c r="AL116" s="20">
        <f t="shared" si="107"/>
        <v>0</v>
      </c>
      <c r="AN116" s="36">
        <v>21</v>
      </c>
      <c r="AO116" s="36">
        <f>I116*1</f>
        <v>0</v>
      </c>
      <c r="AP116" s="36">
        <f>I116*(1-1)</f>
        <v>0</v>
      </c>
      <c r="AQ116" s="37" t="s">
        <v>7</v>
      </c>
      <c r="AV116" s="36">
        <f t="shared" si="110"/>
        <v>0</v>
      </c>
      <c r="AW116" s="36">
        <f t="shared" si="111"/>
        <v>0</v>
      </c>
      <c r="AX116" s="36">
        <f t="shared" si="112"/>
        <v>0</v>
      </c>
      <c r="AY116" s="39" t="s">
        <v>507</v>
      </c>
      <c r="AZ116" s="39" t="s">
        <v>514</v>
      </c>
      <c r="BA116" s="35" t="s">
        <v>518</v>
      </c>
      <c r="BC116" s="36">
        <f t="shared" si="113"/>
        <v>0</v>
      </c>
      <c r="BD116" s="36">
        <f t="shared" si="114"/>
        <v>0</v>
      </c>
      <c r="BE116" s="36">
        <v>0</v>
      </c>
      <c r="BF116" s="36">
        <f>116</f>
        <v>116</v>
      </c>
      <c r="BH116" s="20">
        <f t="shared" si="115"/>
        <v>0</v>
      </c>
      <c r="BI116" s="20">
        <f t="shared" si="116"/>
        <v>0</v>
      </c>
      <c r="BJ116" s="20">
        <f t="shared" si="117"/>
        <v>0</v>
      </c>
      <c r="BK116" s="20" t="s">
        <v>524</v>
      </c>
      <c r="BL116" s="36" t="s">
        <v>254</v>
      </c>
    </row>
    <row r="117" spans="1:64" x14ac:dyDescent="0.25">
      <c r="A117" s="4" t="s">
        <v>103</v>
      </c>
      <c r="B117" s="13" t="s">
        <v>273</v>
      </c>
      <c r="C117" s="148" t="s">
        <v>415</v>
      </c>
      <c r="D117" s="149"/>
      <c r="E117" s="149"/>
      <c r="F117" s="149"/>
      <c r="G117" s="13" t="s">
        <v>471</v>
      </c>
      <c r="H117" s="80">
        <v>1</v>
      </c>
      <c r="I117" s="20">
        <v>0</v>
      </c>
      <c r="J117" s="20">
        <f t="shared" si="94"/>
        <v>0</v>
      </c>
      <c r="K117" s="20">
        <f t="shared" si="95"/>
        <v>0</v>
      </c>
      <c r="L117" s="20">
        <f t="shared" si="96"/>
        <v>0</v>
      </c>
      <c r="M117" s="31" t="s">
        <v>488</v>
      </c>
      <c r="N117" s="6"/>
      <c r="Z117" s="36">
        <f t="shared" si="97"/>
        <v>0</v>
      </c>
      <c r="AB117" s="36">
        <f t="shared" si="98"/>
        <v>0</v>
      </c>
      <c r="AC117" s="36">
        <f t="shared" si="99"/>
        <v>0</v>
      </c>
      <c r="AD117" s="36">
        <f t="shared" si="100"/>
        <v>0</v>
      </c>
      <c r="AE117" s="36">
        <f t="shared" si="101"/>
        <v>0</v>
      </c>
      <c r="AF117" s="36">
        <f t="shared" si="102"/>
        <v>0</v>
      </c>
      <c r="AG117" s="36">
        <f t="shared" si="103"/>
        <v>0</v>
      </c>
      <c r="AH117" s="36">
        <f t="shared" si="104"/>
        <v>0</v>
      </c>
      <c r="AI117" s="35" t="s">
        <v>498</v>
      </c>
      <c r="AJ117" s="20">
        <f t="shared" si="105"/>
        <v>0</v>
      </c>
      <c r="AK117" s="20">
        <f t="shared" si="106"/>
        <v>0</v>
      </c>
      <c r="AL117" s="20">
        <f t="shared" si="107"/>
        <v>0</v>
      </c>
      <c r="AN117" s="36">
        <v>21</v>
      </c>
      <c r="AO117" s="36">
        <f>I117*0</f>
        <v>0</v>
      </c>
      <c r="AP117" s="36">
        <f>I117*(1-0)</f>
        <v>0</v>
      </c>
      <c r="AQ117" s="37" t="s">
        <v>7</v>
      </c>
      <c r="AV117" s="36">
        <f t="shared" si="110"/>
        <v>0</v>
      </c>
      <c r="AW117" s="36">
        <f t="shared" si="111"/>
        <v>0</v>
      </c>
      <c r="AX117" s="36">
        <f t="shared" si="112"/>
        <v>0</v>
      </c>
      <c r="AY117" s="39" t="s">
        <v>507</v>
      </c>
      <c r="AZ117" s="39" t="s">
        <v>514</v>
      </c>
      <c r="BA117" s="35" t="s">
        <v>518</v>
      </c>
      <c r="BC117" s="36">
        <f t="shared" si="113"/>
        <v>0</v>
      </c>
      <c r="BD117" s="36">
        <f t="shared" si="114"/>
        <v>0</v>
      </c>
      <c r="BE117" s="36">
        <v>0</v>
      </c>
      <c r="BF117" s="36">
        <f>117</f>
        <v>117</v>
      </c>
      <c r="BH117" s="20">
        <f t="shared" si="115"/>
        <v>0</v>
      </c>
      <c r="BI117" s="20">
        <f t="shared" si="116"/>
        <v>0</v>
      </c>
      <c r="BJ117" s="20">
        <f t="shared" si="117"/>
        <v>0</v>
      </c>
      <c r="BK117" s="20" t="s">
        <v>524</v>
      </c>
      <c r="BL117" s="36" t="s">
        <v>254</v>
      </c>
    </row>
    <row r="118" spans="1:64" x14ac:dyDescent="0.25">
      <c r="A118" s="4" t="s">
        <v>104</v>
      </c>
      <c r="B118" s="13" t="s">
        <v>274</v>
      </c>
      <c r="C118" s="148" t="s">
        <v>416</v>
      </c>
      <c r="D118" s="149"/>
      <c r="E118" s="149"/>
      <c r="F118" s="149"/>
      <c r="G118" s="13" t="s">
        <v>471</v>
      </c>
      <c r="H118" s="80">
        <v>1</v>
      </c>
      <c r="I118" s="20">
        <v>0</v>
      </c>
      <c r="J118" s="20">
        <f t="shared" si="94"/>
        <v>0</v>
      </c>
      <c r="K118" s="20">
        <f t="shared" si="95"/>
        <v>0</v>
      </c>
      <c r="L118" s="20">
        <f t="shared" si="96"/>
        <v>0</v>
      </c>
      <c r="M118" s="31" t="s">
        <v>488</v>
      </c>
      <c r="N118" s="6"/>
      <c r="Z118" s="36">
        <f t="shared" si="97"/>
        <v>0</v>
      </c>
      <c r="AB118" s="36">
        <f t="shared" si="98"/>
        <v>0</v>
      </c>
      <c r="AC118" s="36">
        <f t="shared" si="99"/>
        <v>0</v>
      </c>
      <c r="AD118" s="36">
        <f t="shared" si="100"/>
        <v>0</v>
      </c>
      <c r="AE118" s="36">
        <f t="shared" si="101"/>
        <v>0</v>
      </c>
      <c r="AF118" s="36">
        <f t="shared" si="102"/>
        <v>0</v>
      </c>
      <c r="AG118" s="36">
        <f t="shared" si="103"/>
        <v>0</v>
      </c>
      <c r="AH118" s="36">
        <f t="shared" si="104"/>
        <v>0</v>
      </c>
      <c r="AI118" s="35" t="s">
        <v>498</v>
      </c>
      <c r="AJ118" s="20">
        <f t="shared" si="105"/>
        <v>0</v>
      </c>
      <c r="AK118" s="20">
        <f t="shared" si="106"/>
        <v>0</v>
      </c>
      <c r="AL118" s="20">
        <f t="shared" si="107"/>
        <v>0</v>
      </c>
      <c r="AN118" s="36">
        <v>21</v>
      </c>
      <c r="AO118" s="36">
        <f>I118*0</f>
        <v>0</v>
      </c>
      <c r="AP118" s="36">
        <f>I118*(1-0)</f>
        <v>0</v>
      </c>
      <c r="AQ118" s="37" t="s">
        <v>7</v>
      </c>
      <c r="AV118" s="36">
        <f t="shared" si="110"/>
        <v>0</v>
      </c>
      <c r="AW118" s="36">
        <f t="shared" si="111"/>
        <v>0</v>
      </c>
      <c r="AX118" s="36">
        <f t="shared" si="112"/>
        <v>0</v>
      </c>
      <c r="AY118" s="39" t="s">
        <v>507</v>
      </c>
      <c r="AZ118" s="39" t="s">
        <v>514</v>
      </c>
      <c r="BA118" s="35" t="s">
        <v>518</v>
      </c>
      <c r="BC118" s="36">
        <f t="shared" si="113"/>
        <v>0</v>
      </c>
      <c r="BD118" s="36">
        <f t="shared" si="114"/>
        <v>0</v>
      </c>
      <c r="BE118" s="36">
        <v>0</v>
      </c>
      <c r="BF118" s="36">
        <f>118</f>
        <v>118</v>
      </c>
      <c r="BH118" s="20">
        <f t="shared" si="115"/>
        <v>0</v>
      </c>
      <c r="BI118" s="20">
        <f t="shared" si="116"/>
        <v>0</v>
      </c>
      <c r="BJ118" s="20">
        <f t="shared" si="117"/>
        <v>0</v>
      </c>
      <c r="BK118" s="20" t="s">
        <v>524</v>
      </c>
      <c r="BL118" s="36" t="s">
        <v>254</v>
      </c>
    </row>
    <row r="119" spans="1:64" x14ac:dyDescent="0.25">
      <c r="A119" s="3"/>
      <c r="B119" s="12" t="s">
        <v>275</v>
      </c>
      <c r="C119" s="155" t="s">
        <v>428</v>
      </c>
      <c r="D119" s="156"/>
      <c r="E119" s="156"/>
      <c r="F119" s="156"/>
      <c r="G119" s="18" t="s">
        <v>6</v>
      </c>
      <c r="H119" s="18" t="s">
        <v>6</v>
      </c>
      <c r="I119" s="18" t="s">
        <v>6</v>
      </c>
      <c r="J119" s="41">
        <f>SUM(J120:J138)</f>
        <v>0</v>
      </c>
      <c r="K119" s="41">
        <f>SUM(K120:K138)</f>
        <v>0</v>
      </c>
      <c r="L119" s="41">
        <f>SUM(L120:L138)</f>
        <v>0</v>
      </c>
      <c r="M119" s="30"/>
      <c r="N119" s="6"/>
      <c r="AI119" s="35" t="s">
        <v>498</v>
      </c>
      <c r="AS119" s="41">
        <f>SUM(AJ120:AJ138)</f>
        <v>0</v>
      </c>
      <c r="AT119" s="41">
        <f>SUM(AK120:AK138)</f>
        <v>0</v>
      </c>
      <c r="AU119" s="41">
        <f>SUM(AL120:AL138)</f>
        <v>0</v>
      </c>
    </row>
    <row r="120" spans="1:64" x14ac:dyDescent="0.25">
      <c r="A120" s="4" t="s">
        <v>105</v>
      </c>
      <c r="B120" s="13" t="s">
        <v>276</v>
      </c>
      <c r="C120" s="148" t="s">
        <v>418</v>
      </c>
      <c r="D120" s="149"/>
      <c r="E120" s="149"/>
      <c r="F120" s="149"/>
      <c r="G120" s="13" t="s">
        <v>471</v>
      </c>
      <c r="H120" s="80">
        <v>1</v>
      </c>
      <c r="I120" s="20">
        <v>0</v>
      </c>
      <c r="J120" s="20">
        <f t="shared" ref="J120:J138" si="118">H120*AO120</f>
        <v>0</v>
      </c>
      <c r="K120" s="20">
        <f t="shared" ref="K120:K138" si="119">H120*AP120</f>
        <v>0</v>
      </c>
      <c r="L120" s="20">
        <f t="shared" ref="L120:L138" si="120">H120*I120</f>
        <v>0</v>
      </c>
      <c r="M120" s="31" t="s">
        <v>488</v>
      </c>
      <c r="N120" s="6"/>
      <c r="Z120" s="36">
        <f t="shared" ref="Z120:Z138" si="121">IF(AQ120="5",BJ120,0)</f>
        <v>0</v>
      </c>
      <c r="AB120" s="36">
        <f t="shared" ref="AB120:AB138" si="122">IF(AQ120="1",BH120,0)</f>
        <v>0</v>
      </c>
      <c r="AC120" s="36">
        <f t="shared" ref="AC120:AC138" si="123">IF(AQ120="1",BI120,0)</f>
        <v>0</v>
      </c>
      <c r="AD120" s="36">
        <f t="shared" ref="AD120:AD138" si="124">IF(AQ120="7",BH120,0)</f>
        <v>0</v>
      </c>
      <c r="AE120" s="36">
        <f t="shared" ref="AE120:AE138" si="125">IF(AQ120="7",BI120,0)</f>
        <v>0</v>
      </c>
      <c r="AF120" s="36">
        <f t="shared" ref="AF120:AF138" si="126">IF(AQ120="2",BH120,0)</f>
        <v>0</v>
      </c>
      <c r="AG120" s="36">
        <f t="shared" ref="AG120:AG138" si="127">IF(AQ120="2",BI120,0)</f>
        <v>0</v>
      </c>
      <c r="AH120" s="36">
        <f t="shared" ref="AH120:AH138" si="128">IF(AQ120="0",BJ120,0)</f>
        <v>0</v>
      </c>
      <c r="AI120" s="35" t="s">
        <v>498</v>
      </c>
      <c r="AJ120" s="20">
        <f t="shared" ref="AJ120:AJ138" si="129">IF(AN120=0,L120,0)</f>
        <v>0</v>
      </c>
      <c r="AK120" s="20">
        <f t="shared" ref="AK120:AK138" si="130">IF(AN120=15,L120,0)</f>
        <v>0</v>
      </c>
      <c r="AL120" s="20">
        <f t="shared" ref="AL120:AL138" si="131">IF(AN120=21,L120,0)</f>
        <v>0</v>
      </c>
      <c r="AN120" s="36">
        <v>21</v>
      </c>
      <c r="AO120" s="36">
        <f t="shared" ref="AO120:AO134" si="132">I120*0.588</f>
        <v>0</v>
      </c>
      <c r="AP120" s="36">
        <f t="shared" ref="AP120:AP134" si="133">I120*(1-0.588)</f>
        <v>0</v>
      </c>
      <c r="AQ120" s="37" t="s">
        <v>7</v>
      </c>
      <c r="AV120" s="36">
        <f t="shared" ref="AV120:AV138" si="134">AW120+AX120</f>
        <v>0</v>
      </c>
      <c r="AW120" s="36">
        <f t="shared" ref="AW120:AW138" si="135">H120*AO120</f>
        <v>0</v>
      </c>
      <c r="AX120" s="36">
        <f t="shared" ref="AX120:AX138" si="136">H120*AP120</f>
        <v>0</v>
      </c>
      <c r="AY120" s="39" t="s">
        <v>508</v>
      </c>
      <c r="AZ120" s="39" t="s">
        <v>514</v>
      </c>
      <c r="BA120" s="35" t="s">
        <v>518</v>
      </c>
      <c r="BC120" s="36">
        <f t="shared" ref="BC120:BC138" si="137">AW120+AX120</f>
        <v>0</v>
      </c>
      <c r="BD120" s="36">
        <f t="shared" ref="BD120:BD138" si="138">I120/(100-BE120)*100</f>
        <v>0</v>
      </c>
      <c r="BE120" s="36">
        <v>0</v>
      </c>
      <c r="BF120" s="36">
        <f>120</f>
        <v>120</v>
      </c>
      <c r="BH120" s="20">
        <f t="shared" ref="BH120:BH138" si="139">H120*AO120</f>
        <v>0</v>
      </c>
      <c r="BI120" s="20">
        <f t="shared" ref="BI120:BI138" si="140">H120*AP120</f>
        <v>0</v>
      </c>
      <c r="BJ120" s="20">
        <f t="shared" ref="BJ120:BJ138" si="141">H120*I120</f>
        <v>0</v>
      </c>
      <c r="BK120" s="20" t="s">
        <v>524</v>
      </c>
      <c r="BL120" s="36" t="s">
        <v>275</v>
      </c>
    </row>
    <row r="121" spans="1:64" x14ac:dyDescent="0.25">
      <c r="A121" s="4" t="s">
        <v>106</v>
      </c>
      <c r="B121" s="13" t="s">
        <v>277</v>
      </c>
      <c r="C121" s="148" t="s">
        <v>419</v>
      </c>
      <c r="D121" s="149"/>
      <c r="E121" s="149"/>
      <c r="F121" s="149"/>
      <c r="G121" s="13" t="s">
        <v>471</v>
      </c>
      <c r="H121" s="80">
        <v>1</v>
      </c>
      <c r="I121" s="20">
        <v>0</v>
      </c>
      <c r="J121" s="20">
        <f t="shared" si="118"/>
        <v>0</v>
      </c>
      <c r="K121" s="20">
        <f t="shared" si="119"/>
        <v>0</v>
      </c>
      <c r="L121" s="20">
        <f t="shared" si="120"/>
        <v>0</v>
      </c>
      <c r="M121" s="31" t="s">
        <v>488</v>
      </c>
      <c r="N121" s="6"/>
      <c r="Z121" s="36">
        <f t="shared" si="121"/>
        <v>0</v>
      </c>
      <c r="AB121" s="36">
        <f t="shared" si="122"/>
        <v>0</v>
      </c>
      <c r="AC121" s="36">
        <f t="shared" si="123"/>
        <v>0</v>
      </c>
      <c r="AD121" s="36">
        <f t="shared" si="124"/>
        <v>0</v>
      </c>
      <c r="AE121" s="36">
        <f t="shared" si="125"/>
        <v>0</v>
      </c>
      <c r="AF121" s="36">
        <f t="shared" si="126"/>
        <v>0</v>
      </c>
      <c r="AG121" s="36">
        <f t="shared" si="127"/>
        <v>0</v>
      </c>
      <c r="AH121" s="36">
        <f t="shared" si="128"/>
        <v>0</v>
      </c>
      <c r="AI121" s="35" t="s">
        <v>498</v>
      </c>
      <c r="AJ121" s="20">
        <f t="shared" si="129"/>
        <v>0</v>
      </c>
      <c r="AK121" s="20">
        <f t="shared" si="130"/>
        <v>0</v>
      </c>
      <c r="AL121" s="20">
        <f t="shared" si="131"/>
        <v>0</v>
      </c>
      <c r="AN121" s="36">
        <v>21</v>
      </c>
      <c r="AO121" s="36">
        <f t="shared" si="132"/>
        <v>0</v>
      </c>
      <c r="AP121" s="36">
        <f t="shared" si="133"/>
        <v>0</v>
      </c>
      <c r="AQ121" s="37" t="s">
        <v>7</v>
      </c>
      <c r="AV121" s="36">
        <f t="shared" si="134"/>
        <v>0</v>
      </c>
      <c r="AW121" s="36">
        <f t="shared" si="135"/>
        <v>0</v>
      </c>
      <c r="AX121" s="36">
        <f t="shared" si="136"/>
        <v>0</v>
      </c>
      <c r="AY121" s="39" t="s">
        <v>508</v>
      </c>
      <c r="AZ121" s="39" t="s">
        <v>514</v>
      </c>
      <c r="BA121" s="35" t="s">
        <v>518</v>
      </c>
      <c r="BC121" s="36">
        <f t="shared" si="137"/>
        <v>0</v>
      </c>
      <c r="BD121" s="36">
        <f t="shared" si="138"/>
        <v>0</v>
      </c>
      <c r="BE121" s="36">
        <v>0</v>
      </c>
      <c r="BF121" s="36">
        <f>121</f>
        <v>121</v>
      </c>
      <c r="BH121" s="20">
        <f t="shared" si="139"/>
        <v>0</v>
      </c>
      <c r="BI121" s="20">
        <f t="shared" si="140"/>
        <v>0</v>
      </c>
      <c r="BJ121" s="20">
        <f t="shared" si="141"/>
        <v>0</v>
      </c>
      <c r="BK121" s="20" t="s">
        <v>524</v>
      </c>
      <c r="BL121" s="36" t="s">
        <v>275</v>
      </c>
    </row>
    <row r="122" spans="1:64" x14ac:dyDescent="0.25">
      <c r="A122" s="4" t="s">
        <v>107</v>
      </c>
      <c r="B122" s="13" t="s">
        <v>278</v>
      </c>
      <c r="C122" s="148" t="s">
        <v>420</v>
      </c>
      <c r="D122" s="149"/>
      <c r="E122" s="149"/>
      <c r="F122" s="149"/>
      <c r="G122" s="13" t="s">
        <v>471</v>
      </c>
      <c r="H122" s="80">
        <v>1</v>
      </c>
      <c r="I122" s="20">
        <v>0</v>
      </c>
      <c r="J122" s="20">
        <f t="shared" si="118"/>
        <v>0</v>
      </c>
      <c r="K122" s="20">
        <f t="shared" si="119"/>
        <v>0</v>
      </c>
      <c r="L122" s="20">
        <f t="shared" si="120"/>
        <v>0</v>
      </c>
      <c r="M122" s="31" t="s">
        <v>488</v>
      </c>
      <c r="N122" s="6"/>
      <c r="Z122" s="36">
        <f t="shared" si="121"/>
        <v>0</v>
      </c>
      <c r="AB122" s="36">
        <f t="shared" si="122"/>
        <v>0</v>
      </c>
      <c r="AC122" s="36">
        <f t="shared" si="123"/>
        <v>0</v>
      </c>
      <c r="AD122" s="36">
        <f t="shared" si="124"/>
        <v>0</v>
      </c>
      <c r="AE122" s="36">
        <f t="shared" si="125"/>
        <v>0</v>
      </c>
      <c r="AF122" s="36">
        <f t="shared" si="126"/>
        <v>0</v>
      </c>
      <c r="AG122" s="36">
        <f t="shared" si="127"/>
        <v>0</v>
      </c>
      <c r="AH122" s="36">
        <f t="shared" si="128"/>
        <v>0</v>
      </c>
      <c r="AI122" s="35" t="s">
        <v>498</v>
      </c>
      <c r="AJ122" s="20">
        <f t="shared" si="129"/>
        <v>0</v>
      </c>
      <c r="AK122" s="20">
        <f t="shared" si="130"/>
        <v>0</v>
      </c>
      <c r="AL122" s="20">
        <f t="shared" si="131"/>
        <v>0</v>
      </c>
      <c r="AN122" s="36">
        <v>21</v>
      </c>
      <c r="AO122" s="36">
        <f t="shared" si="132"/>
        <v>0</v>
      </c>
      <c r="AP122" s="36">
        <f t="shared" si="133"/>
        <v>0</v>
      </c>
      <c r="AQ122" s="37" t="s">
        <v>7</v>
      </c>
      <c r="AV122" s="36">
        <f t="shared" si="134"/>
        <v>0</v>
      </c>
      <c r="AW122" s="36">
        <f t="shared" si="135"/>
        <v>0</v>
      </c>
      <c r="AX122" s="36">
        <f t="shared" si="136"/>
        <v>0</v>
      </c>
      <c r="AY122" s="39" t="s">
        <v>508</v>
      </c>
      <c r="AZ122" s="39" t="s">
        <v>514</v>
      </c>
      <c r="BA122" s="35" t="s">
        <v>518</v>
      </c>
      <c r="BC122" s="36">
        <f t="shared" si="137"/>
        <v>0</v>
      </c>
      <c r="BD122" s="36">
        <f t="shared" si="138"/>
        <v>0</v>
      </c>
      <c r="BE122" s="36">
        <v>0</v>
      </c>
      <c r="BF122" s="36">
        <f>122</f>
        <v>122</v>
      </c>
      <c r="BH122" s="20">
        <f t="shared" si="139"/>
        <v>0</v>
      </c>
      <c r="BI122" s="20">
        <f t="shared" si="140"/>
        <v>0</v>
      </c>
      <c r="BJ122" s="20">
        <f t="shared" si="141"/>
        <v>0</v>
      </c>
      <c r="BK122" s="20" t="s">
        <v>524</v>
      </c>
      <c r="BL122" s="36" t="s">
        <v>275</v>
      </c>
    </row>
    <row r="123" spans="1:64" x14ac:dyDescent="0.25">
      <c r="A123" s="4" t="s">
        <v>108</v>
      </c>
      <c r="B123" s="13" t="s">
        <v>279</v>
      </c>
      <c r="C123" s="148" t="s">
        <v>390</v>
      </c>
      <c r="D123" s="149"/>
      <c r="E123" s="149"/>
      <c r="F123" s="149"/>
      <c r="G123" s="13" t="s">
        <v>471</v>
      </c>
      <c r="H123" s="80">
        <v>1</v>
      </c>
      <c r="I123" s="20">
        <v>0</v>
      </c>
      <c r="J123" s="20">
        <f t="shared" si="118"/>
        <v>0</v>
      </c>
      <c r="K123" s="20">
        <f t="shared" si="119"/>
        <v>0</v>
      </c>
      <c r="L123" s="20">
        <f t="shared" si="120"/>
        <v>0</v>
      </c>
      <c r="M123" s="31" t="s">
        <v>488</v>
      </c>
      <c r="N123" s="6"/>
      <c r="Z123" s="36">
        <f t="shared" si="121"/>
        <v>0</v>
      </c>
      <c r="AB123" s="36">
        <f t="shared" si="122"/>
        <v>0</v>
      </c>
      <c r="AC123" s="36">
        <f t="shared" si="123"/>
        <v>0</v>
      </c>
      <c r="AD123" s="36">
        <f t="shared" si="124"/>
        <v>0</v>
      </c>
      <c r="AE123" s="36">
        <f t="shared" si="125"/>
        <v>0</v>
      </c>
      <c r="AF123" s="36">
        <f t="shared" si="126"/>
        <v>0</v>
      </c>
      <c r="AG123" s="36">
        <f t="shared" si="127"/>
        <v>0</v>
      </c>
      <c r="AH123" s="36">
        <f t="shared" si="128"/>
        <v>0</v>
      </c>
      <c r="AI123" s="35" t="s">
        <v>498</v>
      </c>
      <c r="AJ123" s="20">
        <f t="shared" si="129"/>
        <v>0</v>
      </c>
      <c r="AK123" s="20">
        <f t="shared" si="130"/>
        <v>0</v>
      </c>
      <c r="AL123" s="20">
        <f t="shared" si="131"/>
        <v>0</v>
      </c>
      <c r="AN123" s="36">
        <v>21</v>
      </c>
      <c r="AO123" s="36">
        <f t="shared" si="132"/>
        <v>0</v>
      </c>
      <c r="AP123" s="36">
        <f t="shared" si="133"/>
        <v>0</v>
      </c>
      <c r="AQ123" s="37" t="s">
        <v>7</v>
      </c>
      <c r="AV123" s="36">
        <f t="shared" si="134"/>
        <v>0</v>
      </c>
      <c r="AW123" s="36">
        <f t="shared" si="135"/>
        <v>0</v>
      </c>
      <c r="AX123" s="36">
        <f t="shared" si="136"/>
        <v>0</v>
      </c>
      <c r="AY123" s="39" t="s">
        <v>508</v>
      </c>
      <c r="AZ123" s="39" t="s">
        <v>514</v>
      </c>
      <c r="BA123" s="35" t="s">
        <v>518</v>
      </c>
      <c r="BC123" s="36">
        <f t="shared" si="137"/>
        <v>0</v>
      </c>
      <c r="BD123" s="36">
        <f t="shared" si="138"/>
        <v>0</v>
      </c>
      <c r="BE123" s="36">
        <v>0</v>
      </c>
      <c r="BF123" s="36">
        <f>123</f>
        <v>123</v>
      </c>
      <c r="BH123" s="20">
        <f t="shared" si="139"/>
        <v>0</v>
      </c>
      <c r="BI123" s="20">
        <f t="shared" si="140"/>
        <v>0</v>
      </c>
      <c r="BJ123" s="20">
        <f t="shared" si="141"/>
        <v>0</v>
      </c>
      <c r="BK123" s="20" t="s">
        <v>524</v>
      </c>
      <c r="BL123" s="36" t="s">
        <v>275</v>
      </c>
    </row>
    <row r="124" spans="1:64" x14ac:dyDescent="0.25">
      <c r="A124" s="4" t="s">
        <v>109</v>
      </c>
      <c r="B124" s="13" t="s">
        <v>280</v>
      </c>
      <c r="C124" s="148" t="s">
        <v>421</v>
      </c>
      <c r="D124" s="149"/>
      <c r="E124" s="149"/>
      <c r="F124" s="149"/>
      <c r="G124" s="13" t="s">
        <v>471</v>
      </c>
      <c r="H124" s="80">
        <v>19</v>
      </c>
      <c r="I124" s="20">
        <v>0</v>
      </c>
      <c r="J124" s="20">
        <f t="shared" si="118"/>
        <v>0</v>
      </c>
      <c r="K124" s="20">
        <f t="shared" si="119"/>
        <v>0</v>
      </c>
      <c r="L124" s="20">
        <f t="shared" si="120"/>
        <v>0</v>
      </c>
      <c r="M124" s="31" t="s">
        <v>488</v>
      </c>
      <c r="N124" s="6"/>
      <c r="Z124" s="36">
        <f t="shared" si="121"/>
        <v>0</v>
      </c>
      <c r="AB124" s="36">
        <f t="shared" si="122"/>
        <v>0</v>
      </c>
      <c r="AC124" s="36">
        <f t="shared" si="123"/>
        <v>0</v>
      </c>
      <c r="AD124" s="36">
        <f t="shared" si="124"/>
        <v>0</v>
      </c>
      <c r="AE124" s="36">
        <f t="shared" si="125"/>
        <v>0</v>
      </c>
      <c r="AF124" s="36">
        <f t="shared" si="126"/>
        <v>0</v>
      </c>
      <c r="AG124" s="36">
        <f t="shared" si="127"/>
        <v>0</v>
      </c>
      <c r="AH124" s="36">
        <f t="shared" si="128"/>
        <v>0</v>
      </c>
      <c r="AI124" s="35" t="s">
        <v>498</v>
      </c>
      <c r="AJ124" s="20">
        <f t="shared" si="129"/>
        <v>0</v>
      </c>
      <c r="AK124" s="20">
        <f t="shared" si="130"/>
        <v>0</v>
      </c>
      <c r="AL124" s="20">
        <f t="shared" si="131"/>
        <v>0</v>
      </c>
      <c r="AN124" s="36">
        <v>21</v>
      </c>
      <c r="AO124" s="36">
        <f t="shared" si="132"/>
        <v>0</v>
      </c>
      <c r="AP124" s="36">
        <f t="shared" si="133"/>
        <v>0</v>
      </c>
      <c r="AQ124" s="37" t="s">
        <v>7</v>
      </c>
      <c r="AV124" s="36">
        <f t="shared" si="134"/>
        <v>0</v>
      </c>
      <c r="AW124" s="36">
        <f t="shared" si="135"/>
        <v>0</v>
      </c>
      <c r="AX124" s="36">
        <f t="shared" si="136"/>
        <v>0</v>
      </c>
      <c r="AY124" s="39" t="s">
        <v>508</v>
      </c>
      <c r="AZ124" s="39" t="s">
        <v>514</v>
      </c>
      <c r="BA124" s="35" t="s">
        <v>518</v>
      </c>
      <c r="BC124" s="36">
        <f t="shared" si="137"/>
        <v>0</v>
      </c>
      <c r="BD124" s="36">
        <f t="shared" si="138"/>
        <v>0</v>
      </c>
      <c r="BE124" s="36">
        <v>0</v>
      </c>
      <c r="BF124" s="36">
        <f>124</f>
        <v>124</v>
      </c>
      <c r="BH124" s="20">
        <f t="shared" si="139"/>
        <v>0</v>
      </c>
      <c r="BI124" s="20">
        <f t="shared" si="140"/>
        <v>0</v>
      </c>
      <c r="BJ124" s="20">
        <f t="shared" si="141"/>
        <v>0</v>
      </c>
      <c r="BK124" s="20" t="s">
        <v>524</v>
      </c>
      <c r="BL124" s="36" t="s">
        <v>275</v>
      </c>
    </row>
    <row r="125" spans="1:64" x14ac:dyDescent="0.25">
      <c r="A125" s="4" t="s">
        <v>110</v>
      </c>
      <c r="B125" s="13" t="s">
        <v>281</v>
      </c>
      <c r="C125" s="148" t="s">
        <v>394</v>
      </c>
      <c r="D125" s="149"/>
      <c r="E125" s="149"/>
      <c r="F125" s="149"/>
      <c r="G125" s="13" t="s">
        <v>471</v>
      </c>
      <c r="H125" s="80">
        <v>18</v>
      </c>
      <c r="I125" s="20">
        <v>0</v>
      </c>
      <c r="J125" s="20">
        <f t="shared" si="118"/>
        <v>0</v>
      </c>
      <c r="K125" s="20">
        <f t="shared" si="119"/>
        <v>0</v>
      </c>
      <c r="L125" s="20">
        <f t="shared" si="120"/>
        <v>0</v>
      </c>
      <c r="M125" s="31" t="s">
        <v>488</v>
      </c>
      <c r="N125" s="6"/>
      <c r="Z125" s="36">
        <f t="shared" si="121"/>
        <v>0</v>
      </c>
      <c r="AB125" s="36">
        <f t="shared" si="122"/>
        <v>0</v>
      </c>
      <c r="AC125" s="36">
        <f t="shared" si="123"/>
        <v>0</v>
      </c>
      <c r="AD125" s="36">
        <f t="shared" si="124"/>
        <v>0</v>
      </c>
      <c r="AE125" s="36">
        <f t="shared" si="125"/>
        <v>0</v>
      </c>
      <c r="AF125" s="36">
        <f t="shared" si="126"/>
        <v>0</v>
      </c>
      <c r="AG125" s="36">
        <f t="shared" si="127"/>
        <v>0</v>
      </c>
      <c r="AH125" s="36">
        <f t="shared" si="128"/>
        <v>0</v>
      </c>
      <c r="AI125" s="35" t="s">
        <v>498</v>
      </c>
      <c r="AJ125" s="20">
        <f t="shared" si="129"/>
        <v>0</v>
      </c>
      <c r="AK125" s="20">
        <f t="shared" si="130"/>
        <v>0</v>
      </c>
      <c r="AL125" s="20">
        <f t="shared" si="131"/>
        <v>0</v>
      </c>
      <c r="AN125" s="36">
        <v>21</v>
      </c>
      <c r="AO125" s="36">
        <f t="shared" si="132"/>
        <v>0</v>
      </c>
      <c r="AP125" s="36">
        <f t="shared" si="133"/>
        <v>0</v>
      </c>
      <c r="AQ125" s="37" t="s">
        <v>7</v>
      </c>
      <c r="AV125" s="36">
        <f t="shared" si="134"/>
        <v>0</v>
      </c>
      <c r="AW125" s="36">
        <f t="shared" si="135"/>
        <v>0</v>
      </c>
      <c r="AX125" s="36">
        <f t="shared" si="136"/>
        <v>0</v>
      </c>
      <c r="AY125" s="39" t="s">
        <v>508</v>
      </c>
      <c r="AZ125" s="39" t="s">
        <v>514</v>
      </c>
      <c r="BA125" s="35" t="s">
        <v>518</v>
      </c>
      <c r="BC125" s="36">
        <f t="shared" si="137"/>
        <v>0</v>
      </c>
      <c r="BD125" s="36">
        <f t="shared" si="138"/>
        <v>0</v>
      </c>
      <c r="BE125" s="36">
        <v>0</v>
      </c>
      <c r="BF125" s="36">
        <f>125</f>
        <v>125</v>
      </c>
      <c r="BH125" s="20">
        <f t="shared" si="139"/>
        <v>0</v>
      </c>
      <c r="BI125" s="20">
        <f t="shared" si="140"/>
        <v>0</v>
      </c>
      <c r="BJ125" s="20">
        <f t="shared" si="141"/>
        <v>0</v>
      </c>
      <c r="BK125" s="20" t="s">
        <v>524</v>
      </c>
      <c r="BL125" s="36" t="s">
        <v>275</v>
      </c>
    </row>
    <row r="126" spans="1:64" x14ac:dyDescent="0.25">
      <c r="A126" s="4" t="s">
        <v>111</v>
      </c>
      <c r="B126" s="13" t="s">
        <v>282</v>
      </c>
      <c r="C126" s="148" t="s">
        <v>429</v>
      </c>
      <c r="D126" s="149"/>
      <c r="E126" s="149"/>
      <c r="F126" s="149"/>
      <c r="G126" s="13" t="s">
        <v>471</v>
      </c>
      <c r="H126" s="80">
        <v>1</v>
      </c>
      <c r="I126" s="20">
        <v>0</v>
      </c>
      <c r="J126" s="20">
        <f t="shared" si="118"/>
        <v>0</v>
      </c>
      <c r="K126" s="20">
        <f t="shared" si="119"/>
        <v>0</v>
      </c>
      <c r="L126" s="20">
        <f t="shared" si="120"/>
        <v>0</v>
      </c>
      <c r="M126" s="31" t="s">
        <v>488</v>
      </c>
      <c r="N126" s="6"/>
      <c r="Z126" s="36">
        <f t="shared" si="121"/>
        <v>0</v>
      </c>
      <c r="AB126" s="36">
        <f t="shared" si="122"/>
        <v>0</v>
      </c>
      <c r="AC126" s="36">
        <f t="shared" si="123"/>
        <v>0</v>
      </c>
      <c r="AD126" s="36">
        <f t="shared" si="124"/>
        <v>0</v>
      </c>
      <c r="AE126" s="36">
        <f t="shared" si="125"/>
        <v>0</v>
      </c>
      <c r="AF126" s="36">
        <f t="shared" si="126"/>
        <v>0</v>
      </c>
      <c r="AG126" s="36">
        <f t="shared" si="127"/>
        <v>0</v>
      </c>
      <c r="AH126" s="36">
        <f t="shared" si="128"/>
        <v>0</v>
      </c>
      <c r="AI126" s="35" t="s">
        <v>498</v>
      </c>
      <c r="AJ126" s="20">
        <f t="shared" si="129"/>
        <v>0</v>
      </c>
      <c r="AK126" s="20">
        <f t="shared" si="130"/>
        <v>0</v>
      </c>
      <c r="AL126" s="20">
        <f t="shared" si="131"/>
        <v>0</v>
      </c>
      <c r="AN126" s="36">
        <v>21</v>
      </c>
      <c r="AO126" s="36">
        <f t="shared" si="132"/>
        <v>0</v>
      </c>
      <c r="AP126" s="36">
        <f t="shared" si="133"/>
        <v>0</v>
      </c>
      <c r="AQ126" s="37" t="s">
        <v>7</v>
      </c>
      <c r="AV126" s="36">
        <f t="shared" si="134"/>
        <v>0</v>
      </c>
      <c r="AW126" s="36">
        <f t="shared" si="135"/>
        <v>0</v>
      </c>
      <c r="AX126" s="36">
        <f t="shared" si="136"/>
        <v>0</v>
      </c>
      <c r="AY126" s="39" t="s">
        <v>508</v>
      </c>
      <c r="AZ126" s="39" t="s">
        <v>514</v>
      </c>
      <c r="BA126" s="35" t="s">
        <v>518</v>
      </c>
      <c r="BC126" s="36">
        <f t="shared" si="137"/>
        <v>0</v>
      </c>
      <c r="BD126" s="36">
        <f t="shared" si="138"/>
        <v>0</v>
      </c>
      <c r="BE126" s="36">
        <v>0</v>
      </c>
      <c r="BF126" s="36">
        <f>126</f>
        <v>126</v>
      </c>
      <c r="BH126" s="20">
        <f t="shared" si="139"/>
        <v>0</v>
      </c>
      <c r="BI126" s="20">
        <f t="shared" si="140"/>
        <v>0</v>
      </c>
      <c r="BJ126" s="20">
        <f t="shared" si="141"/>
        <v>0</v>
      </c>
      <c r="BK126" s="20" t="s">
        <v>524</v>
      </c>
      <c r="BL126" s="36" t="s">
        <v>275</v>
      </c>
    </row>
    <row r="127" spans="1:64" x14ac:dyDescent="0.25">
      <c r="A127" s="4" t="s">
        <v>112</v>
      </c>
      <c r="B127" s="13" t="s">
        <v>283</v>
      </c>
      <c r="C127" s="148" t="s">
        <v>430</v>
      </c>
      <c r="D127" s="149"/>
      <c r="E127" s="149"/>
      <c r="F127" s="149"/>
      <c r="G127" s="13" t="s">
        <v>471</v>
      </c>
      <c r="H127" s="80">
        <v>2</v>
      </c>
      <c r="I127" s="20">
        <v>0</v>
      </c>
      <c r="J127" s="20">
        <f t="shared" si="118"/>
        <v>0</v>
      </c>
      <c r="K127" s="20">
        <f t="shared" si="119"/>
        <v>0</v>
      </c>
      <c r="L127" s="20">
        <f t="shared" si="120"/>
        <v>0</v>
      </c>
      <c r="M127" s="31" t="s">
        <v>488</v>
      </c>
      <c r="N127" s="6"/>
      <c r="Z127" s="36">
        <f t="shared" si="121"/>
        <v>0</v>
      </c>
      <c r="AB127" s="36">
        <f t="shared" si="122"/>
        <v>0</v>
      </c>
      <c r="AC127" s="36">
        <f t="shared" si="123"/>
        <v>0</v>
      </c>
      <c r="AD127" s="36">
        <f t="shared" si="124"/>
        <v>0</v>
      </c>
      <c r="AE127" s="36">
        <f t="shared" si="125"/>
        <v>0</v>
      </c>
      <c r="AF127" s="36">
        <f t="shared" si="126"/>
        <v>0</v>
      </c>
      <c r="AG127" s="36">
        <f t="shared" si="127"/>
        <v>0</v>
      </c>
      <c r="AH127" s="36">
        <f t="shared" si="128"/>
        <v>0</v>
      </c>
      <c r="AI127" s="35" t="s">
        <v>498</v>
      </c>
      <c r="AJ127" s="20">
        <f t="shared" si="129"/>
        <v>0</v>
      </c>
      <c r="AK127" s="20">
        <f t="shared" si="130"/>
        <v>0</v>
      </c>
      <c r="AL127" s="20">
        <f t="shared" si="131"/>
        <v>0</v>
      </c>
      <c r="AN127" s="36">
        <v>21</v>
      </c>
      <c r="AO127" s="36">
        <f t="shared" si="132"/>
        <v>0</v>
      </c>
      <c r="AP127" s="36">
        <f t="shared" si="133"/>
        <v>0</v>
      </c>
      <c r="AQ127" s="37" t="s">
        <v>7</v>
      </c>
      <c r="AV127" s="36">
        <f t="shared" si="134"/>
        <v>0</v>
      </c>
      <c r="AW127" s="36">
        <f t="shared" si="135"/>
        <v>0</v>
      </c>
      <c r="AX127" s="36">
        <f t="shared" si="136"/>
        <v>0</v>
      </c>
      <c r="AY127" s="39" t="s">
        <v>508</v>
      </c>
      <c r="AZ127" s="39" t="s">
        <v>514</v>
      </c>
      <c r="BA127" s="35" t="s">
        <v>518</v>
      </c>
      <c r="BC127" s="36">
        <f t="shared" si="137"/>
        <v>0</v>
      </c>
      <c r="BD127" s="36">
        <f t="shared" si="138"/>
        <v>0</v>
      </c>
      <c r="BE127" s="36">
        <v>0</v>
      </c>
      <c r="BF127" s="36">
        <f>127</f>
        <v>127</v>
      </c>
      <c r="BH127" s="20">
        <f t="shared" si="139"/>
        <v>0</v>
      </c>
      <c r="BI127" s="20">
        <f t="shared" si="140"/>
        <v>0</v>
      </c>
      <c r="BJ127" s="20">
        <f t="shared" si="141"/>
        <v>0</v>
      </c>
      <c r="BK127" s="20" t="s">
        <v>524</v>
      </c>
      <c r="BL127" s="36" t="s">
        <v>275</v>
      </c>
    </row>
    <row r="128" spans="1:64" x14ac:dyDescent="0.25">
      <c r="A128" s="4" t="s">
        <v>113</v>
      </c>
      <c r="B128" s="13" t="s">
        <v>284</v>
      </c>
      <c r="C128" s="148" t="s">
        <v>423</v>
      </c>
      <c r="D128" s="149"/>
      <c r="E128" s="149"/>
      <c r="F128" s="149"/>
      <c r="G128" s="13" t="s">
        <v>471</v>
      </c>
      <c r="H128" s="80">
        <v>3</v>
      </c>
      <c r="I128" s="20">
        <v>0</v>
      </c>
      <c r="J128" s="20">
        <f t="shared" si="118"/>
        <v>0</v>
      </c>
      <c r="K128" s="20">
        <f t="shared" si="119"/>
        <v>0</v>
      </c>
      <c r="L128" s="20">
        <f t="shared" si="120"/>
        <v>0</v>
      </c>
      <c r="M128" s="31" t="s">
        <v>488</v>
      </c>
      <c r="N128" s="6"/>
      <c r="Z128" s="36">
        <f t="shared" si="121"/>
        <v>0</v>
      </c>
      <c r="AB128" s="36">
        <f t="shared" si="122"/>
        <v>0</v>
      </c>
      <c r="AC128" s="36">
        <f t="shared" si="123"/>
        <v>0</v>
      </c>
      <c r="AD128" s="36">
        <f t="shared" si="124"/>
        <v>0</v>
      </c>
      <c r="AE128" s="36">
        <f t="shared" si="125"/>
        <v>0</v>
      </c>
      <c r="AF128" s="36">
        <f t="shared" si="126"/>
        <v>0</v>
      </c>
      <c r="AG128" s="36">
        <f t="shared" si="127"/>
        <v>0</v>
      </c>
      <c r="AH128" s="36">
        <f t="shared" si="128"/>
        <v>0</v>
      </c>
      <c r="AI128" s="35" t="s">
        <v>498</v>
      </c>
      <c r="AJ128" s="20">
        <f t="shared" si="129"/>
        <v>0</v>
      </c>
      <c r="AK128" s="20">
        <f t="shared" si="130"/>
        <v>0</v>
      </c>
      <c r="AL128" s="20">
        <f t="shared" si="131"/>
        <v>0</v>
      </c>
      <c r="AN128" s="36">
        <v>21</v>
      </c>
      <c r="AO128" s="36">
        <f t="shared" si="132"/>
        <v>0</v>
      </c>
      <c r="AP128" s="36">
        <f t="shared" si="133"/>
        <v>0</v>
      </c>
      <c r="AQ128" s="37" t="s">
        <v>7</v>
      </c>
      <c r="AV128" s="36">
        <f t="shared" si="134"/>
        <v>0</v>
      </c>
      <c r="AW128" s="36">
        <f t="shared" si="135"/>
        <v>0</v>
      </c>
      <c r="AX128" s="36">
        <f t="shared" si="136"/>
        <v>0</v>
      </c>
      <c r="AY128" s="39" t="s">
        <v>508</v>
      </c>
      <c r="AZ128" s="39" t="s">
        <v>514</v>
      </c>
      <c r="BA128" s="35" t="s">
        <v>518</v>
      </c>
      <c r="BC128" s="36">
        <f t="shared" si="137"/>
        <v>0</v>
      </c>
      <c r="BD128" s="36">
        <f t="shared" si="138"/>
        <v>0</v>
      </c>
      <c r="BE128" s="36">
        <v>0</v>
      </c>
      <c r="BF128" s="36">
        <f>128</f>
        <v>128</v>
      </c>
      <c r="BH128" s="20">
        <f t="shared" si="139"/>
        <v>0</v>
      </c>
      <c r="BI128" s="20">
        <f t="shared" si="140"/>
        <v>0</v>
      </c>
      <c r="BJ128" s="20">
        <f t="shared" si="141"/>
        <v>0</v>
      </c>
      <c r="BK128" s="20" t="s">
        <v>524</v>
      </c>
      <c r="BL128" s="36" t="s">
        <v>275</v>
      </c>
    </row>
    <row r="129" spans="1:64" x14ac:dyDescent="0.25">
      <c r="A129" s="4" t="s">
        <v>114</v>
      </c>
      <c r="B129" s="13" t="s">
        <v>285</v>
      </c>
      <c r="C129" s="148" t="s">
        <v>402</v>
      </c>
      <c r="D129" s="149"/>
      <c r="E129" s="149"/>
      <c r="F129" s="149"/>
      <c r="G129" s="13" t="s">
        <v>471</v>
      </c>
      <c r="H129" s="80">
        <v>1</v>
      </c>
      <c r="I129" s="20">
        <v>0</v>
      </c>
      <c r="J129" s="20">
        <f t="shared" si="118"/>
        <v>0</v>
      </c>
      <c r="K129" s="20">
        <f t="shared" si="119"/>
        <v>0</v>
      </c>
      <c r="L129" s="20">
        <f t="shared" si="120"/>
        <v>0</v>
      </c>
      <c r="M129" s="31" t="s">
        <v>488</v>
      </c>
      <c r="N129" s="6"/>
      <c r="Z129" s="36">
        <f t="shared" si="121"/>
        <v>0</v>
      </c>
      <c r="AB129" s="36">
        <f t="shared" si="122"/>
        <v>0</v>
      </c>
      <c r="AC129" s="36">
        <f t="shared" si="123"/>
        <v>0</v>
      </c>
      <c r="AD129" s="36">
        <f t="shared" si="124"/>
        <v>0</v>
      </c>
      <c r="AE129" s="36">
        <f t="shared" si="125"/>
        <v>0</v>
      </c>
      <c r="AF129" s="36">
        <f t="shared" si="126"/>
        <v>0</v>
      </c>
      <c r="AG129" s="36">
        <f t="shared" si="127"/>
        <v>0</v>
      </c>
      <c r="AH129" s="36">
        <f t="shared" si="128"/>
        <v>0</v>
      </c>
      <c r="AI129" s="35" t="s">
        <v>498</v>
      </c>
      <c r="AJ129" s="20">
        <f t="shared" si="129"/>
        <v>0</v>
      </c>
      <c r="AK129" s="20">
        <f t="shared" si="130"/>
        <v>0</v>
      </c>
      <c r="AL129" s="20">
        <f t="shared" si="131"/>
        <v>0</v>
      </c>
      <c r="AN129" s="36">
        <v>21</v>
      </c>
      <c r="AO129" s="36">
        <f t="shared" si="132"/>
        <v>0</v>
      </c>
      <c r="AP129" s="36">
        <f t="shared" si="133"/>
        <v>0</v>
      </c>
      <c r="AQ129" s="37" t="s">
        <v>7</v>
      </c>
      <c r="AV129" s="36">
        <f t="shared" si="134"/>
        <v>0</v>
      </c>
      <c r="AW129" s="36">
        <f t="shared" si="135"/>
        <v>0</v>
      </c>
      <c r="AX129" s="36">
        <f t="shared" si="136"/>
        <v>0</v>
      </c>
      <c r="AY129" s="39" t="s">
        <v>508</v>
      </c>
      <c r="AZ129" s="39" t="s">
        <v>514</v>
      </c>
      <c r="BA129" s="35" t="s">
        <v>518</v>
      </c>
      <c r="BC129" s="36">
        <f t="shared" si="137"/>
        <v>0</v>
      </c>
      <c r="BD129" s="36">
        <f t="shared" si="138"/>
        <v>0</v>
      </c>
      <c r="BE129" s="36">
        <v>0</v>
      </c>
      <c r="BF129" s="36">
        <f>129</f>
        <v>129</v>
      </c>
      <c r="BH129" s="20">
        <f t="shared" si="139"/>
        <v>0</v>
      </c>
      <c r="BI129" s="20">
        <f t="shared" si="140"/>
        <v>0</v>
      </c>
      <c r="BJ129" s="20">
        <f t="shared" si="141"/>
        <v>0</v>
      </c>
      <c r="BK129" s="20" t="s">
        <v>524</v>
      </c>
      <c r="BL129" s="36" t="s">
        <v>275</v>
      </c>
    </row>
    <row r="130" spans="1:64" x14ac:dyDescent="0.25">
      <c r="A130" s="4" t="s">
        <v>115</v>
      </c>
      <c r="B130" s="13" t="s">
        <v>286</v>
      </c>
      <c r="C130" s="148" t="s">
        <v>431</v>
      </c>
      <c r="D130" s="149"/>
      <c r="E130" s="149"/>
      <c r="F130" s="149"/>
      <c r="G130" s="13" t="s">
        <v>471</v>
      </c>
      <c r="H130" s="80">
        <v>1</v>
      </c>
      <c r="I130" s="20">
        <v>0</v>
      </c>
      <c r="J130" s="20">
        <f t="shared" si="118"/>
        <v>0</v>
      </c>
      <c r="K130" s="20">
        <f t="shared" si="119"/>
        <v>0</v>
      </c>
      <c r="L130" s="20">
        <f t="shared" si="120"/>
        <v>0</v>
      </c>
      <c r="M130" s="31" t="s">
        <v>488</v>
      </c>
      <c r="N130" s="6"/>
      <c r="Z130" s="36">
        <f t="shared" si="121"/>
        <v>0</v>
      </c>
      <c r="AB130" s="36">
        <f t="shared" si="122"/>
        <v>0</v>
      </c>
      <c r="AC130" s="36">
        <f t="shared" si="123"/>
        <v>0</v>
      </c>
      <c r="AD130" s="36">
        <f t="shared" si="124"/>
        <v>0</v>
      </c>
      <c r="AE130" s="36">
        <f t="shared" si="125"/>
        <v>0</v>
      </c>
      <c r="AF130" s="36">
        <f t="shared" si="126"/>
        <v>0</v>
      </c>
      <c r="AG130" s="36">
        <f t="shared" si="127"/>
        <v>0</v>
      </c>
      <c r="AH130" s="36">
        <f t="shared" si="128"/>
        <v>0</v>
      </c>
      <c r="AI130" s="35" t="s">
        <v>498</v>
      </c>
      <c r="AJ130" s="20">
        <f t="shared" si="129"/>
        <v>0</v>
      </c>
      <c r="AK130" s="20">
        <f t="shared" si="130"/>
        <v>0</v>
      </c>
      <c r="AL130" s="20">
        <f t="shared" si="131"/>
        <v>0</v>
      </c>
      <c r="AN130" s="36">
        <v>21</v>
      </c>
      <c r="AO130" s="36">
        <f t="shared" si="132"/>
        <v>0</v>
      </c>
      <c r="AP130" s="36">
        <f t="shared" si="133"/>
        <v>0</v>
      </c>
      <c r="AQ130" s="37" t="s">
        <v>7</v>
      </c>
      <c r="AV130" s="36">
        <f t="shared" si="134"/>
        <v>0</v>
      </c>
      <c r="AW130" s="36">
        <f t="shared" si="135"/>
        <v>0</v>
      </c>
      <c r="AX130" s="36">
        <f t="shared" si="136"/>
        <v>0</v>
      </c>
      <c r="AY130" s="39" t="s">
        <v>508</v>
      </c>
      <c r="AZ130" s="39" t="s">
        <v>514</v>
      </c>
      <c r="BA130" s="35" t="s">
        <v>518</v>
      </c>
      <c r="BC130" s="36">
        <f t="shared" si="137"/>
        <v>0</v>
      </c>
      <c r="BD130" s="36">
        <f t="shared" si="138"/>
        <v>0</v>
      </c>
      <c r="BE130" s="36">
        <v>0</v>
      </c>
      <c r="BF130" s="36">
        <f>130</f>
        <v>130</v>
      </c>
      <c r="BH130" s="20">
        <f t="shared" si="139"/>
        <v>0</v>
      </c>
      <c r="BI130" s="20">
        <f t="shared" si="140"/>
        <v>0</v>
      </c>
      <c r="BJ130" s="20">
        <f t="shared" si="141"/>
        <v>0</v>
      </c>
      <c r="BK130" s="20" t="s">
        <v>524</v>
      </c>
      <c r="BL130" s="36" t="s">
        <v>275</v>
      </c>
    </row>
    <row r="131" spans="1:64" x14ac:dyDescent="0.25">
      <c r="A131" s="4" t="s">
        <v>116</v>
      </c>
      <c r="B131" s="13" t="s">
        <v>287</v>
      </c>
      <c r="C131" s="148" t="s">
        <v>432</v>
      </c>
      <c r="D131" s="149"/>
      <c r="E131" s="149"/>
      <c r="F131" s="149"/>
      <c r="G131" s="13" t="s">
        <v>471</v>
      </c>
      <c r="H131" s="80">
        <v>1</v>
      </c>
      <c r="I131" s="20">
        <v>0</v>
      </c>
      <c r="J131" s="20">
        <f t="shared" si="118"/>
        <v>0</v>
      </c>
      <c r="K131" s="20">
        <f t="shared" si="119"/>
        <v>0</v>
      </c>
      <c r="L131" s="20">
        <f t="shared" si="120"/>
        <v>0</v>
      </c>
      <c r="M131" s="31" t="s">
        <v>488</v>
      </c>
      <c r="N131" s="6"/>
      <c r="Z131" s="36">
        <f t="shared" si="121"/>
        <v>0</v>
      </c>
      <c r="AB131" s="36">
        <f t="shared" si="122"/>
        <v>0</v>
      </c>
      <c r="AC131" s="36">
        <f t="shared" si="123"/>
        <v>0</v>
      </c>
      <c r="AD131" s="36">
        <f t="shared" si="124"/>
        <v>0</v>
      </c>
      <c r="AE131" s="36">
        <f t="shared" si="125"/>
        <v>0</v>
      </c>
      <c r="AF131" s="36">
        <f t="shared" si="126"/>
        <v>0</v>
      </c>
      <c r="AG131" s="36">
        <f t="shared" si="127"/>
        <v>0</v>
      </c>
      <c r="AH131" s="36">
        <f t="shared" si="128"/>
        <v>0</v>
      </c>
      <c r="AI131" s="35" t="s">
        <v>498</v>
      </c>
      <c r="AJ131" s="20">
        <f t="shared" si="129"/>
        <v>0</v>
      </c>
      <c r="AK131" s="20">
        <f t="shared" si="130"/>
        <v>0</v>
      </c>
      <c r="AL131" s="20">
        <f t="shared" si="131"/>
        <v>0</v>
      </c>
      <c r="AN131" s="36">
        <v>21</v>
      </c>
      <c r="AO131" s="36">
        <f t="shared" si="132"/>
        <v>0</v>
      </c>
      <c r="AP131" s="36">
        <f t="shared" si="133"/>
        <v>0</v>
      </c>
      <c r="AQ131" s="37" t="s">
        <v>7</v>
      </c>
      <c r="AV131" s="36">
        <f t="shared" si="134"/>
        <v>0</v>
      </c>
      <c r="AW131" s="36">
        <f t="shared" si="135"/>
        <v>0</v>
      </c>
      <c r="AX131" s="36">
        <f t="shared" si="136"/>
        <v>0</v>
      </c>
      <c r="AY131" s="39" t="s">
        <v>508</v>
      </c>
      <c r="AZ131" s="39" t="s">
        <v>514</v>
      </c>
      <c r="BA131" s="35" t="s">
        <v>518</v>
      </c>
      <c r="BC131" s="36">
        <f t="shared" si="137"/>
        <v>0</v>
      </c>
      <c r="BD131" s="36">
        <f t="shared" si="138"/>
        <v>0</v>
      </c>
      <c r="BE131" s="36">
        <v>0</v>
      </c>
      <c r="BF131" s="36">
        <f>131</f>
        <v>131</v>
      </c>
      <c r="BH131" s="20">
        <f t="shared" si="139"/>
        <v>0</v>
      </c>
      <c r="BI131" s="20">
        <f t="shared" si="140"/>
        <v>0</v>
      </c>
      <c r="BJ131" s="20">
        <f t="shared" si="141"/>
        <v>0</v>
      </c>
      <c r="BK131" s="20" t="s">
        <v>524</v>
      </c>
      <c r="BL131" s="36" t="s">
        <v>275</v>
      </c>
    </row>
    <row r="132" spans="1:64" x14ac:dyDescent="0.25">
      <c r="A132" s="4" t="s">
        <v>117</v>
      </c>
      <c r="B132" s="13" t="s">
        <v>288</v>
      </c>
      <c r="C132" s="148" t="s">
        <v>407</v>
      </c>
      <c r="D132" s="149"/>
      <c r="E132" s="149"/>
      <c r="F132" s="149"/>
      <c r="G132" s="13" t="s">
        <v>471</v>
      </c>
      <c r="H132" s="80">
        <v>1</v>
      </c>
      <c r="I132" s="20">
        <v>0</v>
      </c>
      <c r="J132" s="20">
        <f t="shared" si="118"/>
        <v>0</v>
      </c>
      <c r="K132" s="20">
        <f t="shared" si="119"/>
        <v>0</v>
      </c>
      <c r="L132" s="20">
        <f t="shared" si="120"/>
        <v>0</v>
      </c>
      <c r="M132" s="31" t="s">
        <v>488</v>
      </c>
      <c r="N132" s="6"/>
      <c r="Z132" s="36">
        <f t="shared" si="121"/>
        <v>0</v>
      </c>
      <c r="AB132" s="36">
        <f t="shared" si="122"/>
        <v>0</v>
      </c>
      <c r="AC132" s="36">
        <f t="shared" si="123"/>
        <v>0</v>
      </c>
      <c r="AD132" s="36">
        <f t="shared" si="124"/>
        <v>0</v>
      </c>
      <c r="AE132" s="36">
        <f t="shared" si="125"/>
        <v>0</v>
      </c>
      <c r="AF132" s="36">
        <f t="shared" si="126"/>
        <v>0</v>
      </c>
      <c r="AG132" s="36">
        <f t="shared" si="127"/>
        <v>0</v>
      </c>
      <c r="AH132" s="36">
        <f t="shared" si="128"/>
        <v>0</v>
      </c>
      <c r="AI132" s="35" t="s">
        <v>498</v>
      </c>
      <c r="AJ132" s="20">
        <f t="shared" si="129"/>
        <v>0</v>
      </c>
      <c r="AK132" s="20">
        <f t="shared" si="130"/>
        <v>0</v>
      </c>
      <c r="AL132" s="20">
        <f t="shared" si="131"/>
        <v>0</v>
      </c>
      <c r="AN132" s="36">
        <v>21</v>
      </c>
      <c r="AO132" s="36">
        <f t="shared" si="132"/>
        <v>0</v>
      </c>
      <c r="AP132" s="36">
        <f t="shared" si="133"/>
        <v>0</v>
      </c>
      <c r="AQ132" s="37" t="s">
        <v>7</v>
      </c>
      <c r="AV132" s="36">
        <f t="shared" si="134"/>
        <v>0</v>
      </c>
      <c r="AW132" s="36">
        <f t="shared" si="135"/>
        <v>0</v>
      </c>
      <c r="AX132" s="36">
        <f t="shared" si="136"/>
        <v>0</v>
      </c>
      <c r="AY132" s="39" t="s">
        <v>508</v>
      </c>
      <c r="AZ132" s="39" t="s">
        <v>514</v>
      </c>
      <c r="BA132" s="35" t="s">
        <v>518</v>
      </c>
      <c r="BC132" s="36">
        <f t="shared" si="137"/>
        <v>0</v>
      </c>
      <c r="BD132" s="36">
        <f t="shared" si="138"/>
        <v>0</v>
      </c>
      <c r="BE132" s="36">
        <v>0</v>
      </c>
      <c r="BF132" s="36">
        <f>132</f>
        <v>132</v>
      </c>
      <c r="BH132" s="20">
        <f t="shared" si="139"/>
        <v>0</v>
      </c>
      <c r="BI132" s="20">
        <f t="shared" si="140"/>
        <v>0</v>
      </c>
      <c r="BJ132" s="20">
        <f t="shared" si="141"/>
        <v>0</v>
      </c>
      <c r="BK132" s="20" t="s">
        <v>524</v>
      </c>
      <c r="BL132" s="36" t="s">
        <v>275</v>
      </c>
    </row>
    <row r="133" spans="1:64" x14ac:dyDescent="0.25">
      <c r="A133" s="4" t="s">
        <v>118</v>
      </c>
      <c r="B133" s="13" t="s">
        <v>289</v>
      </c>
      <c r="C133" s="148" t="s">
        <v>409</v>
      </c>
      <c r="D133" s="149"/>
      <c r="E133" s="149"/>
      <c r="F133" s="149"/>
      <c r="G133" s="13" t="s">
        <v>471</v>
      </c>
      <c r="H133" s="80">
        <v>70</v>
      </c>
      <c r="I133" s="20">
        <v>0</v>
      </c>
      <c r="J133" s="20">
        <f t="shared" si="118"/>
        <v>0</v>
      </c>
      <c r="K133" s="20">
        <f t="shared" si="119"/>
        <v>0</v>
      </c>
      <c r="L133" s="20">
        <f t="shared" si="120"/>
        <v>0</v>
      </c>
      <c r="M133" s="31" t="s">
        <v>488</v>
      </c>
      <c r="N133" s="6"/>
      <c r="Z133" s="36">
        <f t="shared" si="121"/>
        <v>0</v>
      </c>
      <c r="AB133" s="36">
        <f t="shared" si="122"/>
        <v>0</v>
      </c>
      <c r="AC133" s="36">
        <f t="shared" si="123"/>
        <v>0</v>
      </c>
      <c r="AD133" s="36">
        <f t="shared" si="124"/>
        <v>0</v>
      </c>
      <c r="AE133" s="36">
        <f t="shared" si="125"/>
        <v>0</v>
      </c>
      <c r="AF133" s="36">
        <f t="shared" si="126"/>
        <v>0</v>
      </c>
      <c r="AG133" s="36">
        <f t="shared" si="127"/>
        <v>0</v>
      </c>
      <c r="AH133" s="36">
        <f t="shared" si="128"/>
        <v>0</v>
      </c>
      <c r="AI133" s="35" t="s">
        <v>498</v>
      </c>
      <c r="AJ133" s="20">
        <f t="shared" si="129"/>
        <v>0</v>
      </c>
      <c r="AK133" s="20">
        <f t="shared" si="130"/>
        <v>0</v>
      </c>
      <c r="AL133" s="20">
        <f t="shared" si="131"/>
        <v>0</v>
      </c>
      <c r="AN133" s="36">
        <v>21</v>
      </c>
      <c r="AO133" s="36">
        <f t="shared" si="132"/>
        <v>0</v>
      </c>
      <c r="AP133" s="36">
        <f t="shared" si="133"/>
        <v>0</v>
      </c>
      <c r="AQ133" s="37" t="s">
        <v>7</v>
      </c>
      <c r="AV133" s="36">
        <f t="shared" si="134"/>
        <v>0</v>
      </c>
      <c r="AW133" s="36">
        <f t="shared" si="135"/>
        <v>0</v>
      </c>
      <c r="AX133" s="36">
        <f t="shared" si="136"/>
        <v>0</v>
      </c>
      <c r="AY133" s="39" t="s">
        <v>508</v>
      </c>
      <c r="AZ133" s="39" t="s">
        <v>514</v>
      </c>
      <c r="BA133" s="35" t="s">
        <v>518</v>
      </c>
      <c r="BC133" s="36">
        <f t="shared" si="137"/>
        <v>0</v>
      </c>
      <c r="BD133" s="36">
        <f t="shared" si="138"/>
        <v>0</v>
      </c>
      <c r="BE133" s="36">
        <v>0</v>
      </c>
      <c r="BF133" s="36">
        <f>133</f>
        <v>133</v>
      </c>
      <c r="BH133" s="20">
        <f t="shared" si="139"/>
        <v>0</v>
      </c>
      <c r="BI133" s="20">
        <f t="shared" si="140"/>
        <v>0</v>
      </c>
      <c r="BJ133" s="20">
        <f t="shared" si="141"/>
        <v>0</v>
      </c>
      <c r="BK133" s="20" t="s">
        <v>524</v>
      </c>
      <c r="BL133" s="36" t="s">
        <v>275</v>
      </c>
    </row>
    <row r="134" spans="1:64" x14ac:dyDescent="0.25">
      <c r="A134" s="4" t="s">
        <v>119</v>
      </c>
      <c r="B134" s="13" t="s">
        <v>290</v>
      </c>
      <c r="C134" s="148" t="s">
        <v>411</v>
      </c>
      <c r="D134" s="149"/>
      <c r="E134" s="149"/>
      <c r="F134" s="149"/>
      <c r="G134" s="13" t="s">
        <v>471</v>
      </c>
      <c r="H134" s="80">
        <v>3</v>
      </c>
      <c r="I134" s="20">
        <v>0</v>
      </c>
      <c r="J134" s="20">
        <f t="shared" si="118"/>
        <v>0</v>
      </c>
      <c r="K134" s="20">
        <f t="shared" si="119"/>
        <v>0</v>
      </c>
      <c r="L134" s="20">
        <f t="shared" si="120"/>
        <v>0</v>
      </c>
      <c r="M134" s="31" t="s">
        <v>488</v>
      </c>
      <c r="N134" s="6"/>
      <c r="Z134" s="36">
        <f t="shared" si="121"/>
        <v>0</v>
      </c>
      <c r="AB134" s="36">
        <f t="shared" si="122"/>
        <v>0</v>
      </c>
      <c r="AC134" s="36">
        <f t="shared" si="123"/>
        <v>0</v>
      </c>
      <c r="AD134" s="36">
        <f t="shared" si="124"/>
        <v>0</v>
      </c>
      <c r="AE134" s="36">
        <f t="shared" si="125"/>
        <v>0</v>
      </c>
      <c r="AF134" s="36">
        <f t="shared" si="126"/>
        <v>0</v>
      </c>
      <c r="AG134" s="36">
        <f t="shared" si="127"/>
        <v>0</v>
      </c>
      <c r="AH134" s="36">
        <f t="shared" si="128"/>
        <v>0</v>
      </c>
      <c r="AI134" s="35" t="s">
        <v>498</v>
      </c>
      <c r="AJ134" s="20">
        <f t="shared" si="129"/>
        <v>0</v>
      </c>
      <c r="AK134" s="20">
        <f t="shared" si="130"/>
        <v>0</v>
      </c>
      <c r="AL134" s="20">
        <f t="shared" si="131"/>
        <v>0</v>
      </c>
      <c r="AN134" s="36">
        <v>21</v>
      </c>
      <c r="AO134" s="36">
        <f t="shared" si="132"/>
        <v>0</v>
      </c>
      <c r="AP134" s="36">
        <f t="shared" si="133"/>
        <v>0</v>
      </c>
      <c r="AQ134" s="37" t="s">
        <v>7</v>
      </c>
      <c r="AV134" s="36">
        <f t="shared" si="134"/>
        <v>0</v>
      </c>
      <c r="AW134" s="36">
        <f t="shared" si="135"/>
        <v>0</v>
      </c>
      <c r="AX134" s="36">
        <f t="shared" si="136"/>
        <v>0</v>
      </c>
      <c r="AY134" s="39" t="s">
        <v>508</v>
      </c>
      <c r="AZ134" s="39" t="s">
        <v>514</v>
      </c>
      <c r="BA134" s="35" t="s">
        <v>518</v>
      </c>
      <c r="BC134" s="36">
        <f t="shared" si="137"/>
        <v>0</v>
      </c>
      <c r="BD134" s="36">
        <f t="shared" si="138"/>
        <v>0</v>
      </c>
      <c r="BE134" s="36">
        <v>0</v>
      </c>
      <c r="BF134" s="36">
        <f>134</f>
        <v>134</v>
      </c>
      <c r="BH134" s="20">
        <f t="shared" si="139"/>
        <v>0</v>
      </c>
      <c r="BI134" s="20">
        <f t="shared" si="140"/>
        <v>0</v>
      </c>
      <c r="BJ134" s="20">
        <f t="shared" si="141"/>
        <v>0</v>
      </c>
      <c r="BK134" s="20" t="s">
        <v>524</v>
      </c>
      <c r="BL134" s="36" t="s">
        <v>275</v>
      </c>
    </row>
    <row r="135" spans="1:64" x14ac:dyDescent="0.25">
      <c r="A135" s="4" t="s">
        <v>120</v>
      </c>
      <c r="B135" s="13" t="s">
        <v>291</v>
      </c>
      <c r="C135" s="148" t="s">
        <v>413</v>
      </c>
      <c r="D135" s="149"/>
      <c r="E135" s="149"/>
      <c r="F135" s="149"/>
      <c r="G135" s="13" t="s">
        <v>471</v>
      </c>
      <c r="H135" s="80">
        <v>175</v>
      </c>
      <c r="I135" s="20">
        <v>0</v>
      </c>
      <c r="J135" s="20">
        <f t="shared" si="118"/>
        <v>0</v>
      </c>
      <c r="K135" s="20">
        <f t="shared" si="119"/>
        <v>0</v>
      </c>
      <c r="L135" s="20">
        <f t="shared" si="120"/>
        <v>0</v>
      </c>
      <c r="M135" s="31" t="s">
        <v>488</v>
      </c>
      <c r="N135" s="6"/>
      <c r="Z135" s="36">
        <f t="shared" si="121"/>
        <v>0</v>
      </c>
      <c r="AB135" s="36">
        <f t="shared" si="122"/>
        <v>0</v>
      </c>
      <c r="AC135" s="36">
        <f t="shared" si="123"/>
        <v>0</v>
      </c>
      <c r="AD135" s="36">
        <f t="shared" si="124"/>
        <v>0</v>
      </c>
      <c r="AE135" s="36">
        <f t="shared" si="125"/>
        <v>0</v>
      </c>
      <c r="AF135" s="36">
        <f t="shared" si="126"/>
        <v>0</v>
      </c>
      <c r="AG135" s="36">
        <f t="shared" si="127"/>
        <v>0</v>
      </c>
      <c r="AH135" s="36">
        <f t="shared" si="128"/>
        <v>0</v>
      </c>
      <c r="AI135" s="35" t="s">
        <v>498</v>
      </c>
      <c r="AJ135" s="20">
        <f t="shared" si="129"/>
        <v>0</v>
      </c>
      <c r="AK135" s="20">
        <f t="shared" si="130"/>
        <v>0</v>
      </c>
      <c r="AL135" s="20">
        <f t="shared" si="131"/>
        <v>0</v>
      </c>
      <c r="AN135" s="36">
        <v>21</v>
      </c>
      <c r="AO135" s="36">
        <f>I135*0</f>
        <v>0</v>
      </c>
      <c r="AP135" s="36">
        <f>I135*(1-0)</f>
        <v>0</v>
      </c>
      <c r="AQ135" s="37" t="s">
        <v>7</v>
      </c>
      <c r="AV135" s="36">
        <f t="shared" si="134"/>
        <v>0</v>
      </c>
      <c r="AW135" s="36">
        <f t="shared" si="135"/>
        <v>0</v>
      </c>
      <c r="AX135" s="36">
        <f t="shared" si="136"/>
        <v>0</v>
      </c>
      <c r="AY135" s="39" t="s">
        <v>508</v>
      </c>
      <c r="AZ135" s="39" t="s">
        <v>514</v>
      </c>
      <c r="BA135" s="35" t="s">
        <v>518</v>
      </c>
      <c r="BC135" s="36">
        <f t="shared" si="137"/>
        <v>0</v>
      </c>
      <c r="BD135" s="36">
        <f t="shared" si="138"/>
        <v>0</v>
      </c>
      <c r="BE135" s="36">
        <v>0</v>
      </c>
      <c r="BF135" s="36">
        <f>135</f>
        <v>135</v>
      </c>
      <c r="BH135" s="20">
        <f t="shared" si="139"/>
        <v>0</v>
      </c>
      <c r="BI135" s="20">
        <f t="shared" si="140"/>
        <v>0</v>
      </c>
      <c r="BJ135" s="20">
        <f t="shared" si="141"/>
        <v>0</v>
      </c>
      <c r="BK135" s="20" t="s">
        <v>524</v>
      </c>
      <c r="BL135" s="36" t="s">
        <v>275</v>
      </c>
    </row>
    <row r="136" spans="1:64" x14ac:dyDescent="0.25">
      <c r="A136" s="4" t="s">
        <v>121</v>
      </c>
      <c r="B136" s="13" t="s">
        <v>292</v>
      </c>
      <c r="C136" s="148" t="s">
        <v>414</v>
      </c>
      <c r="D136" s="149"/>
      <c r="E136" s="149"/>
      <c r="F136" s="149"/>
      <c r="G136" s="13" t="s">
        <v>471</v>
      </c>
      <c r="H136" s="80">
        <v>1</v>
      </c>
      <c r="I136" s="20">
        <v>0</v>
      </c>
      <c r="J136" s="20">
        <f t="shared" si="118"/>
        <v>0</v>
      </c>
      <c r="K136" s="20">
        <f t="shared" si="119"/>
        <v>0</v>
      </c>
      <c r="L136" s="20">
        <f t="shared" si="120"/>
        <v>0</v>
      </c>
      <c r="M136" s="31" t="s">
        <v>488</v>
      </c>
      <c r="N136" s="6"/>
      <c r="Z136" s="36">
        <f t="shared" si="121"/>
        <v>0</v>
      </c>
      <c r="AB136" s="36">
        <f t="shared" si="122"/>
        <v>0</v>
      </c>
      <c r="AC136" s="36">
        <f t="shared" si="123"/>
        <v>0</v>
      </c>
      <c r="AD136" s="36">
        <f t="shared" si="124"/>
        <v>0</v>
      </c>
      <c r="AE136" s="36">
        <f t="shared" si="125"/>
        <v>0</v>
      </c>
      <c r="AF136" s="36">
        <f t="shared" si="126"/>
        <v>0</v>
      </c>
      <c r="AG136" s="36">
        <f t="shared" si="127"/>
        <v>0</v>
      </c>
      <c r="AH136" s="36">
        <f t="shared" si="128"/>
        <v>0</v>
      </c>
      <c r="AI136" s="35" t="s">
        <v>498</v>
      </c>
      <c r="AJ136" s="20">
        <f t="shared" si="129"/>
        <v>0</v>
      </c>
      <c r="AK136" s="20">
        <f t="shared" si="130"/>
        <v>0</v>
      </c>
      <c r="AL136" s="20">
        <f t="shared" si="131"/>
        <v>0</v>
      </c>
      <c r="AN136" s="36">
        <v>21</v>
      </c>
      <c r="AO136" s="36">
        <f>I136*1</f>
        <v>0</v>
      </c>
      <c r="AP136" s="36">
        <f>I136*(1-1)</f>
        <v>0</v>
      </c>
      <c r="AQ136" s="37" t="s">
        <v>7</v>
      </c>
      <c r="AV136" s="36">
        <f t="shared" si="134"/>
        <v>0</v>
      </c>
      <c r="AW136" s="36">
        <f t="shared" si="135"/>
        <v>0</v>
      </c>
      <c r="AX136" s="36">
        <f t="shared" si="136"/>
        <v>0</v>
      </c>
      <c r="AY136" s="39" t="s">
        <v>508</v>
      </c>
      <c r="AZ136" s="39" t="s">
        <v>514</v>
      </c>
      <c r="BA136" s="35" t="s">
        <v>518</v>
      </c>
      <c r="BC136" s="36">
        <f t="shared" si="137"/>
        <v>0</v>
      </c>
      <c r="BD136" s="36">
        <f t="shared" si="138"/>
        <v>0</v>
      </c>
      <c r="BE136" s="36">
        <v>0</v>
      </c>
      <c r="BF136" s="36">
        <f>136</f>
        <v>136</v>
      </c>
      <c r="BH136" s="20">
        <f t="shared" si="139"/>
        <v>0</v>
      </c>
      <c r="BI136" s="20">
        <f t="shared" si="140"/>
        <v>0</v>
      </c>
      <c r="BJ136" s="20">
        <f t="shared" si="141"/>
        <v>0</v>
      </c>
      <c r="BK136" s="20" t="s">
        <v>524</v>
      </c>
      <c r="BL136" s="36" t="s">
        <v>275</v>
      </c>
    </row>
    <row r="137" spans="1:64" x14ac:dyDescent="0.25">
      <c r="A137" s="4" t="s">
        <v>122</v>
      </c>
      <c r="B137" s="13" t="s">
        <v>293</v>
      </c>
      <c r="C137" s="148" t="s">
        <v>415</v>
      </c>
      <c r="D137" s="149"/>
      <c r="E137" s="149"/>
      <c r="F137" s="149"/>
      <c r="G137" s="13" t="s">
        <v>471</v>
      </c>
      <c r="H137" s="80">
        <v>1</v>
      </c>
      <c r="I137" s="20">
        <v>0</v>
      </c>
      <c r="J137" s="20">
        <f t="shared" si="118"/>
        <v>0</v>
      </c>
      <c r="K137" s="20">
        <f t="shared" si="119"/>
        <v>0</v>
      </c>
      <c r="L137" s="20">
        <f t="shared" si="120"/>
        <v>0</v>
      </c>
      <c r="M137" s="31" t="s">
        <v>488</v>
      </c>
      <c r="N137" s="6"/>
      <c r="Z137" s="36">
        <f t="shared" si="121"/>
        <v>0</v>
      </c>
      <c r="AB137" s="36">
        <f t="shared" si="122"/>
        <v>0</v>
      </c>
      <c r="AC137" s="36">
        <f t="shared" si="123"/>
        <v>0</v>
      </c>
      <c r="AD137" s="36">
        <f t="shared" si="124"/>
        <v>0</v>
      </c>
      <c r="AE137" s="36">
        <f t="shared" si="125"/>
        <v>0</v>
      </c>
      <c r="AF137" s="36">
        <f t="shared" si="126"/>
        <v>0</v>
      </c>
      <c r="AG137" s="36">
        <f t="shared" si="127"/>
        <v>0</v>
      </c>
      <c r="AH137" s="36">
        <f t="shared" si="128"/>
        <v>0</v>
      </c>
      <c r="AI137" s="35" t="s">
        <v>498</v>
      </c>
      <c r="AJ137" s="20">
        <f t="shared" si="129"/>
        <v>0</v>
      </c>
      <c r="AK137" s="20">
        <f t="shared" si="130"/>
        <v>0</v>
      </c>
      <c r="AL137" s="20">
        <f t="shared" si="131"/>
        <v>0</v>
      </c>
      <c r="AN137" s="36">
        <v>21</v>
      </c>
      <c r="AO137" s="36">
        <f>I137*0</f>
        <v>0</v>
      </c>
      <c r="AP137" s="36">
        <f>I137*(1-0)</f>
        <v>0</v>
      </c>
      <c r="AQ137" s="37" t="s">
        <v>7</v>
      </c>
      <c r="AV137" s="36">
        <f t="shared" si="134"/>
        <v>0</v>
      </c>
      <c r="AW137" s="36">
        <f t="shared" si="135"/>
        <v>0</v>
      </c>
      <c r="AX137" s="36">
        <f t="shared" si="136"/>
        <v>0</v>
      </c>
      <c r="AY137" s="39" t="s">
        <v>508</v>
      </c>
      <c r="AZ137" s="39" t="s">
        <v>514</v>
      </c>
      <c r="BA137" s="35" t="s">
        <v>518</v>
      </c>
      <c r="BC137" s="36">
        <f t="shared" si="137"/>
        <v>0</v>
      </c>
      <c r="BD137" s="36">
        <f t="shared" si="138"/>
        <v>0</v>
      </c>
      <c r="BE137" s="36">
        <v>0</v>
      </c>
      <c r="BF137" s="36">
        <f>137</f>
        <v>137</v>
      </c>
      <c r="BH137" s="20">
        <f t="shared" si="139"/>
        <v>0</v>
      </c>
      <c r="BI137" s="20">
        <f t="shared" si="140"/>
        <v>0</v>
      </c>
      <c r="BJ137" s="20">
        <f t="shared" si="141"/>
        <v>0</v>
      </c>
      <c r="BK137" s="20" t="s">
        <v>524</v>
      </c>
      <c r="BL137" s="36" t="s">
        <v>275</v>
      </c>
    </row>
    <row r="138" spans="1:64" x14ac:dyDescent="0.25">
      <c r="A138" s="4" t="s">
        <v>123</v>
      </c>
      <c r="B138" s="13" t="s">
        <v>294</v>
      </c>
      <c r="C138" s="148" t="s">
        <v>416</v>
      </c>
      <c r="D138" s="149"/>
      <c r="E138" s="149"/>
      <c r="F138" s="149"/>
      <c r="G138" s="13" t="s">
        <v>471</v>
      </c>
      <c r="H138" s="80">
        <v>1</v>
      </c>
      <c r="I138" s="20">
        <v>0</v>
      </c>
      <c r="J138" s="20">
        <f t="shared" si="118"/>
        <v>0</v>
      </c>
      <c r="K138" s="20">
        <f t="shared" si="119"/>
        <v>0</v>
      </c>
      <c r="L138" s="20">
        <f t="shared" si="120"/>
        <v>0</v>
      </c>
      <c r="M138" s="31" t="s">
        <v>488</v>
      </c>
      <c r="N138" s="6"/>
      <c r="Z138" s="36">
        <f t="shared" si="121"/>
        <v>0</v>
      </c>
      <c r="AB138" s="36">
        <f t="shared" si="122"/>
        <v>0</v>
      </c>
      <c r="AC138" s="36">
        <f t="shared" si="123"/>
        <v>0</v>
      </c>
      <c r="AD138" s="36">
        <f t="shared" si="124"/>
        <v>0</v>
      </c>
      <c r="AE138" s="36">
        <f t="shared" si="125"/>
        <v>0</v>
      </c>
      <c r="AF138" s="36">
        <f t="shared" si="126"/>
        <v>0</v>
      </c>
      <c r="AG138" s="36">
        <f t="shared" si="127"/>
        <v>0</v>
      </c>
      <c r="AH138" s="36">
        <f t="shared" si="128"/>
        <v>0</v>
      </c>
      <c r="AI138" s="35" t="s">
        <v>498</v>
      </c>
      <c r="AJ138" s="20">
        <f t="shared" si="129"/>
        <v>0</v>
      </c>
      <c r="AK138" s="20">
        <f t="shared" si="130"/>
        <v>0</v>
      </c>
      <c r="AL138" s="20">
        <f t="shared" si="131"/>
        <v>0</v>
      </c>
      <c r="AN138" s="36">
        <v>21</v>
      </c>
      <c r="AO138" s="36">
        <f>I138*0</f>
        <v>0</v>
      </c>
      <c r="AP138" s="36">
        <f>I138*(1-0)</f>
        <v>0</v>
      </c>
      <c r="AQ138" s="37" t="s">
        <v>7</v>
      </c>
      <c r="AV138" s="36">
        <f t="shared" si="134"/>
        <v>0</v>
      </c>
      <c r="AW138" s="36">
        <f t="shared" si="135"/>
        <v>0</v>
      </c>
      <c r="AX138" s="36">
        <f t="shared" si="136"/>
        <v>0</v>
      </c>
      <c r="AY138" s="39" t="s">
        <v>508</v>
      </c>
      <c r="AZ138" s="39" t="s">
        <v>514</v>
      </c>
      <c r="BA138" s="35" t="s">
        <v>518</v>
      </c>
      <c r="BC138" s="36">
        <f t="shared" si="137"/>
        <v>0</v>
      </c>
      <c r="BD138" s="36">
        <f t="shared" si="138"/>
        <v>0</v>
      </c>
      <c r="BE138" s="36">
        <v>0</v>
      </c>
      <c r="BF138" s="36">
        <f>138</f>
        <v>138</v>
      </c>
      <c r="BH138" s="20">
        <f t="shared" si="139"/>
        <v>0</v>
      </c>
      <c r="BI138" s="20">
        <f t="shared" si="140"/>
        <v>0</v>
      </c>
      <c r="BJ138" s="20">
        <f t="shared" si="141"/>
        <v>0</v>
      </c>
      <c r="BK138" s="20" t="s">
        <v>524</v>
      </c>
      <c r="BL138" s="36" t="s">
        <v>275</v>
      </c>
    </row>
    <row r="139" spans="1:64" x14ac:dyDescent="0.25">
      <c r="A139" s="3"/>
      <c r="B139" s="12" t="s">
        <v>295</v>
      </c>
      <c r="C139" s="155" t="s">
        <v>433</v>
      </c>
      <c r="D139" s="156"/>
      <c r="E139" s="156"/>
      <c r="F139" s="156"/>
      <c r="G139" s="18" t="s">
        <v>6</v>
      </c>
      <c r="H139" s="18" t="s">
        <v>6</v>
      </c>
      <c r="I139" s="18" t="s">
        <v>6</v>
      </c>
      <c r="J139" s="41">
        <f>SUM(J140:J146)</f>
        <v>0</v>
      </c>
      <c r="K139" s="41">
        <f>SUM(K140:K146)</f>
        <v>0</v>
      </c>
      <c r="L139" s="41">
        <f>SUM(L140:L146)</f>
        <v>0</v>
      </c>
      <c r="M139" s="30"/>
      <c r="N139" s="6"/>
      <c r="AI139" s="35" t="s">
        <v>498</v>
      </c>
      <c r="AS139" s="41">
        <f>SUM(AJ140:AJ146)</f>
        <v>0</v>
      </c>
      <c r="AT139" s="41">
        <f>SUM(AK140:AK146)</f>
        <v>0</v>
      </c>
      <c r="AU139" s="41">
        <f>SUM(AL140:AL146)</f>
        <v>0</v>
      </c>
    </row>
    <row r="140" spans="1:64" x14ac:dyDescent="0.25">
      <c r="A140" s="4" t="s">
        <v>124</v>
      </c>
      <c r="B140" s="13" t="s">
        <v>296</v>
      </c>
      <c r="C140" s="148" t="s">
        <v>390</v>
      </c>
      <c r="D140" s="149"/>
      <c r="E140" s="149"/>
      <c r="F140" s="149"/>
      <c r="G140" s="13" t="s">
        <v>471</v>
      </c>
      <c r="H140" s="80">
        <v>1</v>
      </c>
      <c r="I140" s="20">
        <v>0</v>
      </c>
      <c r="J140" s="20">
        <f t="shared" ref="J140:J146" si="142">H140*AO140</f>
        <v>0</v>
      </c>
      <c r="K140" s="20">
        <f t="shared" ref="K140:K146" si="143">H140*AP140</f>
        <v>0</v>
      </c>
      <c r="L140" s="20">
        <f t="shared" ref="L140:L146" si="144">H140*I140</f>
        <v>0</v>
      </c>
      <c r="M140" s="31" t="s">
        <v>488</v>
      </c>
      <c r="N140" s="6"/>
      <c r="Z140" s="36">
        <f t="shared" ref="Z140:Z146" si="145">IF(AQ140="5",BJ140,0)</f>
        <v>0</v>
      </c>
      <c r="AB140" s="36">
        <f t="shared" ref="AB140:AB146" si="146">IF(AQ140="1",BH140,0)</f>
        <v>0</v>
      </c>
      <c r="AC140" s="36">
        <f t="shared" ref="AC140:AC146" si="147">IF(AQ140="1",BI140,0)</f>
        <v>0</v>
      </c>
      <c r="AD140" s="36">
        <f t="shared" ref="AD140:AD146" si="148">IF(AQ140="7",BH140,0)</f>
        <v>0</v>
      </c>
      <c r="AE140" s="36">
        <f t="shared" ref="AE140:AE146" si="149">IF(AQ140="7",BI140,0)</f>
        <v>0</v>
      </c>
      <c r="AF140" s="36">
        <f t="shared" ref="AF140:AF146" si="150">IF(AQ140="2",BH140,0)</f>
        <v>0</v>
      </c>
      <c r="AG140" s="36">
        <f t="shared" ref="AG140:AG146" si="151">IF(AQ140="2",BI140,0)</f>
        <v>0</v>
      </c>
      <c r="AH140" s="36">
        <f t="shared" ref="AH140:AH146" si="152">IF(AQ140="0",BJ140,0)</f>
        <v>0</v>
      </c>
      <c r="AI140" s="35" t="s">
        <v>498</v>
      </c>
      <c r="AJ140" s="20">
        <f t="shared" ref="AJ140:AJ146" si="153">IF(AN140=0,L140,0)</f>
        <v>0</v>
      </c>
      <c r="AK140" s="20">
        <f t="shared" ref="AK140:AK146" si="154">IF(AN140=15,L140,0)</f>
        <v>0</v>
      </c>
      <c r="AL140" s="20">
        <f t="shared" ref="AL140:AL146" si="155">IF(AN140=21,L140,0)</f>
        <v>0</v>
      </c>
      <c r="AN140" s="36">
        <v>21</v>
      </c>
      <c r="AO140" s="36">
        <f>I140*0.588</f>
        <v>0</v>
      </c>
      <c r="AP140" s="36">
        <f>I140*(1-0.588)</f>
        <v>0</v>
      </c>
      <c r="AQ140" s="37" t="s">
        <v>7</v>
      </c>
      <c r="AV140" s="36">
        <f t="shared" ref="AV140:AV146" si="156">AW140+AX140</f>
        <v>0</v>
      </c>
      <c r="AW140" s="36">
        <f t="shared" ref="AW140:AW146" si="157">H140*AO140</f>
        <v>0</v>
      </c>
      <c r="AX140" s="36">
        <f t="shared" ref="AX140:AX146" si="158">H140*AP140</f>
        <v>0</v>
      </c>
      <c r="AY140" s="39" t="s">
        <v>509</v>
      </c>
      <c r="AZ140" s="39" t="s">
        <v>514</v>
      </c>
      <c r="BA140" s="35" t="s">
        <v>518</v>
      </c>
      <c r="BC140" s="36">
        <f t="shared" ref="BC140:BC146" si="159">AW140+AX140</f>
        <v>0</v>
      </c>
      <c r="BD140" s="36">
        <f t="shared" ref="BD140:BD146" si="160">I140/(100-BE140)*100</f>
        <v>0</v>
      </c>
      <c r="BE140" s="36">
        <v>0</v>
      </c>
      <c r="BF140" s="36">
        <f>140</f>
        <v>140</v>
      </c>
      <c r="BH140" s="20">
        <f t="shared" ref="BH140:BH146" si="161">H140*AO140</f>
        <v>0</v>
      </c>
      <c r="BI140" s="20">
        <f t="shared" ref="BI140:BI146" si="162">H140*AP140</f>
        <v>0</v>
      </c>
      <c r="BJ140" s="20">
        <f t="shared" ref="BJ140:BJ146" si="163">H140*I140</f>
        <v>0</v>
      </c>
      <c r="BK140" s="20" t="s">
        <v>524</v>
      </c>
      <c r="BL140" s="36" t="s">
        <v>295</v>
      </c>
    </row>
    <row r="141" spans="1:64" x14ac:dyDescent="0.25">
      <c r="A141" s="4" t="s">
        <v>125</v>
      </c>
      <c r="B141" s="13" t="s">
        <v>297</v>
      </c>
      <c r="C141" s="148" t="s">
        <v>421</v>
      </c>
      <c r="D141" s="149"/>
      <c r="E141" s="149"/>
      <c r="F141" s="149"/>
      <c r="G141" s="13" t="s">
        <v>471</v>
      </c>
      <c r="H141" s="80">
        <v>1</v>
      </c>
      <c r="I141" s="20">
        <v>0</v>
      </c>
      <c r="J141" s="20">
        <f t="shared" si="142"/>
        <v>0</v>
      </c>
      <c r="K141" s="20">
        <f t="shared" si="143"/>
        <v>0</v>
      </c>
      <c r="L141" s="20">
        <f t="shared" si="144"/>
        <v>0</v>
      </c>
      <c r="M141" s="31" t="s">
        <v>488</v>
      </c>
      <c r="N141" s="6"/>
      <c r="Z141" s="36">
        <f t="shared" si="145"/>
        <v>0</v>
      </c>
      <c r="AB141" s="36">
        <f t="shared" si="146"/>
        <v>0</v>
      </c>
      <c r="AC141" s="36">
        <f t="shared" si="147"/>
        <v>0</v>
      </c>
      <c r="AD141" s="36">
        <f t="shared" si="148"/>
        <v>0</v>
      </c>
      <c r="AE141" s="36">
        <f t="shared" si="149"/>
        <v>0</v>
      </c>
      <c r="AF141" s="36">
        <f t="shared" si="150"/>
        <v>0</v>
      </c>
      <c r="AG141" s="36">
        <f t="shared" si="151"/>
        <v>0</v>
      </c>
      <c r="AH141" s="36">
        <f t="shared" si="152"/>
        <v>0</v>
      </c>
      <c r="AI141" s="35" t="s">
        <v>498</v>
      </c>
      <c r="AJ141" s="20">
        <f t="shared" si="153"/>
        <v>0</v>
      </c>
      <c r="AK141" s="20">
        <f t="shared" si="154"/>
        <v>0</v>
      </c>
      <c r="AL141" s="20">
        <f t="shared" si="155"/>
        <v>0</v>
      </c>
      <c r="AN141" s="36">
        <v>21</v>
      </c>
      <c r="AO141" s="36">
        <f>I141*0.588</f>
        <v>0</v>
      </c>
      <c r="AP141" s="36">
        <f>I141*(1-0.588)</f>
        <v>0</v>
      </c>
      <c r="AQ141" s="37" t="s">
        <v>7</v>
      </c>
      <c r="AV141" s="36">
        <f t="shared" si="156"/>
        <v>0</v>
      </c>
      <c r="AW141" s="36">
        <f t="shared" si="157"/>
        <v>0</v>
      </c>
      <c r="AX141" s="36">
        <f t="shared" si="158"/>
        <v>0</v>
      </c>
      <c r="AY141" s="39" t="s">
        <v>509</v>
      </c>
      <c r="AZ141" s="39" t="s">
        <v>514</v>
      </c>
      <c r="BA141" s="35" t="s">
        <v>518</v>
      </c>
      <c r="BC141" s="36">
        <f t="shared" si="159"/>
        <v>0</v>
      </c>
      <c r="BD141" s="36">
        <f t="shared" si="160"/>
        <v>0</v>
      </c>
      <c r="BE141" s="36">
        <v>0</v>
      </c>
      <c r="BF141" s="36">
        <f>141</f>
        <v>141</v>
      </c>
      <c r="BH141" s="20">
        <f t="shared" si="161"/>
        <v>0</v>
      </c>
      <c r="BI141" s="20">
        <f t="shared" si="162"/>
        <v>0</v>
      </c>
      <c r="BJ141" s="20">
        <f t="shared" si="163"/>
        <v>0</v>
      </c>
      <c r="BK141" s="20" t="s">
        <v>524</v>
      </c>
      <c r="BL141" s="36" t="s">
        <v>295</v>
      </c>
    </row>
    <row r="142" spans="1:64" x14ac:dyDescent="0.25">
      <c r="A142" s="4" t="s">
        <v>126</v>
      </c>
      <c r="B142" s="13" t="s">
        <v>298</v>
      </c>
      <c r="C142" s="148" t="s">
        <v>402</v>
      </c>
      <c r="D142" s="149"/>
      <c r="E142" s="149"/>
      <c r="F142" s="149"/>
      <c r="G142" s="13" t="s">
        <v>471</v>
      </c>
      <c r="H142" s="80">
        <v>1</v>
      </c>
      <c r="I142" s="20">
        <v>0</v>
      </c>
      <c r="J142" s="20">
        <f t="shared" si="142"/>
        <v>0</v>
      </c>
      <c r="K142" s="20">
        <f t="shared" si="143"/>
        <v>0</v>
      </c>
      <c r="L142" s="20">
        <f t="shared" si="144"/>
        <v>0</v>
      </c>
      <c r="M142" s="31" t="s">
        <v>488</v>
      </c>
      <c r="N142" s="6"/>
      <c r="Z142" s="36">
        <f t="shared" si="145"/>
        <v>0</v>
      </c>
      <c r="AB142" s="36">
        <f t="shared" si="146"/>
        <v>0</v>
      </c>
      <c r="AC142" s="36">
        <f t="shared" si="147"/>
        <v>0</v>
      </c>
      <c r="AD142" s="36">
        <f t="shared" si="148"/>
        <v>0</v>
      </c>
      <c r="AE142" s="36">
        <f t="shared" si="149"/>
        <v>0</v>
      </c>
      <c r="AF142" s="36">
        <f t="shared" si="150"/>
        <v>0</v>
      </c>
      <c r="AG142" s="36">
        <f t="shared" si="151"/>
        <v>0</v>
      </c>
      <c r="AH142" s="36">
        <f t="shared" si="152"/>
        <v>0</v>
      </c>
      <c r="AI142" s="35" t="s">
        <v>498</v>
      </c>
      <c r="AJ142" s="20">
        <f t="shared" si="153"/>
        <v>0</v>
      </c>
      <c r="AK142" s="20">
        <f t="shared" si="154"/>
        <v>0</v>
      </c>
      <c r="AL142" s="20">
        <f t="shared" si="155"/>
        <v>0</v>
      </c>
      <c r="AN142" s="36">
        <v>21</v>
      </c>
      <c r="AO142" s="36">
        <f>I142*0.588</f>
        <v>0</v>
      </c>
      <c r="AP142" s="36">
        <f>I142*(1-0.588)</f>
        <v>0</v>
      </c>
      <c r="AQ142" s="37" t="s">
        <v>7</v>
      </c>
      <c r="AV142" s="36">
        <f t="shared" si="156"/>
        <v>0</v>
      </c>
      <c r="AW142" s="36">
        <f t="shared" si="157"/>
        <v>0</v>
      </c>
      <c r="AX142" s="36">
        <f t="shared" si="158"/>
        <v>0</v>
      </c>
      <c r="AY142" s="39" t="s">
        <v>509</v>
      </c>
      <c r="AZ142" s="39" t="s">
        <v>514</v>
      </c>
      <c r="BA142" s="35" t="s">
        <v>518</v>
      </c>
      <c r="BC142" s="36">
        <f t="shared" si="159"/>
        <v>0</v>
      </c>
      <c r="BD142" s="36">
        <f t="shared" si="160"/>
        <v>0</v>
      </c>
      <c r="BE142" s="36">
        <v>0</v>
      </c>
      <c r="BF142" s="36">
        <f>142</f>
        <v>142</v>
      </c>
      <c r="BH142" s="20">
        <f t="shared" si="161"/>
        <v>0</v>
      </c>
      <c r="BI142" s="20">
        <f t="shared" si="162"/>
        <v>0</v>
      </c>
      <c r="BJ142" s="20">
        <f t="shared" si="163"/>
        <v>0</v>
      </c>
      <c r="BK142" s="20" t="s">
        <v>524</v>
      </c>
      <c r="BL142" s="36" t="s">
        <v>295</v>
      </c>
    </row>
    <row r="143" spans="1:64" x14ac:dyDescent="0.25">
      <c r="A143" s="4" t="s">
        <v>127</v>
      </c>
      <c r="B143" s="13" t="s">
        <v>299</v>
      </c>
      <c r="C143" s="148" t="s">
        <v>409</v>
      </c>
      <c r="D143" s="149"/>
      <c r="E143" s="149"/>
      <c r="F143" s="149"/>
      <c r="G143" s="13" t="s">
        <v>471</v>
      </c>
      <c r="H143" s="80">
        <v>6</v>
      </c>
      <c r="I143" s="20">
        <v>0</v>
      </c>
      <c r="J143" s="20">
        <f t="shared" si="142"/>
        <v>0</v>
      </c>
      <c r="K143" s="20">
        <f t="shared" si="143"/>
        <v>0</v>
      </c>
      <c r="L143" s="20">
        <f t="shared" si="144"/>
        <v>0</v>
      </c>
      <c r="M143" s="31" t="s">
        <v>488</v>
      </c>
      <c r="N143" s="6"/>
      <c r="Z143" s="36">
        <f t="shared" si="145"/>
        <v>0</v>
      </c>
      <c r="AB143" s="36">
        <f t="shared" si="146"/>
        <v>0</v>
      </c>
      <c r="AC143" s="36">
        <f t="shared" si="147"/>
        <v>0</v>
      </c>
      <c r="AD143" s="36">
        <f t="shared" si="148"/>
        <v>0</v>
      </c>
      <c r="AE143" s="36">
        <f t="shared" si="149"/>
        <v>0</v>
      </c>
      <c r="AF143" s="36">
        <f t="shared" si="150"/>
        <v>0</v>
      </c>
      <c r="AG143" s="36">
        <f t="shared" si="151"/>
        <v>0</v>
      </c>
      <c r="AH143" s="36">
        <f t="shared" si="152"/>
        <v>0</v>
      </c>
      <c r="AI143" s="35" t="s">
        <v>498</v>
      </c>
      <c r="AJ143" s="20">
        <f t="shared" si="153"/>
        <v>0</v>
      </c>
      <c r="AK143" s="20">
        <f t="shared" si="154"/>
        <v>0</v>
      </c>
      <c r="AL143" s="20">
        <f t="shared" si="155"/>
        <v>0</v>
      </c>
      <c r="AN143" s="36">
        <v>21</v>
      </c>
      <c r="AO143" s="36">
        <f>I143*0.588</f>
        <v>0</v>
      </c>
      <c r="AP143" s="36">
        <f>I143*(1-0.588)</f>
        <v>0</v>
      </c>
      <c r="AQ143" s="37" t="s">
        <v>7</v>
      </c>
      <c r="AV143" s="36">
        <f t="shared" si="156"/>
        <v>0</v>
      </c>
      <c r="AW143" s="36">
        <f t="shared" si="157"/>
        <v>0</v>
      </c>
      <c r="AX143" s="36">
        <f t="shared" si="158"/>
        <v>0</v>
      </c>
      <c r="AY143" s="39" t="s">
        <v>509</v>
      </c>
      <c r="AZ143" s="39" t="s">
        <v>514</v>
      </c>
      <c r="BA143" s="35" t="s">
        <v>518</v>
      </c>
      <c r="BC143" s="36">
        <f t="shared" si="159"/>
        <v>0</v>
      </c>
      <c r="BD143" s="36">
        <f t="shared" si="160"/>
        <v>0</v>
      </c>
      <c r="BE143" s="36">
        <v>0</v>
      </c>
      <c r="BF143" s="36">
        <f>143</f>
        <v>143</v>
      </c>
      <c r="BH143" s="20">
        <f t="shared" si="161"/>
        <v>0</v>
      </c>
      <c r="BI143" s="20">
        <f t="shared" si="162"/>
        <v>0</v>
      </c>
      <c r="BJ143" s="20">
        <f t="shared" si="163"/>
        <v>0</v>
      </c>
      <c r="BK143" s="20" t="s">
        <v>524</v>
      </c>
      <c r="BL143" s="36" t="s">
        <v>295</v>
      </c>
    </row>
    <row r="144" spans="1:64" x14ac:dyDescent="0.25">
      <c r="A144" s="4" t="s">
        <v>128</v>
      </c>
      <c r="B144" s="13" t="s">
        <v>300</v>
      </c>
      <c r="C144" s="148" t="s">
        <v>413</v>
      </c>
      <c r="D144" s="149"/>
      <c r="E144" s="149"/>
      <c r="F144" s="149"/>
      <c r="G144" s="13" t="s">
        <v>471</v>
      </c>
      <c r="H144" s="80">
        <v>10</v>
      </c>
      <c r="I144" s="20">
        <v>0</v>
      </c>
      <c r="J144" s="20">
        <f t="shared" si="142"/>
        <v>0</v>
      </c>
      <c r="K144" s="20">
        <f t="shared" si="143"/>
        <v>0</v>
      </c>
      <c r="L144" s="20">
        <f t="shared" si="144"/>
        <v>0</v>
      </c>
      <c r="M144" s="31" t="s">
        <v>488</v>
      </c>
      <c r="N144" s="6"/>
      <c r="Z144" s="36">
        <f t="shared" si="145"/>
        <v>0</v>
      </c>
      <c r="AB144" s="36">
        <f t="shared" si="146"/>
        <v>0</v>
      </c>
      <c r="AC144" s="36">
        <f t="shared" si="147"/>
        <v>0</v>
      </c>
      <c r="AD144" s="36">
        <f t="shared" si="148"/>
        <v>0</v>
      </c>
      <c r="AE144" s="36">
        <f t="shared" si="149"/>
        <v>0</v>
      </c>
      <c r="AF144" s="36">
        <f t="shared" si="150"/>
        <v>0</v>
      </c>
      <c r="AG144" s="36">
        <f t="shared" si="151"/>
        <v>0</v>
      </c>
      <c r="AH144" s="36">
        <f t="shared" si="152"/>
        <v>0</v>
      </c>
      <c r="AI144" s="35" t="s">
        <v>498</v>
      </c>
      <c r="AJ144" s="20">
        <f t="shared" si="153"/>
        <v>0</v>
      </c>
      <c r="AK144" s="20">
        <f t="shared" si="154"/>
        <v>0</v>
      </c>
      <c r="AL144" s="20">
        <f t="shared" si="155"/>
        <v>0</v>
      </c>
      <c r="AN144" s="36">
        <v>21</v>
      </c>
      <c r="AO144" s="36">
        <f>I144*0</f>
        <v>0</v>
      </c>
      <c r="AP144" s="36">
        <f>I144*(1-0)</f>
        <v>0</v>
      </c>
      <c r="AQ144" s="37" t="s">
        <v>7</v>
      </c>
      <c r="AV144" s="36">
        <f t="shared" si="156"/>
        <v>0</v>
      </c>
      <c r="AW144" s="36">
        <f t="shared" si="157"/>
        <v>0</v>
      </c>
      <c r="AX144" s="36">
        <f t="shared" si="158"/>
        <v>0</v>
      </c>
      <c r="AY144" s="39" t="s">
        <v>509</v>
      </c>
      <c r="AZ144" s="39" t="s">
        <v>514</v>
      </c>
      <c r="BA144" s="35" t="s">
        <v>518</v>
      </c>
      <c r="BC144" s="36">
        <f t="shared" si="159"/>
        <v>0</v>
      </c>
      <c r="BD144" s="36">
        <f t="shared" si="160"/>
        <v>0</v>
      </c>
      <c r="BE144" s="36">
        <v>0</v>
      </c>
      <c r="BF144" s="36">
        <f>144</f>
        <v>144</v>
      </c>
      <c r="BH144" s="20">
        <f t="shared" si="161"/>
        <v>0</v>
      </c>
      <c r="BI144" s="20">
        <f t="shared" si="162"/>
        <v>0</v>
      </c>
      <c r="BJ144" s="20">
        <f t="shared" si="163"/>
        <v>0</v>
      </c>
      <c r="BK144" s="20" t="s">
        <v>524</v>
      </c>
      <c r="BL144" s="36" t="s">
        <v>295</v>
      </c>
    </row>
    <row r="145" spans="1:64" x14ac:dyDescent="0.25">
      <c r="A145" s="4" t="s">
        <v>129</v>
      </c>
      <c r="B145" s="13" t="s">
        <v>301</v>
      </c>
      <c r="C145" s="148" t="s">
        <v>414</v>
      </c>
      <c r="D145" s="149"/>
      <c r="E145" s="149"/>
      <c r="F145" s="149"/>
      <c r="G145" s="13" t="s">
        <v>471</v>
      </c>
      <c r="H145" s="80">
        <v>1</v>
      </c>
      <c r="I145" s="20">
        <v>0</v>
      </c>
      <c r="J145" s="20">
        <f t="shared" si="142"/>
        <v>0</v>
      </c>
      <c r="K145" s="20">
        <f t="shared" si="143"/>
        <v>0</v>
      </c>
      <c r="L145" s="20">
        <f t="shared" si="144"/>
        <v>0</v>
      </c>
      <c r="M145" s="31" t="s">
        <v>488</v>
      </c>
      <c r="N145" s="6"/>
      <c r="Z145" s="36">
        <f t="shared" si="145"/>
        <v>0</v>
      </c>
      <c r="AB145" s="36">
        <f t="shared" si="146"/>
        <v>0</v>
      </c>
      <c r="AC145" s="36">
        <f t="shared" si="147"/>
        <v>0</v>
      </c>
      <c r="AD145" s="36">
        <f t="shared" si="148"/>
        <v>0</v>
      </c>
      <c r="AE145" s="36">
        <f t="shared" si="149"/>
        <v>0</v>
      </c>
      <c r="AF145" s="36">
        <f t="shared" si="150"/>
        <v>0</v>
      </c>
      <c r="AG145" s="36">
        <f t="shared" si="151"/>
        <v>0</v>
      </c>
      <c r="AH145" s="36">
        <f t="shared" si="152"/>
        <v>0</v>
      </c>
      <c r="AI145" s="35" t="s">
        <v>498</v>
      </c>
      <c r="AJ145" s="20">
        <f t="shared" si="153"/>
        <v>0</v>
      </c>
      <c r="AK145" s="20">
        <f t="shared" si="154"/>
        <v>0</v>
      </c>
      <c r="AL145" s="20">
        <f t="shared" si="155"/>
        <v>0</v>
      </c>
      <c r="AN145" s="36">
        <v>21</v>
      </c>
      <c r="AO145" s="36">
        <f>I145*1</f>
        <v>0</v>
      </c>
      <c r="AP145" s="36">
        <f>I145*(1-1)</f>
        <v>0</v>
      </c>
      <c r="AQ145" s="37" t="s">
        <v>7</v>
      </c>
      <c r="AV145" s="36">
        <f t="shared" si="156"/>
        <v>0</v>
      </c>
      <c r="AW145" s="36">
        <f t="shared" si="157"/>
        <v>0</v>
      </c>
      <c r="AX145" s="36">
        <f t="shared" si="158"/>
        <v>0</v>
      </c>
      <c r="AY145" s="39" t="s">
        <v>509</v>
      </c>
      <c r="AZ145" s="39" t="s">
        <v>514</v>
      </c>
      <c r="BA145" s="35" t="s">
        <v>518</v>
      </c>
      <c r="BC145" s="36">
        <f t="shared" si="159"/>
        <v>0</v>
      </c>
      <c r="BD145" s="36">
        <f t="shared" si="160"/>
        <v>0</v>
      </c>
      <c r="BE145" s="36">
        <v>0</v>
      </c>
      <c r="BF145" s="36">
        <f>145</f>
        <v>145</v>
      </c>
      <c r="BH145" s="20">
        <f t="shared" si="161"/>
        <v>0</v>
      </c>
      <c r="BI145" s="20">
        <f t="shared" si="162"/>
        <v>0</v>
      </c>
      <c r="BJ145" s="20">
        <f t="shared" si="163"/>
        <v>0</v>
      </c>
      <c r="BK145" s="20" t="s">
        <v>524</v>
      </c>
      <c r="BL145" s="36" t="s">
        <v>295</v>
      </c>
    </row>
    <row r="146" spans="1:64" x14ac:dyDescent="0.25">
      <c r="A146" s="4" t="s">
        <v>130</v>
      </c>
      <c r="B146" s="13" t="s">
        <v>302</v>
      </c>
      <c r="C146" s="148" t="s">
        <v>415</v>
      </c>
      <c r="D146" s="149"/>
      <c r="E146" s="149"/>
      <c r="F146" s="149"/>
      <c r="G146" s="13" t="s">
        <v>471</v>
      </c>
      <c r="H146" s="80">
        <v>1</v>
      </c>
      <c r="I146" s="20">
        <v>0</v>
      </c>
      <c r="J146" s="20">
        <f t="shared" si="142"/>
        <v>0</v>
      </c>
      <c r="K146" s="20">
        <f t="shared" si="143"/>
        <v>0</v>
      </c>
      <c r="L146" s="20">
        <f t="shared" si="144"/>
        <v>0</v>
      </c>
      <c r="M146" s="31" t="s">
        <v>488</v>
      </c>
      <c r="N146" s="6"/>
      <c r="Z146" s="36">
        <f t="shared" si="145"/>
        <v>0</v>
      </c>
      <c r="AB146" s="36">
        <f t="shared" si="146"/>
        <v>0</v>
      </c>
      <c r="AC146" s="36">
        <f t="shared" si="147"/>
        <v>0</v>
      </c>
      <c r="AD146" s="36">
        <f t="shared" si="148"/>
        <v>0</v>
      </c>
      <c r="AE146" s="36">
        <f t="shared" si="149"/>
        <v>0</v>
      </c>
      <c r="AF146" s="36">
        <f t="shared" si="150"/>
        <v>0</v>
      </c>
      <c r="AG146" s="36">
        <f t="shared" si="151"/>
        <v>0</v>
      </c>
      <c r="AH146" s="36">
        <f t="shared" si="152"/>
        <v>0</v>
      </c>
      <c r="AI146" s="35" t="s">
        <v>498</v>
      </c>
      <c r="AJ146" s="20">
        <f t="shared" si="153"/>
        <v>0</v>
      </c>
      <c r="AK146" s="20">
        <f t="shared" si="154"/>
        <v>0</v>
      </c>
      <c r="AL146" s="20">
        <f t="shared" si="155"/>
        <v>0</v>
      </c>
      <c r="AN146" s="36">
        <v>21</v>
      </c>
      <c r="AO146" s="36">
        <f>I146*0</f>
        <v>0</v>
      </c>
      <c r="AP146" s="36">
        <f>I146*(1-0)</f>
        <v>0</v>
      </c>
      <c r="AQ146" s="37" t="s">
        <v>7</v>
      </c>
      <c r="AV146" s="36">
        <f t="shared" si="156"/>
        <v>0</v>
      </c>
      <c r="AW146" s="36">
        <f t="shared" si="157"/>
        <v>0</v>
      </c>
      <c r="AX146" s="36">
        <f t="shared" si="158"/>
        <v>0</v>
      </c>
      <c r="AY146" s="39" t="s">
        <v>509</v>
      </c>
      <c r="AZ146" s="39" t="s">
        <v>514</v>
      </c>
      <c r="BA146" s="35" t="s">
        <v>518</v>
      </c>
      <c r="BC146" s="36">
        <f t="shared" si="159"/>
        <v>0</v>
      </c>
      <c r="BD146" s="36">
        <f t="shared" si="160"/>
        <v>0</v>
      </c>
      <c r="BE146" s="36">
        <v>0</v>
      </c>
      <c r="BF146" s="36">
        <f>146</f>
        <v>146</v>
      </c>
      <c r="BH146" s="20">
        <f t="shared" si="161"/>
        <v>0</v>
      </c>
      <c r="BI146" s="20">
        <f t="shared" si="162"/>
        <v>0</v>
      </c>
      <c r="BJ146" s="20">
        <f t="shared" si="163"/>
        <v>0</v>
      </c>
      <c r="BK146" s="20" t="s">
        <v>524</v>
      </c>
      <c r="BL146" s="36" t="s">
        <v>295</v>
      </c>
    </row>
    <row r="147" spans="1:64" x14ac:dyDescent="0.25">
      <c r="A147" s="3"/>
      <c r="B147" s="12" t="s">
        <v>303</v>
      </c>
      <c r="C147" s="155" t="s">
        <v>434</v>
      </c>
      <c r="D147" s="156"/>
      <c r="E147" s="156"/>
      <c r="F147" s="156"/>
      <c r="G147" s="18" t="s">
        <v>6</v>
      </c>
      <c r="H147" s="18" t="s">
        <v>6</v>
      </c>
      <c r="I147" s="18" t="s">
        <v>6</v>
      </c>
      <c r="J147" s="41">
        <f>SUM(J148:J160)</f>
        <v>0</v>
      </c>
      <c r="K147" s="41">
        <f>SUM(K148:K160)</f>
        <v>0</v>
      </c>
      <c r="L147" s="41">
        <f>SUM(L148:L160)</f>
        <v>0</v>
      </c>
      <c r="M147" s="30"/>
      <c r="N147" s="6"/>
      <c r="AI147" s="35" t="s">
        <v>498</v>
      </c>
      <c r="AS147" s="41">
        <f>SUM(AJ148:AJ160)</f>
        <v>0</v>
      </c>
      <c r="AT147" s="41">
        <f>SUM(AK148:AK160)</f>
        <v>0</v>
      </c>
      <c r="AU147" s="41">
        <f>SUM(AL148:AL160)</f>
        <v>0</v>
      </c>
    </row>
    <row r="148" spans="1:64" x14ac:dyDescent="0.25">
      <c r="A148" s="4" t="s">
        <v>131</v>
      </c>
      <c r="B148" s="13" t="s">
        <v>304</v>
      </c>
      <c r="C148" s="148" t="s">
        <v>435</v>
      </c>
      <c r="D148" s="149"/>
      <c r="E148" s="149"/>
      <c r="F148" s="149"/>
      <c r="G148" s="13" t="s">
        <v>471</v>
      </c>
      <c r="H148" s="80">
        <v>1</v>
      </c>
      <c r="I148" s="20">
        <v>0</v>
      </c>
      <c r="J148" s="20">
        <f t="shared" ref="J148:J160" si="164">H148*AO148</f>
        <v>0</v>
      </c>
      <c r="K148" s="20">
        <f t="shared" ref="K148:K160" si="165">H148*AP148</f>
        <v>0</v>
      </c>
      <c r="L148" s="20">
        <f t="shared" ref="L148:L160" si="166">H148*I148</f>
        <v>0</v>
      </c>
      <c r="M148" s="31" t="s">
        <v>488</v>
      </c>
      <c r="N148" s="6"/>
      <c r="Z148" s="36">
        <f t="shared" ref="Z148:Z160" si="167">IF(AQ148="5",BJ148,0)</f>
        <v>0</v>
      </c>
      <c r="AB148" s="36">
        <f t="shared" ref="AB148:AB160" si="168">IF(AQ148="1",BH148,0)</f>
        <v>0</v>
      </c>
      <c r="AC148" s="36">
        <f t="shared" ref="AC148:AC160" si="169">IF(AQ148="1",BI148,0)</f>
        <v>0</v>
      </c>
      <c r="AD148" s="36">
        <f t="shared" ref="AD148:AD160" si="170">IF(AQ148="7",BH148,0)</f>
        <v>0</v>
      </c>
      <c r="AE148" s="36">
        <f t="shared" ref="AE148:AE160" si="171">IF(AQ148="7",BI148,0)</f>
        <v>0</v>
      </c>
      <c r="AF148" s="36">
        <f t="shared" ref="AF148:AF160" si="172">IF(AQ148="2",BH148,0)</f>
        <v>0</v>
      </c>
      <c r="AG148" s="36">
        <f t="shared" ref="AG148:AG160" si="173">IF(AQ148="2",BI148,0)</f>
        <v>0</v>
      </c>
      <c r="AH148" s="36">
        <f t="shared" ref="AH148:AH160" si="174">IF(AQ148="0",BJ148,0)</f>
        <v>0</v>
      </c>
      <c r="AI148" s="35" t="s">
        <v>498</v>
      </c>
      <c r="AJ148" s="20">
        <f t="shared" ref="AJ148:AJ160" si="175">IF(AN148=0,L148,0)</f>
        <v>0</v>
      </c>
      <c r="AK148" s="20">
        <f t="shared" ref="AK148:AK160" si="176">IF(AN148=15,L148,0)</f>
        <v>0</v>
      </c>
      <c r="AL148" s="20">
        <f t="shared" ref="AL148:AL160" si="177">IF(AN148=21,L148,0)</f>
        <v>0</v>
      </c>
      <c r="AN148" s="36">
        <v>21</v>
      </c>
      <c r="AO148" s="36">
        <f t="shared" ref="AO148:AO155" si="178">I148*0.588</f>
        <v>0</v>
      </c>
      <c r="AP148" s="36">
        <f t="shared" ref="AP148:AP155" si="179">I148*(1-0.588)</f>
        <v>0</v>
      </c>
      <c r="AQ148" s="37" t="s">
        <v>7</v>
      </c>
      <c r="AV148" s="36">
        <f t="shared" ref="AV148:AV160" si="180">AW148+AX148</f>
        <v>0</v>
      </c>
      <c r="AW148" s="36">
        <f t="shared" ref="AW148:AW160" si="181">H148*AO148</f>
        <v>0</v>
      </c>
      <c r="AX148" s="36">
        <f t="shared" ref="AX148:AX160" si="182">H148*AP148</f>
        <v>0</v>
      </c>
      <c r="AY148" s="39" t="s">
        <v>510</v>
      </c>
      <c r="AZ148" s="39" t="s">
        <v>514</v>
      </c>
      <c r="BA148" s="35" t="s">
        <v>518</v>
      </c>
      <c r="BC148" s="36">
        <f t="shared" ref="BC148:BC160" si="183">AW148+AX148</f>
        <v>0</v>
      </c>
      <c r="BD148" s="36">
        <f t="shared" ref="BD148:BD160" si="184">I148/(100-BE148)*100</f>
        <v>0</v>
      </c>
      <c r="BE148" s="36">
        <v>0</v>
      </c>
      <c r="BF148" s="36">
        <f>148</f>
        <v>148</v>
      </c>
      <c r="BH148" s="20">
        <f t="shared" ref="BH148:BH160" si="185">H148*AO148</f>
        <v>0</v>
      </c>
      <c r="BI148" s="20">
        <f t="shared" ref="BI148:BI160" si="186">H148*AP148</f>
        <v>0</v>
      </c>
      <c r="BJ148" s="20">
        <f t="shared" ref="BJ148:BJ160" si="187">H148*I148</f>
        <v>0</v>
      </c>
      <c r="BK148" s="20" t="s">
        <v>524</v>
      </c>
      <c r="BL148" s="36" t="s">
        <v>303</v>
      </c>
    </row>
    <row r="149" spans="1:64" x14ac:dyDescent="0.25">
      <c r="A149" s="4" t="s">
        <v>132</v>
      </c>
      <c r="B149" s="13" t="s">
        <v>305</v>
      </c>
      <c r="C149" s="148" t="s">
        <v>419</v>
      </c>
      <c r="D149" s="149"/>
      <c r="E149" s="149"/>
      <c r="F149" s="149"/>
      <c r="G149" s="13" t="s">
        <v>471</v>
      </c>
      <c r="H149" s="80">
        <v>1</v>
      </c>
      <c r="I149" s="20">
        <v>0</v>
      </c>
      <c r="J149" s="20">
        <f t="shared" si="164"/>
        <v>0</v>
      </c>
      <c r="K149" s="20">
        <f t="shared" si="165"/>
        <v>0</v>
      </c>
      <c r="L149" s="20">
        <f t="shared" si="166"/>
        <v>0</v>
      </c>
      <c r="M149" s="31" t="s">
        <v>488</v>
      </c>
      <c r="N149" s="6"/>
      <c r="Z149" s="36">
        <f t="shared" si="167"/>
        <v>0</v>
      </c>
      <c r="AB149" s="36">
        <f t="shared" si="168"/>
        <v>0</v>
      </c>
      <c r="AC149" s="36">
        <f t="shared" si="169"/>
        <v>0</v>
      </c>
      <c r="AD149" s="36">
        <f t="shared" si="170"/>
        <v>0</v>
      </c>
      <c r="AE149" s="36">
        <f t="shared" si="171"/>
        <v>0</v>
      </c>
      <c r="AF149" s="36">
        <f t="shared" si="172"/>
        <v>0</v>
      </c>
      <c r="AG149" s="36">
        <f t="shared" si="173"/>
        <v>0</v>
      </c>
      <c r="AH149" s="36">
        <f t="shared" si="174"/>
        <v>0</v>
      </c>
      <c r="AI149" s="35" t="s">
        <v>498</v>
      </c>
      <c r="AJ149" s="20">
        <f t="shared" si="175"/>
        <v>0</v>
      </c>
      <c r="AK149" s="20">
        <f t="shared" si="176"/>
        <v>0</v>
      </c>
      <c r="AL149" s="20">
        <f t="shared" si="177"/>
        <v>0</v>
      </c>
      <c r="AN149" s="36">
        <v>21</v>
      </c>
      <c r="AO149" s="36">
        <f t="shared" si="178"/>
        <v>0</v>
      </c>
      <c r="AP149" s="36">
        <f t="shared" si="179"/>
        <v>0</v>
      </c>
      <c r="AQ149" s="37" t="s">
        <v>7</v>
      </c>
      <c r="AV149" s="36">
        <f t="shared" si="180"/>
        <v>0</v>
      </c>
      <c r="AW149" s="36">
        <f t="shared" si="181"/>
        <v>0</v>
      </c>
      <c r="AX149" s="36">
        <f t="shared" si="182"/>
        <v>0</v>
      </c>
      <c r="AY149" s="39" t="s">
        <v>510</v>
      </c>
      <c r="AZ149" s="39" t="s">
        <v>514</v>
      </c>
      <c r="BA149" s="35" t="s">
        <v>518</v>
      </c>
      <c r="BC149" s="36">
        <f t="shared" si="183"/>
        <v>0</v>
      </c>
      <c r="BD149" s="36">
        <f t="shared" si="184"/>
        <v>0</v>
      </c>
      <c r="BE149" s="36">
        <v>0</v>
      </c>
      <c r="BF149" s="36">
        <f>149</f>
        <v>149</v>
      </c>
      <c r="BH149" s="20">
        <f t="shared" si="185"/>
        <v>0</v>
      </c>
      <c r="BI149" s="20">
        <f t="shared" si="186"/>
        <v>0</v>
      </c>
      <c r="BJ149" s="20">
        <f t="shared" si="187"/>
        <v>0</v>
      </c>
      <c r="BK149" s="20" t="s">
        <v>524</v>
      </c>
      <c r="BL149" s="36" t="s">
        <v>303</v>
      </c>
    </row>
    <row r="150" spans="1:64" x14ac:dyDescent="0.25">
      <c r="A150" s="4" t="s">
        <v>133</v>
      </c>
      <c r="B150" s="13" t="s">
        <v>306</v>
      </c>
      <c r="C150" s="148" t="s">
        <v>420</v>
      </c>
      <c r="D150" s="149"/>
      <c r="E150" s="149"/>
      <c r="F150" s="149"/>
      <c r="G150" s="13" t="s">
        <v>471</v>
      </c>
      <c r="H150" s="80">
        <v>1</v>
      </c>
      <c r="I150" s="20">
        <v>0</v>
      </c>
      <c r="J150" s="20">
        <f t="shared" si="164"/>
        <v>0</v>
      </c>
      <c r="K150" s="20">
        <f t="shared" si="165"/>
        <v>0</v>
      </c>
      <c r="L150" s="20">
        <f t="shared" si="166"/>
        <v>0</v>
      </c>
      <c r="M150" s="31" t="s">
        <v>488</v>
      </c>
      <c r="N150" s="6"/>
      <c r="Z150" s="36">
        <f t="shared" si="167"/>
        <v>0</v>
      </c>
      <c r="AB150" s="36">
        <f t="shared" si="168"/>
        <v>0</v>
      </c>
      <c r="AC150" s="36">
        <f t="shared" si="169"/>
        <v>0</v>
      </c>
      <c r="AD150" s="36">
        <f t="shared" si="170"/>
        <v>0</v>
      </c>
      <c r="AE150" s="36">
        <f t="shared" si="171"/>
        <v>0</v>
      </c>
      <c r="AF150" s="36">
        <f t="shared" si="172"/>
        <v>0</v>
      </c>
      <c r="AG150" s="36">
        <f t="shared" si="173"/>
        <v>0</v>
      </c>
      <c r="AH150" s="36">
        <f t="shared" si="174"/>
        <v>0</v>
      </c>
      <c r="AI150" s="35" t="s">
        <v>498</v>
      </c>
      <c r="AJ150" s="20">
        <f t="shared" si="175"/>
        <v>0</v>
      </c>
      <c r="AK150" s="20">
        <f t="shared" si="176"/>
        <v>0</v>
      </c>
      <c r="AL150" s="20">
        <f t="shared" si="177"/>
        <v>0</v>
      </c>
      <c r="AN150" s="36">
        <v>21</v>
      </c>
      <c r="AO150" s="36">
        <f t="shared" si="178"/>
        <v>0</v>
      </c>
      <c r="AP150" s="36">
        <f t="shared" si="179"/>
        <v>0</v>
      </c>
      <c r="AQ150" s="37" t="s">
        <v>7</v>
      </c>
      <c r="AV150" s="36">
        <f t="shared" si="180"/>
        <v>0</v>
      </c>
      <c r="AW150" s="36">
        <f t="shared" si="181"/>
        <v>0</v>
      </c>
      <c r="AX150" s="36">
        <f t="shared" si="182"/>
        <v>0</v>
      </c>
      <c r="AY150" s="39" t="s">
        <v>510</v>
      </c>
      <c r="AZ150" s="39" t="s">
        <v>514</v>
      </c>
      <c r="BA150" s="35" t="s">
        <v>518</v>
      </c>
      <c r="BC150" s="36">
        <f t="shared" si="183"/>
        <v>0</v>
      </c>
      <c r="BD150" s="36">
        <f t="shared" si="184"/>
        <v>0</v>
      </c>
      <c r="BE150" s="36">
        <v>0</v>
      </c>
      <c r="BF150" s="36">
        <f>150</f>
        <v>150</v>
      </c>
      <c r="BH150" s="20">
        <f t="shared" si="185"/>
        <v>0</v>
      </c>
      <c r="BI150" s="20">
        <f t="shared" si="186"/>
        <v>0</v>
      </c>
      <c r="BJ150" s="20">
        <f t="shared" si="187"/>
        <v>0</v>
      </c>
      <c r="BK150" s="20" t="s">
        <v>524</v>
      </c>
      <c r="BL150" s="36" t="s">
        <v>303</v>
      </c>
    </row>
    <row r="151" spans="1:64" x14ac:dyDescent="0.25">
      <c r="A151" s="4" t="s">
        <v>134</v>
      </c>
      <c r="B151" s="13" t="s">
        <v>307</v>
      </c>
      <c r="C151" s="148" t="s">
        <v>390</v>
      </c>
      <c r="D151" s="149"/>
      <c r="E151" s="149"/>
      <c r="F151" s="149"/>
      <c r="G151" s="13" t="s">
        <v>471</v>
      </c>
      <c r="H151" s="80">
        <v>1</v>
      </c>
      <c r="I151" s="20">
        <v>0</v>
      </c>
      <c r="J151" s="20">
        <f t="shared" si="164"/>
        <v>0</v>
      </c>
      <c r="K151" s="20">
        <f t="shared" si="165"/>
        <v>0</v>
      </c>
      <c r="L151" s="20">
        <f t="shared" si="166"/>
        <v>0</v>
      </c>
      <c r="M151" s="31" t="s">
        <v>488</v>
      </c>
      <c r="N151" s="6"/>
      <c r="Z151" s="36">
        <f t="shared" si="167"/>
        <v>0</v>
      </c>
      <c r="AB151" s="36">
        <f t="shared" si="168"/>
        <v>0</v>
      </c>
      <c r="AC151" s="36">
        <f t="shared" si="169"/>
        <v>0</v>
      </c>
      <c r="AD151" s="36">
        <f t="shared" si="170"/>
        <v>0</v>
      </c>
      <c r="AE151" s="36">
        <f t="shared" si="171"/>
        <v>0</v>
      </c>
      <c r="AF151" s="36">
        <f t="shared" si="172"/>
        <v>0</v>
      </c>
      <c r="AG151" s="36">
        <f t="shared" si="173"/>
        <v>0</v>
      </c>
      <c r="AH151" s="36">
        <f t="shared" si="174"/>
        <v>0</v>
      </c>
      <c r="AI151" s="35" t="s">
        <v>498</v>
      </c>
      <c r="AJ151" s="20">
        <f t="shared" si="175"/>
        <v>0</v>
      </c>
      <c r="AK151" s="20">
        <f t="shared" si="176"/>
        <v>0</v>
      </c>
      <c r="AL151" s="20">
        <f t="shared" si="177"/>
        <v>0</v>
      </c>
      <c r="AN151" s="36">
        <v>21</v>
      </c>
      <c r="AO151" s="36">
        <f t="shared" si="178"/>
        <v>0</v>
      </c>
      <c r="AP151" s="36">
        <f t="shared" si="179"/>
        <v>0</v>
      </c>
      <c r="AQ151" s="37" t="s">
        <v>7</v>
      </c>
      <c r="AV151" s="36">
        <f t="shared" si="180"/>
        <v>0</v>
      </c>
      <c r="AW151" s="36">
        <f t="shared" si="181"/>
        <v>0</v>
      </c>
      <c r="AX151" s="36">
        <f t="shared" si="182"/>
        <v>0</v>
      </c>
      <c r="AY151" s="39" t="s">
        <v>510</v>
      </c>
      <c r="AZ151" s="39" t="s">
        <v>514</v>
      </c>
      <c r="BA151" s="35" t="s">
        <v>518</v>
      </c>
      <c r="BC151" s="36">
        <f t="shared" si="183"/>
        <v>0</v>
      </c>
      <c r="BD151" s="36">
        <f t="shared" si="184"/>
        <v>0</v>
      </c>
      <c r="BE151" s="36">
        <v>0</v>
      </c>
      <c r="BF151" s="36">
        <f>151</f>
        <v>151</v>
      </c>
      <c r="BH151" s="20">
        <f t="shared" si="185"/>
        <v>0</v>
      </c>
      <c r="BI151" s="20">
        <f t="shared" si="186"/>
        <v>0</v>
      </c>
      <c r="BJ151" s="20">
        <f t="shared" si="187"/>
        <v>0</v>
      </c>
      <c r="BK151" s="20" t="s">
        <v>524</v>
      </c>
      <c r="BL151" s="36" t="s">
        <v>303</v>
      </c>
    </row>
    <row r="152" spans="1:64" x14ac:dyDescent="0.25">
      <c r="A152" s="4" t="s">
        <v>135</v>
      </c>
      <c r="B152" s="13" t="s">
        <v>308</v>
      </c>
      <c r="C152" s="148" t="s">
        <v>421</v>
      </c>
      <c r="D152" s="149"/>
      <c r="E152" s="149"/>
      <c r="F152" s="149"/>
      <c r="G152" s="13" t="s">
        <v>471</v>
      </c>
      <c r="H152" s="80">
        <v>4</v>
      </c>
      <c r="I152" s="20">
        <v>0</v>
      </c>
      <c r="J152" s="20">
        <f t="shared" si="164"/>
        <v>0</v>
      </c>
      <c r="K152" s="20">
        <f t="shared" si="165"/>
        <v>0</v>
      </c>
      <c r="L152" s="20">
        <f t="shared" si="166"/>
        <v>0</v>
      </c>
      <c r="M152" s="31" t="s">
        <v>488</v>
      </c>
      <c r="N152" s="6"/>
      <c r="Z152" s="36">
        <f t="shared" si="167"/>
        <v>0</v>
      </c>
      <c r="AB152" s="36">
        <f t="shared" si="168"/>
        <v>0</v>
      </c>
      <c r="AC152" s="36">
        <f t="shared" si="169"/>
        <v>0</v>
      </c>
      <c r="AD152" s="36">
        <f t="shared" si="170"/>
        <v>0</v>
      </c>
      <c r="AE152" s="36">
        <f t="shared" si="171"/>
        <v>0</v>
      </c>
      <c r="AF152" s="36">
        <f t="shared" si="172"/>
        <v>0</v>
      </c>
      <c r="AG152" s="36">
        <f t="shared" si="173"/>
        <v>0</v>
      </c>
      <c r="AH152" s="36">
        <f t="shared" si="174"/>
        <v>0</v>
      </c>
      <c r="AI152" s="35" t="s">
        <v>498</v>
      </c>
      <c r="AJ152" s="20">
        <f t="shared" si="175"/>
        <v>0</v>
      </c>
      <c r="AK152" s="20">
        <f t="shared" si="176"/>
        <v>0</v>
      </c>
      <c r="AL152" s="20">
        <f t="shared" si="177"/>
        <v>0</v>
      </c>
      <c r="AN152" s="36">
        <v>21</v>
      </c>
      <c r="AO152" s="36">
        <f t="shared" si="178"/>
        <v>0</v>
      </c>
      <c r="AP152" s="36">
        <f t="shared" si="179"/>
        <v>0</v>
      </c>
      <c r="AQ152" s="37" t="s">
        <v>7</v>
      </c>
      <c r="AV152" s="36">
        <f t="shared" si="180"/>
        <v>0</v>
      </c>
      <c r="AW152" s="36">
        <f t="shared" si="181"/>
        <v>0</v>
      </c>
      <c r="AX152" s="36">
        <f t="shared" si="182"/>
        <v>0</v>
      </c>
      <c r="AY152" s="39" t="s">
        <v>510</v>
      </c>
      <c r="AZ152" s="39" t="s">
        <v>514</v>
      </c>
      <c r="BA152" s="35" t="s">
        <v>518</v>
      </c>
      <c r="BC152" s="36">
        <f t="shared" si="183"/>
        <v>0</v>
      </c>
      <c r="BD152" s="36">
        <f t="shared" si="184"/>
        <v>0</v>
      </c>
      <c r="BE152" s="36">
        <v>0</v>
      </c>
      <c r="BF152" s="36">
        <f>152</f>
        <v>152</v>
      </c>
      <c r="BH152" s="20">
        <f t="shared" si="185"/>
        <v>0</v>
      </c>
      <c r="BI152" s="20">
        <f t="shared" si="186"/>
        <v>0</v>
      </c>
      <c r="BJ152" s="20">
        <f t="shared" si="187"/>
        <v>0</v>
      </c>
      <c r="BK152" s="20" t="s">
        <v>524</v>
      </c>
      <c r="BL152" s="36" t="s">
        <v>303</v>
      </c>
    </row>
    <row r="153" spans="1:64" x14ac:dyDescent="0.25">
      <c r="A153" s="4" t="s">
        <v>136</v>
      </c>
      <c r="B153" s="13" t="s">
        <v>309</v>
      </c>
      <c r="C153" s="148" t="s">
        <v>394</v>
      </c>
      <c r="D153" s="149"/>
      <c r="E153" s="149"/>
      <c r="F153" s="149"/>
      <c r="G153" s="13" t="s">
        <v>471</v>
      </c>
      <c r="H153" s="80">
        <v>6</v>
      </c>
      <c r="I153" s="20">
        <v>0</v>
      </c>
      <c r="J153" s="20">
        <f t="shared" si="164"/>
        <v>0</v>
      </c>
      <c r="K153" s="20">
        <f t="shared" si="165"/>
        <v>0</v>
      </c>
      <c r="L153" s="20">
        <f t="shared" si="166"/>
        <v>0</v>
      </c>
      <c r="M153" s="31" t="s">
        <v>488</v>
      </c>
      <c r="N153" s="6"/>
      <c r="Z153" s="36">
        <f t="shared" si="167"/>
        <v>0</v>
      </c>
      <c r="AB153" s="36">
        <f t="shared" si="168"/>
        <v>0</v>
      </c>
      <c r="AC153" s="36">
        <f t="shared" si="169"/>
        <v>0</v>
      </c>
      <c r="AD153" s="36">
        <f t="shared" si="170"/>
        <v>0</v>
      </c>
      <c r="AE153" s="36">
        <f t="shared" si="171"/>
        <v>0</v>
      </c>
      <c r="AF153" s="36">
        <f t="shared" si="172"/>
        <v>0</v>
      </c>
      <c r="AG153" s="36">
        <f t="shared" si="173"/>
        <v>0</v>
      </c>
      <c r="AH153" s="36">
        <f t="shared" si="174"/>
        <v>0</v>
      </c>
      <c r="AI153" s="35" t="s">
        <v>498</v>
      </c>
      <c r="AJ153" s="20">
        <f t="shared" si="175"/>
        <v>0</v>
      </c>
      <c r="AK153" s="20">
        <f t="shared" si="176"/>
        <v>0</v>
      </c>
      <c r="AL153" s="20">
        <f t="shared" si="177"/>
        <v>0</v>
      </c>
      <c r="AN153" s="36">
        <v>21</v>
      </c>
      <c r="AO153" s="36">
        <f t="shared" si="178"/>
        <v>0</v>
      </c>
      <c r="AP153" s="36">
        <f t="shared" si="179"/>
        <v>0</v>
      </c>
      <c r="AQ153" s="37" t="s">
        <v>7</v>
      </c>
      <c r="AV153" s="36">
        <f t="shared" si="180"/>
        <v>0</v>
      </c>
      <c r="AW153" s="36">
        <f t="shared" si="181"/>
        <v>0</v>
      </c>
      <c r="AX153" s="36">
        <f t="shared" si="182"/>
        <v>0</v>
      </c>
      <c r="AY153" s="39" t="s">
        <v>510</v>
      </c>
      <c r="AZ153" s="39" t="s">
        <v>514</v>
      </c>
      <c r="BA153" s="35" t="s">
        <v>518</v>
      </c>
      <c r="BC153" s="36">
        <f t="shared" si="183"/>
        <v>0</v>
      </c>
      <c r="BD153" s="36">
        <f t="shared" si="184"/>
        <v>0</v>
      </c>
      <c r="BE153" s="36">
        <v>0</v>
      </c>
      <c r="BF153" s="36">
        <f>153</f>
        <v>153</v>
      </c>
      <c r="BH153" s="20">
        <f t="shared" si="185"/>
        <v>0</v>
      </c>
      <c r="BI153" s="20">
        <f t="shared" si="186"/>
        <v>0</v>
      </c>
      <c r="BJ153" s="20">
        <f t="shared" si="187"/>
        <v>0</v>
      </c>
      <c r="BK153" s="20" t="s">
        <v>524</v>
      </c>
      <c r="BL153" s="36" t="s">
        <v>303</v>
      </c>
    </row>
    <row r="154" spans="1:64" x14ac:dyDescent="0.25">
      <c r="A154" s="4" t="s">
        <v>137</v>
      </c>
      <c r="B154" s="13" t="s">
        <v>310</v>
      </c>
      <c r="C154" s="148" t="s">
        <v>401</v>
      </c>
      <c r="D154" s="149"/>
      <c r="E154" s="149"/>
      <c r="F154" s="149"/>
      <c r="G154" s="13" t="s">
        <v>471</v>
      </c>
      <c r="H154" s="80">
        <v>1</v>
      </c>
      <c r="I154" s="20">
        <v>0</v>
      </c>
      <c r="J154" s="20">
        <f t="shared" si="164"/>
        <v>0</v>
      </c>
      <c r="K154" s="20">
        <f t="shared" si="165"/>
        <v>0</v>
      </c>
      <c r="L154" s="20">
        <f t="shared" si="166"/>
        <v>0</v>
      </c>
      <c r="M154" s="31" t="s">
        <v>488</v>
      </c>
      <c r="N154" s="6"/>
      <c r="Z154" s="36">
        <f t="shared" si="167"/>
        <v>0</v>
      </c>
      <c r="AB154" s="36">
        <f t="shared" si="168"/>
        <v>0</v>
      </c>
      <c r="AC154" s="36">
        <f t="shared" si="169"/>
        <v>0</v>
      </c>
      <c r="AD154" s="36">
        <f t="shared" si="170"/>
        <v>0</v>
      </c>
      <c r="AE154" s="36">
        <f t="shared" si="171"/>
        <v>0</v>
      </c>
      <c r="AF154" s="36">
        <f t="shared" si="172"/>
        <v>0</v>
      </c>
      <c r="AG154" s="36">
        <f t="shared" si="173"/>
        <v>0</v>
      </c>
      <c r="AH154" s="36">
        <f t="shared" si="174"/>
        <v>0</v>
      </c>
      <c r="AI154" s="35" t="s">
        <v>498</v>
      </c>
      <c r="AJ154" s="20">
        <f t="shared" si="175"/>
        <v>0</v>
      </c>
      <c r="AK154" s="20">
        <f t="shared" si="176"/>
        <v>0</v>
      </c>
      <c r="AL154" s="20">
        <f t="shared" si="177"/>
        <v>0</v>
      </c>
      <c r="AN154" s="36">
        <v>21</v>
      </c>
      <c r="AO154" s="36">
        <f t="shared" si="178"/>
        <v>0</v>
      </c>
      <c r="AP154" s="36">
        <f t="shared" si="179"/>
        <v>0</v>
      </c>
      <c r="AQ154" s="37" t="s">
        <v>7</v>
      </c>
      <c r="AV154" s="36">
        <f t="shared" si="180"/>
        <v>0</v>
      </c>
      <c r="AW154" s="36">
        <f t="shared" si="181"/>
        <v>0</v>
      </c>
      <c r="AX154" s="36">
        <f t="shared" si="182"/>
        <v>0</v>
      </c>
      <c r="AY154" s="39" t="s">
        <v>510</v>
      </c>
      <c r="AZ154" s="39" t="s">
        <v>514</v>
      </c>
      <c r="BA154" s="35" t="s">
        <v>518</v>
      </c>
      <c r="BC154" s="36">
        <f t="shared" si="183"/>
        <v>0</v>
      </c>
      <c r="BD154" s="36">
        <f t="shared" si="184"/>
        <v>0</v>
      </c>
      <c r="BE154" s="36">
        <v>0</v>
      </c>
      <c r="BF154" s="36">
        <f>154</f>
        <v>154</v>
      </c>
      <c r="BH154" s="20">
        <f t="shared" si="185"/>
        <v>0</v>
      </c>
      <c r="BI154" s="20">
        <f t="shared" si="186"/>
        <v>0</v>
      </c>
      <c r="BJ154" s="20">
        <f t="shared" si="187"/>
        <v>0</v>
      </c>
      <c r="BK154" s="20" t="s">
        <v>524</v>
      </c>
      <c r="BL154" s="36" t="s">
        <v>303</v>
      </c>
    </row>
    <row r="155" spans="1:64" x14ac:dyDescent="0.25">
      <c r="A155" s="4" t="s">
        <v>138</v>
      </c>
      <c r="B155" s="13" t="s">
        <v>311</v>
      </c>
      <c r="C155" s="148" t="s">
        <v>402</v>
      </c>
      <c r="D155" s="149"/>
      <c r="E155" s="149"/>
      <c r="F155" s="149"/>
      <c r="G155" s="13" t="s">
        <v>471</v>
      </c>
      <c r="H155" s="80">
        <v>1</v>
      </c>
      <c r="I155" s="20">
        <v>0</v>
      </c>
      <c r="J155" s="20">
        <f t="shared" si="164"/>
        <v>0</v>
      </c>
      <c r="K155" s="20">
        <f t="shared" si="165"/>
        <v>0</v>
      </c>
      <c r="L155" s="20">
        <f t="shared" si="166"/>
        <v>0</v>
      </c>
      <c r="M155" s="31" t="s">
        <v>488</v>
      </c>
      <c r="N155" s="6"/>
      <c r="Z155" s="36">
        <f t="shared" si="167"/>
        <v>0</v>
      </c>
      <c r="AB155" s="36">
        <f t="shared" si="168"/>
        <v>0</v>
      </c>
      <c r="AC155" s="36">
        <f t="shared" si="169"/>
        <v>0</v>
      </c>
      <c r="AD155" s="36">
        <f t="shared" si="170"/>
        <v>0</v>
      </c>
      <c r="AE155" s="36">
        <f t="shared" si="171"/>
        <v>0</v>
      </c>
      <c r="AF155" s="36">
        <f t="shared" si="172"/>
        <v>0</v>
      </c>
      <c r="AG155" s="36">
        <f t="shared" si="173"/>
        <v>0</v>
      </c>
      <c r="AH155" s="36">
        <f t="shared" si="174"/>
        <v>0</v>
      </c>
      <c r="AI155" s="35" t="s">
        <v>498</v>
      </c>
      <c r="AJ155" s="20">
        <f t="shared" si="175"/>
        <v>0</v>
      </c>
      <c r="AK155" s="20">
        <f t="shared" si="176"/>
        <v>0</v>
      </c>
      <c r="AL155" s="20">
        <f t="shared" si="177"/>
        <v>0</v>
      </c>
      <c r="AN155" s="36">
        <v>21</v>
      </c>
      <c r="AO155" s="36">
        <f t="shared" si="178"/>
        <v>0</v>
      </c>
      <c r="AP155" s="36">
        <f t="shared" si="179"/>
        <v>0</v>
      </c>
      <c r="AQ155" s="37" t="s">
        <v>7</v>
      </c>
      <c r="AV155" s="36">
        <f t="shared" si="180"/>
        <v>0</v>
      </c>
      <c r="AW155" s="36">
        <f t="shared" si="181"/>
        <v>0</v>
      </c>
      <c r="AX155" s="36">
        <f t="shared" si="182"/>
        <v>0</v>
      </c>
      <c r="AY155" s="39" t="s">
        <v>510</v>
      </c>
      <c r="AZ155" s="39" t="s">
        <v>514</v>
      </c>
      <c r="BA155" s="35" t="s">
        <v>518</v>
      </c>
      <c r="BC155" s="36">
        <f t="shared" si="183"/>
        <v>0</v>
      </c>
      <c r="BD155" s="36">
        <f t="shared" si="184"/>
        <v>0</v>
      </c>
      <c r="BE155" s="36">
        <v>0</v>
      </c>
      <c r="BF155" s="36">
        <f>155</f>
        <v>155</v>
      </c>
      <c r="BH155" s="20">
        <f t="shared" si="185"/>
        <v>0</v>
      </c>
      <c r="BI155" s="20">
        <f t="shared" si="186"/>
        <v>0</v>
      </c>
      <c r="BJ155" s="20">
        <f t="shared" si="187"/>
        <v>0</v>
      </c>
      <c r="BK155" s="20" t="s">
        <v>524</v>
      </c>
      <c r="BL155" s="36" t="s">
        <v>303</v>
      </c>
    </row>
    <row r="156" spans="1:64" x14ac:dyDescent="0.25">
      <c r="A156" s="4" t="s">
        <v>139</v>
      </c>
      <c r="B156" s="13" t="s">
        <v>312</v>
      </c>
      <c r="C156" s="148" t="s">
        <v>407</v>
      </c>
      <c r="D156" s="149"/>
      <c r="E156" s="149"/>
      <c r="F156" s="149"/>
      <c r="G156" s="13" t="s">
        <v>471</v>
      </c>
      <c r="H156" s="80">
        <v>0.5</v>
      </c>
      <c r="I156" s="20">
        <v>0</v>
      </c>
      <c r="J156" s="20">
        <f t="shared" si="164"/>
        <v>0</v>
      </c>
      <c r="K156" s="20">
        <f t="shared" si="165"/>
        <v>0</v>
      </c>
      <c r="L156" s="20">
        <f t="shared" si="166"/>
        <v>0</v>
      </c>
      <c r="M156" s="31" t="s">
        <v>488</v>
      </c>
      <c r="N156" s="6"/>
      <c r="Z156" s="36">
        <f t="shared" si="167"/>
        <v>0</v>
      </c>
      <c r="AB156" s="36">
        <f t="shared" si="168"/>
        <v>0</v>
      </c>
      <c r="AC156" s="36">
        <f t="shared" si="169"/>
        <v>0</v>
      </c>
      <c r="AD156" s="36">
        <f t="shared" si="170"/>
        <v>0</v>
      </c>
      <c r="AE156" s="36">
        <f t="shared" si="171"/>
        <v>0</v>
      </c>
      <c r="AF156" s="36">
        <f t="shared" si="172"/>
        <v>0</v>
      </c>
      <c r="AG156" s="36">
        <f t="shared" si="173"/>
        <v>0</v>
      </c>
      <c r="AH156" s="36">
        <f t="shared" si="174"/>
        <v>0</v>
      </c>
      <c r="AI156" s="35" t="s">
        <v>498</v>
      </c>
      <c r="AJ156" s="20">
        <f t="shared" si="175"/>
        <v>0</v>
      </c>
      <c r="AK156" s="20">
        <f t="shared" si="176"/>
        <v>0</v>
      </c>
      <c r="AL156" s="20">
        <f t="shared" si="177"/>
        <v>0</v>
      </c>
      <c r="AN156" s="36">
        <v>21</v>
      </c>
      <c r="AO156" s="36">
        <f>I156*0.587993322886148</f>
        <v>0</v>
      </c>
      <c r="AP156" s="36">
        <f>I156*(1-0.587993322886148)</f>
        <v>0</v>
      </c>
      <c r="AQ156" s="37" t="s">
        <v>7</v>
      </c>
      <c r="AV156" s="36">
        <f t="shared" si="180"/>
        <v>0</v>
      </c>
      <c r="AW156" s="36">
        <f t="shared" si="181"/>
        <v>0</v>
      </c>
      <c r="AX156" s="36">
        <f t="shared" si="182"/>
        <v>0</v>
      </c>
      <c r="AY156" s="39" t="s">
        <v>510</v>
      </c>
      <c r="AZ156" s="39" t="s">
        <v>514</v>
      </c>
      <c r="BA156" s="35" t="s">
        <v>518</v>
      </c>
      <c r="BC156" s="36">
        <f t="shared" si="183"/>
        <v>0</v>
      </c>
      <c r="BD156" s="36">
        <f t="shared" si="184"/>
        <v>0</v>
      </c>
      <c r="BE156" s="36">
        <v>0</v>
      </c>
      <c r="BF156" s="36">
        <f>156</f>
        <v>156</v>
      </c>
      <c r="BH156" s="20">
        <f t="shared" si="185"/>
        <v>0</v>
      </c>
      <c r="BI156" s="20">
        <f t="shared" si="186"/>
        <v>0</v>
      </c>
      <c r="BJ156" s="20">
        <f t="shared" si="187"/>
        <v>0</v>
      </c>
      <c r="BK156" s="20" t="s">
        <v>524</v>
      </c>
      <c r="BL156" s="36" t="s">
        <v>303</v>
      </c>
    </row>
    <row r="157" spans="1:64" x14ac:dyDescent="0.25">
      <c r="A157" s="4" t="s">
        <v>140</v>
      </c>
      <c r="B157" s="13" t="s">
        <v>313</v>
      </c>
      <c r="C157" s="148" t="s">
        <v>413</v>
      </c>
      <c r="D157" s="149"/>
      <c r="E157" s="149"/>
      <c r="F157" s="149"/>
      <c r="G157" s="13" t="s">
        <v>471</v>
      </c>
      <c r="H157" s="80">
        <v>40</v>
      </c>
      <c r="I157" s="20">
        <v>0</v>
      </c>
      <c r="J157" s="20">
        <f t="shared" si="164"/>
        <v>0</v>
      </c>
      <c r="K157" s="20">
        <f t="shared" si="165"/>
        <v>0</v>
      </c>
      <c r="L157" s="20">
        <f t="shared" si="166"/>
        <v>0</v>
      </c>
      <c r="M157" s="31" t="s">
        <v>488</v>
      </c>
      <c r="N157" s="6"/>
      <c r="Z157" s="36">
        <f t="shared" si="167"/>
        <v>0</v>
      </c>
      <c r="AB157" s="36">
        <f t="shared" si="168"/>
        <v>0</v>
      </c>
      <c r="AC157" s="36">
        <f t="shared" si="169"/>
        <v>0</v>
      </c>
      <c r="AD157" s="36">
        <f t="shared" si="170"/>
        <v>0</v>
      </c>
      <c r="AE157" s="36">
        <f t="shared" si="171"/>
        <v>0</v>
      </c>
      <c r="AF157" s="36">
        <f t="shared" si="172"/>
        <v>0</v>
      </c>
      <c r="AG157" s="36">
        <f t="shared" si="173"/>
        <v>0</v>
      </c>
      <c r="AH157" s="36">
        <f t="shared" si="174"/>
        <v>0</v>
      </c>
      <c r="AI157" s="35" t="s">
        <v>498</v>
      </c>
      <c r="AJ157" s="20">
        <f t="shared" si="175"/>
        <v>0</v>
      </c>
      <c r="AK157" s="20">
        <f t="shared" si="176"/>
        <v>0</v>
      </c>
      <c r="AL157" s="20">
        <f t="shared" si="177"/>
        <v>0</v>
      </c>
      <c r="AN157" s="36">
        <v>21</v>
      </c>
      <c r="AO157" s="36">
        <f>I157*0</f>
        <v>0</v>
      </c>
      <c r="AP157" s="36">
        <f>I157*(1-0)</f>
        <v>0</v>
      </c>
      <c r="AQ157" s="37" t="s">
        <v>7</v>
      </c>
      <c r="AV157" s="36">
        <f t="shared" si="180"/>
        <v>0</v>
      </c>
      <c r="AW157" s="36">
        <f t="shared" si="181"/>
        <v>0</v>
      </c>
      <c r="AX157" s="36">
        <f t="shared" si="182"/>
        <v>0</v>
      </c>
      <c r="AY157" s="39" t="s">
        <v>510</v>
      </c>
      <c r="AZ157" s="39" t="s">
        <v>514</v>
      </c>
      <c r="BA157" s="35" t="s">
        <v>518</v>
      </c>
      <c r="BC157" s="36">
        <f t="shared" si="183"/>
        <v>0</v>
      </c>
      <c r="BD157" s="36">
        <f t="shared" si="184"/>
        <v>0</v>
      </c>
      <c r="BE157" s="36">
        <v>0</v>
      </c>
      <c r="BF157" s="36">
        <f>157</f>
        <v>157</v>
      </c>
      <c r="BH157" s="20">
        <f t="shared" si="185"/>
        <v>0</v>
      </c>
      <c r="BI157" s="20">
        <f t="shared" si="186"/>
        <v>0</v>
      </c>
      <c r="BJ157" s="20">
        <f t="shared" si="187"/>
        <v>0</v>
      </c>
      <c r="BK157" s="20" t="s">
        <v>524</v>
      </c>
      <c r="BL157" s="36" t="s">
        <v>303</v>
      </c>
    </row>
    <row r="158" spans="1:64" x14ac:dyDescent="0.25">
      <c r="A158" s="4" t="s">
        <v>141</v>
      </c>
      <c r="B158" s="13" t="s">
        <v>314</v>
      </c>
      <c r="C158" s="148" t="s">
        <v>414</v>
      </c>
      <c r="D158" s="149"/>
      <c r="E158" s="149"/>
      <c r="F158" s="149"/>
      <c r="G158" s="13" t="s">
        <v>471</v>
      </c>
      <c r="H158" s="80">
        <v>1</v>
      </c>
      <c r="I158" s="20">
        <v>0</v>
      </c>
      <c r="J158" s="20">
        <f t="shared" si="164"/>
        <v>0</v>
      </c>
      <c r="K158" s="20">
        <f t="shared" si="165"/>
        <v>0</v>
      </c>
      <c r="L158" s="20">
        <f t="shared" si="166"/>
        <v>0</v>
      </c>
      <c r="M158" s="31" t="s">
        <v>488</v>
      </c>
      <c r="N158" s="6"/>
      <c r="Z158" s="36">
        <f t="shared" si="167"/>
        <v>0</v>
      </c>
      <c r="AB158" s="36">
        <f t="shared" si="168"/>
        <v>0</v>
      </c>
      <c r="AC158" s="36">
        <f t="shared" si="169"/>
        <v>0</v>
      </c>
      <c r="AD158" s="36">
        <f t="shared" si="170"/>
        <v>0</v>
      </c>
      <c r="AE158" s="36">
        <f t="shared" si="171"/>
        <v>0</v>
      </c>
      <c r="AF158" s="36">
        <f t="shared" si="172"/>
        <v>0</v>
      </c>
      <c r="AG158" s="36">
        <f t="shared" si="173"/>
        <v>0</v>
      </c>
      <c r="AH158" s="36">
        <f t="shared" si="174"/>
        <v>0</v>
      </c>
      <c r="AI158" s="35" t="s">
        <v>498</v>
      </c>
      <c r="AJ158" s="20">
        <f t="shared" si="175"/>
        <v>0</v>
      </c>
      <c r="AK158" s="20">
        <f t="shared" si="176"/>
        <v>0</v>
      </c>
      <c r="AL158" s="20">
        <f t="shared" si="177"/>
        <v>0</v>
      </c>
      <c r="AN158" s="36">
        <v>21</v>
      </c>
      <c r="AO158" s="36">
        <f>I158*1</f>
        <v>0</v>
      </c>
      <c r="AP158" s="36">
        <f>I158*(1-1)</f>
        <v>0</v>
      </c>
      <c r="AQ158" s="37" t="s">
        <v>7</v>
      </c>
      <c r="AV158" s="36">
        <f t="shared" si="180"/>
        <v>0</v>
      </c>
      <c r="AW158" s="36">
        <f t="shared" si="181"/>
        <v>0</v>
      </c>
      <c r="AX158" s="36">
        <f t="shared" si="182"/>
        <v>0</v>
      </c>
      <c r="AY158" s="39" t="s">
        <v>510</v>
      </c>
      <c r="AZ158" s="39" t="s">
        <v>514</v>
      </c>
      <c r="BA158" s="35" t="s">
        <v>518</v>
      </c>
      <c r="BC158" s="36">
        <f t="shared" si="183"/>
        <v>0</v>
      </c>
      <c r="BD158" s="36">
        <f t="shared" si="184"/>
        <v>0</v>
      </c>
      <c r="BE158" s="36">
        <v>0</v>
      </c>
      <c r="BF158" s="36">
        <f>158</f>
        <v>158</v>
      </c>
      <c r="BH158" s="20">
        <f t="shared" si="185"/>
        <v>0</v>
      </c>
      <c r="BI158" s="20">
        <f t="shared" si="186"/>
        <v>0</v>
      </c>
      <c r="BJ158" s="20">
        <f t="shared" si="187"/>
        <v>0</v>
      </c>
      <c r="BK158" s="20" t="s">
        <v>524</v>
      </c>
      <c r="BL158" s="36" t="s">
        <v>303</v>
      </c>
    </row>
    <row r="159" spans="1:64" x14ac:dyDescent="0.25">
      <c r="A159" s="4" t="s">
        <v>142</v>
      </c>
      <c r="B159" s="13" t="s">
        <v>315</v>
      </c>
      <c r="C159" s="148" t="s">
        <v>415</v>
      </c>
      <c r="D159" s="149"/>
      <c r="E159" s="149"/>
      <c r="F159" s="149"/>
      <c r="G159" s="13" t="s">
        <v>471</v>
      </c>
      <c r="H159" s="80">
        <v>1</v>
      </c>
      <c r="I159" s="20">
        <v>0</v>
      </c>
      <c r="J159" s="20">
        <f t="shared" si="164"/>
        <v>0</v>
      </c>
      <c r="K159" s="20">
        <f t="shared" si="165"/>
        <v>0</v>
      </c>
      <c r="L159" s="20">
        <f t="shared" si="166"/>
        <v>0</v>
      </c>
      <c r="M159" s="31" t="s">
        <v>488</v>
      </c>
      <c r="N159" s="6"/>
      <c r="Z159" s="36">
        <f t="shared" si="167"/>
        <v>0</v>
      </c>
      <c r="AB159" s="36">
        <f t="shared" si="168"/>
        <v>0</v>
      </c>
      <c r="AC159" s="36">
        <f t="shared" si="169"/>
        <v>0</v>
      </c>
      <c r="AD159" s="36">
        <f t="shared" si="170"/>
        <v>0</v>
      </c>
      <c r="AE159" s="36">
        <f t="shared" si="171"/>
        <v>0</v>
      </c>
      <c r="AF159" s="36">
        <f t="shared" si="172"/>
        <v>0</v>
      </c>
      <c r="AG159" s="36">
        <f t="shared" si="173"/>
        <v>0</v>
      </c>
      <c r="AH159" s="36">
        <f t="shared" si="174"/>
        <v>0</v>
      </c>
      <c r="AI159" s="35" t="s">
        <v>498</v>
      </c>
      <c r="AJ159" s="20">
        <f t="shared" si="175"/>
        <v>0</v>
      </c>
      <c r="AK159" s="20">
        <f t="shared" si="176"/>
        <v>0</v>
      </c>
      <c r="AL159" s="20">
        <f t="shared" si="177"/>
        <v>0</v>
      </c>
      <c r="AN159" s="36">
        <v>21</v>
      </c>
      <c r="AO159" s="36">
        <f>I159*0</f>
        <v>0</v>
      </c>
      <c r="AP159" s="36">
        <f>I159*(1-0)</f>
        <v>0</v>
      </c>
      <c r="AQ159" s="37" t="s">
        <v>7</v>
      </c>
      <c r="AV159" s="36">
        <f t="shared" si="180"/>
        <v>0</v>
      </c>
      <c r="AW159" s="36">
        <f t="shared" si="181"/>
        <v>0</v>
      </c>
      <c r="AX159" s="36">
        <f t="shared" si="182"/>
        <v>0</v>
      </c>
      <c r="AY159" s="39" t="s">
        <v>510</v>
      </c>
      <c r="AZ159" s="39" t="s">
        <v>514</v>
      </c>
      <c r="BA159" s="35" t="s">
        <v>518</v>
      </c>
      <c r="BC159" s="36">
        <f t="shared" si="183"/>
        <v>0</v>
      </c>
      <c r="BD159" s="36">
        <f t="shared" si="184"/>
        <v>0</v>
      </c>
      <c r="BE159" s="36">
        <v>0</v>
      </c>
      <c r="BF159" s="36">
        <f>159</f>
        <v>159</v>
      </c>
      <c r="BH159" s="20">
        <f t="shared" si="185"/>
        <v>0</v>
      </c>
      <c r="BI159" s="20">
        <f t="shared" si="186"/>
        <v>0</v>
      </c>
      <c r="BJ159" s="20">
        <f t="shared" si="187"/>
        <v>0</v>
      </c>
      <c r="BK159" s="20" t="s">
        <v>524</v>
      </c>
      <c r="BL159" s="36" t="s">
        <v>303</v>
      </c>
    </row>
    <row r="160" spans="1:64" x14ac:dyDescent="0.25">
      <c r="A160" s="4" t="s">
        <v>143</v>
      </c>
      <c r="B160" s="13" t="s">
        <v>316</v>
      </c>
      <c r="C160" s="148" t="s">
        <v>416</v>
      </c>
      <c r="D160" s="149"/>
      <c r="E160" s="149"/>
      <c r="F160" s="149"/>
      <c r="G160" s="13" t="s">
        <v>471</v>
      </c>
      <c r="H160" s="80">
        <v>1</v>
      </c>
      <c r="I160" s="20">
        <v>0</v>
      </c>
      <c r="J160" s="20">
        <f t="shared" si="164"/>
        <v>0</v>
      </c>
      <c r="K160" s="20">
        <f t="shared" si="165"/>
        <v>0</v>
      </c>
      <c r="L160" s="20">
        <f t="shared" si="166"/>
        <v>0</v>
      </c>
      <c r="M160" s="31" t="s">
        <v>488</v>
      </c>
      <c r="N160" s="6"/>
      <c r="Z160" s="36">
        <f t="shared" si="167"/>
        <v>0</v>
      </c>
      <c r="AB160" s="36">
        <f t="shared" si="168"/>
        <v>0</v>
      </c>
      <c r="AC160" s="36">
        <f t="shared" si="169"/>
        <v>0</v>
      </c>
      <c r="AD160" s="36">
        <f t="shared" si="170"/>
        <v>0</v>
      </c>
      <c r="AE160" s="36">
        <f t="shared" si="171"/>
        <v>0</v>
      </c>
      <c r="AF160" s="36">
        <f t="shared" si="172"/>
        <v>0</v>
      </c>
      <c r="AG160" s="36">
        <f t="shared" si="173"/>
        <v>0</v>
      </c>
      <c r="AH160" s="36">
        <f t="shared" si="174"/>
        <v>0</v>
      </c>
      <c r="AI160" s="35" t="s">
        <v>498</v>
      </c>
      <c r="AJ160" s="20">
        <f t="shared" si="175"/>
        <v>0</v>
      </c>
      <c r="AK160" s="20">
        <f t="shared" si="176"/>
        <v>0</v>
      </c>
      <c r="AL160" s="20">
        <f t="shared" si="177"/>
        <v>0</v>
      </c>
      <c r="AN160" s="36">
        <v>21</v>
      </c>
      <c r="AO160" s="36">
        <f>I160*0</f>
        <v>0</v>
      </c>
      <c r="AP160" s="36">
        <f>I160*(1-0)</f>
        <v>0</v>
      </c>
      <c r="AQ160" s="37" t="s">
        <v>7</v>
      </c>
      <c r="AV160" s="36">
        <f t="shared" si="180"/>
        <v>0</v>
      </c>
      <c r="AW160" s="36">
        <f t="shared" si="181"/>
        <v>0</v>
      </c>
      <c r="AX160" s="36">
        <f t="shared" si="182"/>
        <v>0</v>
      </c>
      <c r="AY160" s="39" t="s">
        <v>510</v>
      </c>
      <c r="AZ160" s="39" t="s">
        <v>514</v>
      </c>
      <c r="BA160" s="35" t="s">
        <v>518</v>
      </c>
      <c r="BC160" s="36">
        <f t="shared" si="183"/>
        <v>0</v>
      </c>
      <c r="BD160" s="36">
        <f t="shared" si="184"/>
        <v>0</v>
      </c>
      <c r="BE160" s="36">
        <v>0</v>
      </c>
      <c r="BF160" s="36">
        <f>160</f>
        <v>160</v>
      </c>
      <c r="BH160" s="20">
        <f t="shared" si="185"/>
        <v>0</v>
      </c>
      <c r="BI160" s="20">
        <f t="shared" si="186"/>
        <v>0</v>
      </c>
      <c r="BJ160" s="20">
        <f t="shared" si="187"/>
        <v>0</v>
      </c>
      <c r="BK160" s="20" t="s">
        <v>524</v>
      </c>
      <c r="BL160" s="36" t="s">
        <v>303</v>
      </c>
    </row>
    <row r="161" spans="1:64" x14ac:dyDescent="0.25">
      <c r="A161" s="3"/>
      <c r="B161" s="12" t="s">
        <v>317</v>
      </c>
      <c r="C161" s="155" t="s">
        <v>436</v>
      </c>
      <c r="D161" s="156"/>
      <c r="E161" s="156"/>
      <c r="F161" s="156"/>
      <c r="G161" s="18" t="s">
        <v>6</v>
      </c>
      <c r="H161" s="18" t="s">
        <v>6</v>
      </c>
      <c r="I161" s="18" t="s">
        <v>6</v>
      </c>
      <c r="J161" s="41">
        <f>SUM(J162:J168)</f>
        <v>0</v>
      </c>
      <c r="K161" s="41">
        <f>SUM(K162:K168)</f>
        <v>0</v>
      </c>
      <c r="L161" s="41">
        <f>SUM(L162:L168)</f>
        <v>0</v>
      </c>
      <c r="M161" s="30"/>
      <c r="N161" s="6"/>
      <c r="AI161" s="35" t="s">
        <v>498</v>
      </c>
      <c r="AS161" s="41">
        <f>SUM(AJ162:AJ168)</f>
        <v>0</v>
      </c>
      <c r="AT161" s="41">
        <f>SUM(AK162:AK168)</f>
        <v>0</v>
      </c>
      <c r="AU161" s="41">
        <f>SUM(AL162:AL168)</f>
        <v>0</v>
      </c>
    </row>
    <row r="162" spans="1:64" x14ac:dyDescent="0.25">
      <c r="A162" s="44" t="s">
        <v>144</v>
      </c>
      <c r="B162" s="17" t="s">
        <v>318</v>
      </c>
      <c r="C162" s="128" t="s">
        <v>437</v>
      </c>
      <c r="D162" s="149"/>
      <c r="E162" s="149"/>
      <c r="F162" s="149"/>
      <c r="G162" s="17" t="s">
        <v>471</v>
      </c>
      <c r="H162" s="85">
        <v>1</v>
      </c>
      <c r="I162" s="36">
        <v>0</v>
      </c>
      <c r="J162" s="36">
        <f t="shared" ref="J162:J168" si="188">H162*AO162</f>
        <v>0</v>
      </c>
      <c r="K162" s="36">
        <f t="shared" ref="K162:K168" si="189">H162*AP162</f>
        <v>0</v>
      </c>
      <c r="L162" s="36">
        <f t="shared" ref="L162:L168" si="190">H162*I162</f>
        <v>0</v>
      </c>
      <c r="M162" s="92" t="s">
        <v>488</v>
      </c>
      <c r="N162" s="6"/>
      <c r="Z162" s="36">
        <f t="shared" ref="Z162:Z168" si="191">IF(AQ162="5",BJ162,0)</f>
        <v>0</v>
      </c>
      <c r="AB162" s="36">
        <f t="shared" ref="AB162:AB168" si="192">IF(AQ162="1",BH162,0)</f>
        <v>0</v>
      </c>
      <c r="AC162" s="36">
        <f t="shared" ref="AC162:AC168" si="193">IF(AQ162="1",BI162,0)</f>
        <v>0</v>
      </c>
      <c r="AD162" s="36">
        <f t="shared" ref="AD162:AD168" si="194">IF(AQ162="7",BH162,0)</f>
        <v>0</v>
      </c>
      <c r="AE162" s="36">
        <f t="shared" ref="AE162:AE168" si="195">IF(AQ162="7",BI162,0)</f>
        <v>0</v>
      </c>
      <c r="AF162" s="36">
        <f t="shared" ref="AF162:AF168" si="196">IF(AQ162="2",BH162,0)</f>
        <v>0</v>
      </c>
      <c r="AG162" s="36">
        <f t="shared" ref="AG162:AG168" si="197">IF(AQ162="2",BI162,0)</f>
        <v>0</v>
      </c>
      <c r="AH162" s="36">
        <f t="shared" ref="AH162:AH168" si="198">IF(AQ162="0",BJ162,0)</f>
        <v>0</v>
      </c>
      <c r="AI162" s="35" t="s">
        <v>498</v>
      </c>
      <c r="AJ162" s="20">
        <f t="shared" ref="AJ162:AJ168" si="199">IF(AN162=0,L162,0)</f>
        <v>0</v>
      </c>
      <c r="AK162" s="20">
        <f t="shared" ref="AK162:AK168" si="200">IF(AN162=15,L162,0)</f>
        <v>0</v>
      </c>
      <c r="AL162" s="20">
        <f t="shared" ref="AL162:AL168" si="201">IF(AN162=21,L162,0)</f>
        <v>0</v>
      </c>
      <c r="AN162" s="36">
        <v>21</v>
      </c>
      <c r="AO162" s="36">
        <f t="shared" ref="AO162:AO168" si="202">I162*0</f>
        <v>0</v>
      </c>
      <c r="AP162" s="36">
        <f t="shared" ref="AP162:AP168" si="203">I162*(1-0)</f>
        <v>0</v>
      </c>
      <c r="AQ162" s="37" t="s">
        <v>7</v>
      </c>
      <c r="AV162" s="36">
        <f t="shared" ref="AV162:AV168" si="204">AW162+AX162</f>
        <v>0</v>
      </c>
      <c r="AW162" s="36">
        <f t="shared" ref="AW162:AW168" si="205">H162*AO162</f>
        <v>0</v>
      </c>
      <c r="AX162" s="36">
        <f t="shared" ref="AX162:AX168" si="206">H162*AP162</f>
        <v>0</v>
      </c>
      <c r="AY162" s="39" t="s">
        <v>511</v>
      </c>
      <c r="AZ162" s="39" t="s">
        <v>514</v>
      </c>
      <c r="BA162" s="35" t="s">
        <v>518</v>
      </c>
      <c r="BC162" s="36">
        <f t="shared" ref="BC162:BC168" si="207">AW162+AX162</f>
        <v>0</v>
      </c>
      <c r="BD162" s="36">
        <f t="shared" ref="BD162:BD168" si="208">I162/(100-BE162)*100</f>
        <v>0</v>
      </c>
      <c r="BE162" s="36">
        <v>0</v>
      </c>
      <c r="BF162" s="36">
        <f>162</f>
        <v>162</v>
      </c>
      <c r="BH162" s="20">
        <f t="shared" ref="BH162:BH168" si="209">H162*AO162</f>
        <v>0</v>
      </c>
      <c r="BI162" s="20">
        <f t="shared" ref="BI162:BI168" si="210">H162*AP162</f>
        <v>0</v>
      </c>
      <c r="BJ162" s="20">
        <f t="shared" ref="BJ162:BJ168" si="211">H162*I162</f>
        <v>0</v>
      </c>
      <c r="BK162" s="20" t="s">
        <v>524</v>
      </c>
      <c r="BL162" s="36" t="s">
        <v>317</v>
      </c>
    </row>
    <row r="163" spans="1:64" x14ac:dyDescent="0.25">
      <c r="A163" s="44" t="s">
        <v>145</v>
      </c>
      <c r="B163" s="17" t="s">
        <v>319</v>
      </c>
      <c r="C163" s="128" t="s">
        <v>438</v>
      </c>
      <c r="D163" s="149"/>
      <c r="E163" s="149"/>
      <c r="F163" s="149"/>
      <c r="G163" s="17" t="s">
        <v>471</v>
      </c>
      <c r="H163" s="85">
        <v>1</v>
      </c>
      <c r="I163" s="36">
        <v>0</v>
      </c>
      <c r="J163" s="36">
        <f t="shared" si="188"/>
        <v>0</v>
      </c>
      <c r="K163" s="36">
        <f t="shared" si="189"/>
        <v>0</v>
      </c>
      <c r="L163" s="36">
        <f t="shared" si="190"/>
        <v>0</v>
      </c>
      <c r="M163" s="92" t="s">
        <v>488</v>
      </c>
      <c r="N163" s="6"/>
      <c r="Z163" s="36">
        <f t="shared" si="191"/>
        <v>0</v>
      </c>
      <c r="AB163" s="36">
        <f t="shared" si="192"/>
        <v>0</v>
      </c>
      <c r="AC163" s="36">
        <f t="shared" si="193"/>
        <v>0</v>
      </c>
      <c r="AD163" s="36">
        <f t="shared" si="194"/>
        <v>0</v>
      </c>
      <c r="AE163" s="36">
        <f t="shared" si="195"/>
        <v>0</v>
      </c>
      <c r="AF163" s="36">
        <f t="shared" si="196"/>
        <v>0</v>
      </c>
      <c r="AG163" s="36">
        <f t="shared" si="197"/>
        <v>0</v>
      </c>
      <c r="AH163" s="36">
        <f t="shared" si="198"/>
        <v>0</v>
      </c>
      <c r="AI163" s="35" t="s">
        <v>498</v>
      </c>
      <c r="AJ163" s="20">
        <f t="shared" si="199"/>
        <v>0</v>
      </c>
      <c r="AK163" s="20">
        <f t="shared" si="200"/>
        <v>0</v>
      </c>
      <c r="AL163" s="20">
        <f t="shared" si="201"/>
        <v>0</v>
      </c>
      <c r="AN163" s="36">
        <v>21</v>
      </c>
      <c r="AO163" s="36">
        <f t="shared" si="202"/>
        <v>0</v>
      </c>
      <c r="AP163" s="36">
        <f t="shared" si="203"/>
        <v>0</v>
      </c>
      <c r="AQ163" s="37" t="s">
        <v>7</v>
      </c>
      <c r="AV163" s="36">
        <f t="shared" si="204"/>
        <v>0</v>
      </c>
      <c r="AW163" s="36">
        <f t="shared" si="205"/>
        <v>0</v>
      </c>
      <c r="AX163" s="36">
        <f t="shared" si="206"/>
        <v>0</v>
      </c>
      <c r="AY163" s="39" t="s">
        <v>511</v>
      </c>
      <c r="AZ163" s="39" t="s">
        <v>514</v>
      </c>
      <c r="BA163" s="35" t="s">
        <v>518</v>
      </c>
      <c r="BC163" s="36">
        <f t="shared" si="207"/>
        <v>0</v>
      </c>
      <c r="BD163" s="36">
        <f t="shared" si="208"/>
        <v>0</v>
      </c>
      <c r="BE163" s="36">
        <v>0</v>
      </c>
      <c r="BF163" s="36">
        <f>163</f>
        <v>163</v>
      </c>
      <c r="BH163" s="20">
        <f t="shared" si="209"/>
        <v>0</v>
      </c>
      <c r="BI163" s="20">
        <f t="shared" si="210"/>
        <v>0</v>
      </c>
      <c r="BJ163" s="20">
        <f t="shared" si="211"/>
        <v>0</v>
      </c>
      <c r="BK163" s="20" t="s">
        <v>524</v>
      </c>
      <c r="BL163" s="36" t="s">
        <v>317</v>
      </c>
    </row>
    <row r="164" spans="1:64" x14ac:dyDescent="0.25">
      <c r="A164" s="44" t="s">
        <v>146</v>
      </c>
      <c r="B164" s="17" t="s">
        <v>320</v>
      </c>
      <c r="C164" s="128" t="s">
        <v>439</v>
      </c>
      <c r="D164" s="149"/>
      <c r="E164" s="149"/>
      <c r="F164" s="149"/>
      <c r="G164" s="17" t="s">
        <v>471</v>
      </c>
      <c r="H164" s="85">
        <v>1</v>
      </c>
      <c r="I164" s="36">
        <v>0</v>
      </c>
      <c r="J164" s="36">
        <f t="shared" si="188"/>
        <v>0</v>
      </c>
      <c r="K164" s="36">
        <f t="shared" si="189"/>
        <v>0</v>
      </c>
      <c r="L164" s="36">
        <f t="shared" si="190"/>
        <v>0</v>
      </c>
      <c r="M164" s="92" t="s">
        <v>488</v>
      </c>
      <c r="N164" s="6"/>
      <c r="Z164" s="36">
        <f t="shared" si="191"/>
        <v>0</v>
      </c>
      <c r="AB164" s="36">
        <f t="shared" si="192"/>
        <v>0</v>
      </c>
      <c r="AC164" s="36">
        <f t="shared" si="193"/>
        <v>0</v>
      </c>
      <c r="AD164" s="36">
        <f t="shared" si="194"/>
        <v>0</v>
      </c>
      <c r="AE164" s="36">
        <f t="shared" si="195"/>
        <v>0</v>
      </c>
      <c r="AF164" s="36">
        <f t="shared" si="196"/>
        <v>0</v>
      </c>
      <c r="AG164" s="36">
        <f t="shared" si="197"/>
        <v>0</v>
      </c>
      <c r="AH164" s="36">
        <f t="shared" si="198"/>
        <v>0</v>
      </c>
      <c r="AI164" s="35" t="s">
        <v>498</v>
      </c>
      <c r="AJ164" s="20">
        <f t="shared" si="199"/>
        <v>0</v>
      </c>
      <c r="AK164" s="20">
        <f t="shared" si="200"/>
        <v>0</v>
      </c>
      <c r="AL164" s="20">
        <f t="shared" si="201"/>
        <v>0</v>
      </c>
      <c r="AN164" s="36">
        <v>21</v>
      </c>
      <c r="AO164" s="36">
        <f t="shared" si="202"/>
        <v>0</v>
      </c>
      <c r="AP164" s="36">
        <f t="shared" si="203"/>
        <v>0</v>
      </c>
      <c r="AQ164" s="37" t="s">
        <v>7</v>
      </c>
      <c r="AV164" s="36">
        <f t="shared" si="204"/>
        <v>0</v>
      </c>
      <c r="AW164" s="36">
        <f t="shared" si="205"/>
        <v>0</v>
      </c>
      <c r="AX164" s="36">
        <f t="shared" si="206"/>
        <v>0</v>
      </c>
      <c r="AY164" s="39" t="s">
        <v>511</v>
      </c>
      <c r="AZ164" s="39" t="s">
        <v>514</v>
      </c>
      <c r="BA164" s="35" t="s">
        <v>518</v>
      </c>
      <c r="BC164" s="36">
        <f t="shared" si="207"/>
        <v>0</v>
      </c>
      <c r="BD164" s="36">
        <f t="shared" si="208"/>
        <v>0</v>
      </c>
      <c r="BE164" s="36">
        <v>0</v>
      </c>
      <c r="BF164" s="36">
        <f>164</f>
        <v>164</v>
      </c>
      <c r="BH164" s="20">
        <f t="shared" si="209"/>
        <v>0</v>
      </c>
      <c r="BI164" s="20">
        <f t="shared" si="210"/>
        <v>0</v>
      </c>
      <c r="BJ164" s="20">
        <f t="shared" si="211"/>
        <v>0</v>
      </c>
      <c r="BK164" s="20" t="s">
        <v>524</v>
      </c>
      <c r="BL164" s="36" t="s">
        <v>317</v>
      </c>
    </row>
    <row r="165" spans="1:64" x14ac:dyDescent="0.25">
      <c r="A165" s="44" t="s">
        <v>147</v>
      </c>
      <c r="B165" s="17" t="s">
        <v>321</v>
      </c>
      <c r="C165" s="128" t="s">
        <v>440</v>
      </c>
      <c r="D165" s="149"/>
      <c r="E165" s="149"/>
      <c r="F165" s="149"/>
      <c r="G165" s="17" t="s">
        <v>471</v>
      </c>
      <c r="H165" s="85">
        <v>1</v>
      </c>
      <c r="I165" s="36">
        <v>0</v>
      </c>
      <c r="J165" s="36">
        <f t="shared" si="188"/>
        <v>0</v>
      </c>
      <c r="K165" s="36">
        <f t="shared" si="189"/>
        <v>0</v>
      </c>
      <c r="L165" s="36">
        <f t="shared" si="190"/>
        <v>0</v>
      </c>
      <c r="M165" s="92" t="s">
        <v>488</v>
      </c>
      <c r="N165" s="6"/>
      <c r="Z165" s="36">
        <f t="shared" si="191"/>
        <v>0</v>
      </c>
      <c r="AB165" s="36">
        <f t="shared" si="192"/>
        <v>0</v>
      </c>
      <c r="AC165" s="36">
        <f t="shared" si="193"/>
        <v>0</v>
      </c>
      <c r="AD165" s="36">
        <f t="shared" si="194"/>
        <v>0</v>
      </c>
      <c r="AE165" s="36">
        <f t="shared" si="195"/>
        <v>0</v>
      </c>
      <c r="AF165" s="36">
        <f t="shared" si="196"/>
        <v>0</v>
      </c>
      <c r="AG165" s="36">
        <f t="shared" si="197"/>
        <v>0</v>
      </c>
      <c r="AH165" s="36">
        <f t="shared" si="198"/>
        <v>0</v>
      </c>
      <c r="AI165" s="35" t="s">
        <v>498</v>
      </c>
      <c r="AJ165" s="20">
        <f t="shared" si="199"/>
        <v>0</v>
      </c>
      <c r="AK165" s="20">
        <f t="shared" si="200"/>
        <v>0</v>
      </c>
      <c r="AL165" s="20">
        <f t="shared" si="201"/>
        <v>0</v>
      </c>
      <c r="AN165" s="36">
        <v>21</v>
      </c>
      <c r="AO165" s="36">
        <f t="shared" si="202"/>
        <v>0</v>
      </c>
      <c r="AP165" s="36">
        <f t="shared" si="203"/>
        <v>0</v>
      </c>
      <c r="AQ165" s="37" t="s">
        <v>7</v>
      </c>
      <c r="AV165" s="36">
        <f t="shared" si="204"/>
        <v>0</v>
      </c>
      <c r="AW165" s="36">
        <f t="shared" si="205"/>
        <v>0</v>
      </c>
      <c r="AX165" s="36">
        <f t="shared" si="206"/>
        <v>0</v>
      </c>
      <c r="AY165" s="39" t="s">
        <v>511</v>
      </c>
      <c r="AZ165" s="39" t="s">
        <v>514</v>
      </c>
      <c r="BA165" s="35" t="s">
        <v>518</v>
      </c>
      <c r="BC165" s="36">
        <f t="shared" si="207"/>
        <v>0</v>
      </c>
      <c r="BD165" s="36">
        <f t="shared" si="208"/>
        <v>0</v>
      </c>
      <c r="BE165" s="36">
        <v>0</v>
      </c>
      <c r="BF165" s="36">
        <f>165</f>
        <v>165</v>
      </c>
      <c r="BH165" s="20">
        <f t="shared" si="209"/>
        <v>0</v>
      </c>
      <c r="BI165" s="20">
        <f t="shared" si="210"/>
        <v>0</v>
      </c>
      <c r="BJ165" s="20">
        <f t="shared" si="211"/>
        <v>0</v>
      </c>
      <c r="BK165" s="20" t="s">
        <v>524</v>
      </c>
      <c r="BL165" s="36" t="s">
        <v>317</v>
      </c>
    </row>
    <row r="166" spans="1:64" x14ac:dyDescent="0.25">
      <c r="A166" s="44" t="s">
        <v>148</v>
      </c>
      <c r="B166" s="17" t="s">
        <v>322</v>
      </c>
      <c r="C166" s="128" t="s">
        <v>441</v>
      </c>
      <c r="D166" s="149"/>
      <c r="E166" s="149"/>
      <c r="F166" s="149"/>
      <c r="G166" s="17" t="s">
        <v>471</v>
      </c>
      <c r="H166" s="85">
        <v>1</v>
      </c>
      <c r="I166" s="36">
        <v>0</v>
      </c>
      <c r="J166" s="36">
        <f t="shared" si="188"/>
        <v>0</v>
      </c>
      <c r="K166" s="36">
        <f t="shared" si="189"/>
        <v>0</v>
      </c>
      <c r="L166" s="36">
        <f t="shared" si="190"/>
        <v>0</v>
      </c>
      <c r="M166" s="92" t="s">
        <v>488</v>
      </c>
      <c r="N166" s="6"/>
      <c r="Z166" s="36">
        <f t="shared" si="191"/>
        <v>0</v>
      </c>
      <c r="AB166" s="36">
        <f t="shared" si="192"/>
        <v>0</v>
      </c>
      <c r="AC166" s="36">
        <f t="shared" si="193"/>
        <v>0</v>
      </c>
      <c r="AD166" s="36">
        <f t="shared" si="194"/>
        <v>0</v>
      </c>
      <c r="AE166" s="36">
        <f t="shared" si="195"/>
        <v>0</v>
      </c>
      <c r="AF166" s="36">
        <f t="shared" si="196"/>
        <v>0</v>
      </c>
      <c r="AG166" s="36">
        <f t="shared" si="197"/>
        <v>0</v>
      </c>
      <c r="AH166" s="36">
        <f t="shared" si="198"/>
        <v>0</v>
      </c>
      <c r="AI166" s="35" t="s">
        <v>498</v>
      </c>
      <c r="AJ166" s="20">
        <f t="shared" si="199"/>
        <v>0</v>
      </c>
      <c r="AK166" s="20">
        <f t="shared" si="200"/>
        <v>0</v>
      </c>
      <c r="AL166" s="20">
        <f t="shared" si="201"/>
        <v>0</v>
      </c>
      <c r="AN166" s="36">
        <v>21</v>
      </c>
      <c r="AO166" s="36">
        <f t="shared" si="202"/>
        <v>0</v>
      </c>
      <c r="AP166" s="36">
        <f t="shared" si="203"/>
        <v>0</v>
      </c>
      <c r="AQ166" s="37" t="s">
        <v>7</v>
      </c>
      <c r="AV166" s="36">
        <f t="shared" si="204"/>
        <v>0</v>
      </c>
      <c r="AW166" s="36">
        <f t="shared" si="205"/>
        <v>0</v>
      </c>
      <c r="AX166" s="36">
        <f t="shared" si="206"/>
        <v>0</v>
      </c>
      <c r="AY166" s="39" t="s">
        <v>511</v>
      </c>
      <c r="AZ166" s="39" t="s">
        <v>514</v>
      </c>
      <c r="BA166" s="35" t="s">
        <v>518</v>
      </c>
      <c r="BC166" s="36">
        <f t="shared" si="207"/>
        <v>0</v>
      </c>
      <c r="BD166" s="36">
        <f t="shared" si="208"/>
        <v>0</v>
      </c>
      <c r="BE166" s="36">
        <v>0</v>
      </c>
      <c r="BF166" s="36">
        <f>166</f>
        <v>166</v>
      </c>
      <c r="BH166" s="20">
        <f t="shared" si="209"/>
        <v>0</v>
      </c>
      <c r="BI166" s="20">
        <f t="shared" si="210"/>
        <v>0</v>
      </c>
      <c r="BJ166" s="20">
        <f t="shared" si="211"/>
        <v>0</v>
      </c>
      <c r="BK166" s="20" t="s">
        <v>524</v>
      </c>
      <c r="BL166" s="36" t="s">
        <v>317</v>
      </c>
    </row>
    <row r="167" spans="1:64" x14ac:dyDescent="0.25">
      <c r="A167" s="44" t="s">
        <v>149</v>
      </c>
      <c r="B167" s="17" t="s">
        <v>323</v>
      </c>
      <c r="C167" s="128" t="s">
        <v>442</v>
      </c>
      <c r="D167" s="149"/>
      <c r="E167" s="149"/>
      <c r="F167" s="149"/>
      <c r="G167" s="17" t="s">
        <v>471</v>
      </c>
      <c r="H167" s="85">
        <v>1</v>
      </c>
      <c r="I167" s="36">
        <v>0</v>
      </c>
      <c r="J167" s="36">
        <f t="shared" si="188"/>
        <v>0</v>
      </c>
      <c r="K167" s="36">
        <f t="shared" si="189"/>
        <v>0</v>
      </c>
      <c r="L167" s="36">
        <f t="shared" si="190"/>
        <v>0</v>
      </c>
      <c r="M167" s="92" t="s">
        <v>488</v>
      </c>
      <c r="N167" s="6"/>
      <c r="Z167" s="36">
        <f t="shared" si="191"/>
        <v>0</v>
      </c>
      <c r="AB167" s="36">
        <f t="shared" si="192"/>
        <v>0</v>
      </c>
      <c r="AC167" s="36">
        <f t="shared" si="193"/>
        <v>0</v>
      </c>
      <c r="AD167" s="36">
        <f t="shared" si="194"/>
        <v>0</v>
      </c>
      <c r="AE167" s="36">
        <f t="shared" si="195"/>
        <v>0</v>
      </c>
      <c r="AF167" s="36">
        <f t="shared" si="196"/>
        <v>0</v>
      </c>
      <c r="AG167" s="36">
        <f t="shared" si="197"/>
        <v>0</v>
      </c>
      <c r="AH167" s="36">
        <f t="shared" si="198"/>
        <v>0</v>
      </c>
      <c r="AI167" s="35" t="s">
        <v>498</v>
      </c>
      <c r="AJ167" s="20">
        <f t="shared" si="199"/>
        <v>0</v>
      </c>
      <c r="AK167" s="20">
        <f t="shared" si="200"/>
        <v>0</v>
      </c>
      <c r="AL167" s="20">
        <f t="shared" si="201"/>
        <v>0</v>
      </c>
      <c r="AN167" s="36">
        <v>21</v>
      </c>
      <c r="AO167" s="36">
        <f t="shared" si="202"/>
        <v>0</v>
      </c>
      <c r="AP167" s="36">
        <f t="shared" si="203"/>
        <v>0</v>
      </c>
      <c r="AQ167" s="37" t="s">
        <v>7</v>
      </c>
      <c r="AV167" s="36">
        <f t="shared" si="204"/>
        <v>0</v>
      </c>
      <c r="AW167" s="36">
        <f t="shared" si="205"/>
        <v>0</v>
      </c>
      <c r="AX167" s="36">
        <f t="shared" si="206"/>
        <v>0</v>
      </c>
      <c r="AY167" s="39" t="s">
        <v>511</v>
      </c>
      <c r="AZ167" s="39" t="s">
        <v>514</v>
      </c>
      <c r="BA167" s="35" t="s">
        <v>518</v>
      </c>
      <c r="BC167" s="36">
        <f t="shared" si="207"/>
        <v>0</v>
      </c>
      <c r="BD167" s="36">
        <f t="shared" si="208"/>
        <v>0</v>
      </c>
      <c r="BE167" s="36">
        <v>0</v>
      </c>
      <c r="BF167" s="36">
        <f>167</f>
        <v>167</v>
      </c>
      <c r="BH167" s="20">
        <f t="shared" si="209"/>
        <v>0</v>
      </c>
      <c r="BI167" s="20">
        <f t="shared" si="210"/>
        <v>0</v>
      </c>
      <c r="BJ167" s="20">
        <f t="shared" si="211"/>
        <v>0</v>
      </c>
      <c r="BK167" s="20" t="s">
        <v>524</v>
      </c>
      <c r="BL167" s="36" t="s">
        <v>317</v>
      </c>
    </row>
    <row r="168" spans="1:64" x14ac:dyDescent="0.25">
      <c r="A168" s="44" t="s">
        <v>150</v>
      </c>
      <c r="B168" s="17" t="s">
        <v>324</v>
      </c>
      <c r="C168" s="128" t="s">
        <v>443</v>
      </c>
      <c r="D168" s="149"/>
      <c r="E168" s="149"/>
      <c r="F168" s="149"/>
      <c r="G168" s="17" t="s">
        <v>471</v>
      </c>
      <c r="H168" s="85">
        <v>1</v>
      </c>
      <c r="I168" s="36">
        <v>0</v>
      </c>
      <c r="J168" s="36">
        <f t="shared" si="188"/>
        <v>0</v>
      </c>
      <c r="K168" s="36">
        <f t="shared" si="189"/>
        <v>0</v>
      </c>
      <c r="L168" s="36">
        <f t="shared" si="190"/>
        <v>0</v>
      </c>
      <c r="M168" s="92" t="s">
        <v>488</v>
      </c>
      <c r="N168" s="6"/>
      <c r="Z168" s="36">
        <f t="shared" si="191"/>
        <v>0</v>
      </c>
      <c r="AB168" s="36">
        <f t="shared" si="192"/>
        <v>0</v>
      </c>
      <c r="AC168" s="36">
        <f t="shared" si="193"/>
        <v>0</v>
      </c>
      <c r="AD168" s="36">
        <f t="shared" si="194"/>
        <v>0</v>
      </c>
      <c r="AE168" s="36">
        <f t="shared" si="195"/>
        <v>0</v>
      </c>
      <c r="AF168" s="36">
        <f t="shared" si="196"/>
        <v>0</v>
      </c>
      <c r="AG168" s="36">
        <f t="shared" si="197"/>
        <v>0</v>
      </c>
      <c r="AH168" s="36">
        <f t="shared" si="198"/>
        <v>0</v>
      </c>
      <c r="AI168" s="35" t="s">
        <v>498</v>
      </c>
      <c r="AJ168" s="20">
        <f t="shared" si="199"/>
        <v>0</v>
      </c>
      <c r="AK168" s="20">
        <f t="shared" si="200"/>
        <v>0</v>
      </c>
      <c r="AL168" s="20">
        <f t="shared" si="201"/>
        <v>0</v>
      </c>
      <c r="AN168" s="36">
        <v>21</v>
      </c>
      <c r="AO168" s="36">
        <f t="shared" si="202"/>
        <v>0</v>
      </c>
      <c r="AP168" s="36">
        <f t="shared" si="203"/>
        <v>0</v>
      </c>
      <c r="AQ168" s="37" t="s">
        <v>7</v>
      </c>
      <c r="AV168" s="36">
        <f t="shared" si="204"/>
        <v>0</v>
      </c>
      <c r="AW168" s="36">
        <f t="shared" si="205"/>
        <v>0</v>
      </c>
      <c r="AX168" s="36">
        <f t="shared" si="206"/>
        <v>0</v>
      </c>
      <c r="AY168" s="39" t="s">
        <v>511</v>
      </c>
      <c r="AZ168" s="39" t="s">
        <v>514</v>
      </c>
      <c r="BA168" s="35" t="s">
        <v>518</v>
      </c>
      <c r="BC168" s="36">
        <f t="shared" si="207"/>
        <v>0</v>
      </c>
      <c r="BD168" s="36">
        <f t="shared" si="208"/>
        <v>0</v>
      </c>
      <c r="BE168" s="36">
        <v>0</v>
      </c>
      <c r="BF168" s="36">
        <f>168</f>
        <v>168</v>
      </c>
      <c r="BH168" s="20">
        <f t="shared" si="209"/>
        <v>0</v>
      </c>
      <c r="BI168" s="20">
        <f t="shared" si="210"/>
        <v>0</v>
      </c>
      <c r="BJ168" s="20">
        <f t="shared" si="211"/>
        <v>0</v>
      </c>
      <c r="BK168" s="20" t="s">
        <v>524</v>
      </c>
      <c r="BL168" s="36" t="s">
        <v>317</v>
      </c>
    </row>
    <row r="169" spans="1:64" x14ac:dyDescent="0.25">
      <c r="A169" s="3"/>
      <c r="B169" s="12" t="s">
        <v>325</v>
      </c>
      <c r="C169" s="155" t="s">
        <v>444</v>
      </c>
      <c r="D169" s="156"/>
      <c r="E169" s="156"/>
      <c r="F169" s="156"/>
      <c r="G169" s="18" t="s">
        <v>6</v>
      </c>
      <c r="H169" s="18" t="s">
        <v>6</v>
      </c>
      <c r="I169" s="18" t="s">
        <v>6</v>
      </c>
      <c r="J169" s="41">
        <f>SUM(J170:J176)</f>
        <v>0</v>
      </c>
      <c r="K169" s="41">
        <f>SUM(K170:K176)</f>
        <v>0</v>
      </c>
      <c r="L169" s="41">
        <f>SUM(L170:L176)</f>
        <v>0</v>
      </c>
      <c r="M169" s="30"/>
      <c r="N169" s="6"/>
      <c r="AI169" s="35" t="s">
        <v>498</v>
      </c>
      <c r="AS169" s="41">
        <f>SUM(AJ170:AJ176)</f>
        <v>0</v>
      </c>
      <c r="AT169" s="41">
        <f>SUM(AK170:AK176)</f>
        <v>0</v>
      </c>
      <c r="AU169" s="41">
        <f>SUM(AL170:AL176)</f>
        <v>0</v>
      </c>
    </row>
    <row r="170" spans="1:64" x14ac:dyDescent="0.25">
      <c r="A170" s="44" t="s">
        <v>151</v>
      </c>
      <c r="B170" s="17" t="s">
        <v>326</v>
      </c>
      <c r="C170" s="128" t="s">
        <v>445</v>
      </c>
      <c r="D170" s="149"/>
      <c r="E170" s="149"/>
      <c r="F170" s="149"/>
      <c r="G170" s="17" t="s">
        <v>472</v>
      </c>
      <c r="H170" s="85">
        <v>635</v>
      </c>
      <c r="I170" s="36">
        <v>0</v>
      </c>
      <c r="J170" s="36">
        <f>H170*AO170</f>
        <v>0</v>
      </c>
      <c r="K170" s="36">
        <f>H170*AP170</f>
        <v>0</v>
      </c>
      <c r="L170" s="36">
        <f>H170*I170</f>
        <v>0</v>
      </c>
      <c r="M170" s="92" t="s">
        <v>488</v>
      </c>
      <c r="N170" s="6"/>
      <c r="Z170" s="36">
        <f>IF(AQ170="5",BJ170,0)</f>
        <v>0</v>
      </c>
      <c r="AB170" s="36">
        <f>IF(AQ170="1",BH170,0)</f>
        <v>0</v>
      </c>
      <c r="AC170" s="36">
        <f>IF(AQ170="1",BI170,0)</f>
        <v>0</v>
      </c>
      <c r="AD170" s="36">
        <f>IF(AQ170="7",BH170,0)</f>
        <v>0</v>
      </c>
      <c r="AE170" s="36">
        <f>IF(AQ170="7",BI170,0)</f>
        <v>0</v>
      </c>
      <c r="AF170" s="36">
        <f>IF(AQ170="2",BH170,0)</f>
        <v>0</v>
      </c>
      <c r="AG170" s="36">
        <f>IF(AQ170="2",BI170,0)</f>
        <v>0</v>
      </c>
      <c r="AH170" s="36">
        <f>IF(AQ170="0",BJ170,0)</f>
        <v>0</v>
      </c>
      <c r="AI170" s="35" t="s">
        <v>498</v>
      </c>
      <c r="AJ170" s="20">
        <f>IF(AN170=0,L170,0)</f>
        <v>0</v>
      </c>
      <c r="AK170" s="20">
        <f>IF(AN170=15,L170,0)</f>
        <v>0</v>
      </c>
      <c r="AL170" s="20">
        <f>IF(AN170=21,L170,0)</f>
        <v>0</v>
      </c>
      <c r="AN170" s="36">
        <v>21</v>
      </c>
      <c r="AO170" s="36">
        <f>I170*0.183</f>
        <v>0</v>
      </c>
      <c r="AP170" s="36">
        <f>I170*(1-0.183)</f>
        <v>0</v>
      </c>
      <c r="AQ170" s="37" t="s">
        <v>7</v>
      </c>
      <c r="AV170" s="36">
        <f>AW170+AX170</f>
        <v>0</v>
      </c>
      <c r="AW170" s="36">
        <f>H170*AO170</f>
        <v>0</v>
      </c>
      <c r="AX170" s="36">
        <f>H170*AP170</f>
        <v>0</v>
      </c>
      <c r="AY170" s="39" t="s">
        <v>512</v>
      </c>
      <c r="AZ170" s="39" t="s">
        <v>514</v>
      </c>
      <c r="BA170" s="35" t="s">
        <v>518</v>
      </c>
      <c r="BC170" s="36">
        <f>AW170+AX170</f>
        <v>0</v>
      </c>
      <c r="BD170" s="36">
        <f>I170/(100-BE170)*100</f>
        <v>0</v>
      </c>
      <c r="BE170" s="36">
        <v>0</v>
      </c>
      <c r="BF170" s="36">
        <f>170</f>
        <v>170</v>
      </c>
      <c r="BH170" s="20">
        <f>H170*AO170</f>
        <v>0</v>
      </c>
      <c r="BI170" s="20">
        <f>H170*AP170</f>
        <v>0</v>
      </c>
      <c r="BJ170" s="20">
        <f>H170*I170</f>
        <v>0</v>
      </c>
      <c r="BK170" s="20" t="s">
        <v>524</v>
      </c>
      <c r="BL170" s="36" t="s">
        <v>325</v>
      </c>
    </row>
    <row r="171" spans="1:64" x14ac:dyDescent="0.25">
      <c r="A171" s="6"/>
      <c r="B171" s="15" t="s">
        <v>327</v>
      </c>
      <c r="C171" s="157" t="s">
        <v>446</v>
      </c>
      <c r="D171" s="158"/>
      <c r="E171" s="158"/>
      <c r="F171" s="158"/>
      <c r="G171" s="158"/>
      <c r="H171" s="158"/>
      <c r="I171" s="158"/>
      <c r="J171" s="158"/>
      <c r="K171" s="158"/>
      <c r="L171" s="158"/>
      <c r="M171" s="159"/>
      <c r="N171" s="6"/>
    </row>
    <row r="172" spans="1:64" x14ac:dyDescent="0.25">
      <c r="A172" s="44" t="s">
        <v>152</v>
      </c>
      <c r="B172" s="17" t="s">
        <v>328</v>
      </c>
      <c r="C172" s="128" t="s">
        <v>414</v>
      </c>
      <c r="D172" s="149"/>
      <c r="E172" s="149"/>
      <c r="F172" s="149"/>
      <c r="G172" s="17" t="s">
        <v>471</v>
      </c>
      <c r="H172" s="85">
        <v>1</v>
      </c>
      <c r="I172" s="36">
        <v>0</v>
      </c>
      <c r="J172" s="36">
        <f>H172*AO172</f>
        <v>0</v>
      </c>
      <c r="K172" s="36">
        <f>H172*AP172</f>
        <v>0</v>
      </c>
      <c r="L172" s="36">
        <f>H172*I172</f>
        <v>0</v>
      </c>
      <c r="M172" s="92" t="s">
        <v>488</v>
      </c>
      <c r="N172" s="6"/>
      <c r="Z172" s="36">
        <f>IF(AQ172="5",BJ172,0)</f>
        <v>0</v>
      </c>
      <c r="AB172" s="36">
        <f>IF(AQ172="1",BH172,0)</f>
        <v>0</v>
      </c>
      <c r="AC172" s="36">
        <f>IF(AQ172="1",BI172,0)</f>
        <v>0</v>
      </c>
      <c r="AD172" s="36">
        <f>IF(AQ172="7",BH172,0)</f>
        <v>0</v>
      </c>
      <c r="AE172" s="36">
        <f>IF(AQ172="7",BI172,0)</f>
        <v>0</v>
      </c>
      <c r="AF172" s="36">
        <f>IF(AQ172="2",BH172,0)</f>
        <v>0</v>
      </c>
      <c r="AG172" s="36">
        <f>IF(AQ172="2",BI172,0)</f>
        <v>0</v>
      </c>
      <c r="AH172" s="36">
        <f>IF(AQ172="0",BJ172,0)</f>
        <v>0</v>
      </c>
      <c r="AI172" s="35" t="s">
        <v>498</v>
      </c>
      <c r="AJ172" s="20">
        <f>IF(AN172=0,L172,0)</f>
        <v>0</v>
      </c>
      <c r="AK172" s="20">
        <f>IF(AN172=15,L172,0)</f>
        <v>0</v>
      </c>
      <c r="AL172" s="20">
        <f>IF(AN172=21,L172,0)</f>
        <v>0</v>
      </c>
      <c r="AN172" s="36">
        <v>21</v>
      </c>
      <c r="AO172" s="36">
        <f>I172*1</f>
        <v>0</v>
      </c>
      <c r="AP172" s="36">
        <f>I172*(1-1)</f>
        <v>0</v>
      </c>
      <c r="AQ172" s="37" t="s">
        <v>7</v>
      </c>
      <c r="AV172" s="36">
        <f>AW172+AX172</f>
        <v>0</v>
      </c>
      <c r="AW172" s="36">
        <f>H172*AO172</f>
        <v>0</v>
      </c>
      <c r="AX172" s="36">
        <f>H172*AP172</f>
        <v>0</v>
      </c>
      <c r="AY172" s="39" t="s">
        <v>512</v>
      </c>
      <c r="AZ172" s="39" t="s">
        <v>514</v>
      </c>
      <c r="BA172" s="35" t="s">
        <v>518</v>
      </c>
      <c r="BC172" s="36">
        <f>AW172+AX172</f>
        <v>0</v>
      </c>
      <c r="BD172" s="36">
        <f>I172/(100-BE172)*100</f>
        <v>0</v>
      </c>
      <c r="BE172" s="36">
        <v>0</v>
      </c>
      <c r="BF172" s="36">
        <f>172</f>
        <v>172</v>
      </c>
      <c r="BH172" s="20">
        <f>H172*AO172</f>
        <v>0</v>
      </c>
      <c r="BI172" s="20">
        <f>H172*AP172</f>
        <v>0</v>
      </c>
      <c r="BJ172" s="20">
        <f>H172*I172</f>
        <v>0</v>
      </c>
      <c r="BK172" s="20" t="s">
        <v>524</v>
      </c>
      <c r="BL172" s="36" t="s">
        <v>325</v>
      </c>
    </row>
    <row r="173" spans="1:64" x14ac:dyDescent="0.25">
      <c r="A173" s="44" t="s">
        <v>153</v>
      </c>
      <c r="B173" s="17" t="s">
        <v>329</v>
      </c>
      <c r="C173" s="128" t="s">
        <v>437</v>
      </c>
      <c r="D173" s="149"/>
      <c r="E173" s="149"/>
      <c r="F173" s="149"/>
      <c r="G173" s="17" t="s">
        <v>471</v>
      </c>
      <c r="H173" s="85">
        <v>1</v>
      </c>
      <c r="I173" s="36">
        <v>0</v>
      </c>
      <c r="J173" s="36">
        <f>H173*AO173</f>
        <v>0</v>
      </c>
      <c r="K173" s="36">
        <f>H173*AP173</f>
        <v>0</v>
      </c>
      <c r="L173" s="36">
        <f>H173*I173</f>
        <v>0</v>
      </c>
      <c r="M173" s="92" t="s">
        <v>488</v>
      </c>
      <c r="N173" s="6"/>
      <c r="Z173" s="36">
        <f>IF(AQ173="5",BJ173,0)</f>
        <v>0</v>
      </c>
      <c r="AB173" s="36">
        <f>IF(AQ173="1",BH173,0)</f>
        <v>0</v>
      </c>
      <c r="AC173" s="36">
        <f>IF(AQ173="1",BI173,0)</f>
        <v>0</v>
      </c>
      <c r="AD173" s="36">
        <f>IF(AQ173="7",BH173,0)</f>
        <v>0</v>
      </c>
      <c r="AE173" s="36">
        <f>IF(AQ173="7",BI173,0)</f>
        <v>0</v>
      </c>
      <c r="AF173" s="36">
        <f>IF(AQ173="2",BH173,0)</f>
        <v>0</v>
      </c>
      <c r="AG173" s="36">
        <f>IF(AQ173="2",BI173,0)</f>
        <v>0</v>
      </c>
      <c r="AH173" s="36">
        <f>IF(AQ173="0",BJ173,0)</f>
        <v>0</v>
      </c>
      <c r="AI173" s="35" t="s">
        <v>498</v>
      </c>
      <c r="AJ173" s="20">
        <f>IF(AN173=0,L173,0)</f>
        <v>0</v>
      </c>
      <c r="AK173" s="20">
        <f>IF(AN173=15,L173,0)</f>
        <v>0</v>
      </c>
      <c r="AL173" s="20">
        <f>IF(AN173=21,L173,0)</f>
        <v>0</v>
      </c>
      <c r="AN173" s="36">
        <v>21</v>
      </c>
      <c r="AO173" s="36">
        <f>I173*0</f>
        <v>0</v>
      </c>
      <c r="AP173" s="36">
        <f>I173*(1-0)</f>
        <v>0</v>
      </c>
      <c r="AQ173" s="37" t="s">
        <v>7</v>
      </c>
      <c r="AV173" s="36">
        <f>AW173+AX173</f>
        <v>0</v>
      </c>
      <c r="AW173" s="36">
        <f>H173*AO173</f>
        <v>0</v>
      </c>
      <c r="AX173" s="36">
        <f>H173*AP173</f>
        <v>0</v>
      </c>
      <c r="AY173" s="39" t="s">
        <v>512</v>
      </c>
      <c r="AZ173" s="39" t="s">
        <v>514</v>
      </c>
      <c r="BA173" s="35" t="s">
        <v>518</v>
      </c>
      <c r="BC173" s="36">
        <f>AW173+AX173</f>
        <v>0</v>
      </c>
      <c r="BD173" s="36">
        <f>I173/(100-BE173)*100</f>
        <v>0</v>
      </c>
      <c r="BE173" s="36">
        <v>0</v>
      </c>
      <c r="BF173" s="36">
        <f>173</f>
        <v>173</v>
      </c>
      <c r="BH173" s="20">
        <f>H173*AO173</f>
        <v>0</v>
      </c>
      <c r="BI173" s="20">
        <f>H173*AP173</f>
        <v>0</v>
      </c>
      <c r="BJ173" s="20">
        <f>H173*I173</f>
        <v>0</v>
      </c>
      <c r="BK173" s="20" t="s">
        <v>524</v>
      </c>
      <c r="BL173" s="36" t="s">
        <v>325</v>
      </c>
    </row>
    <row r="174" spans="1:64" x14ac:dyDescent="0.25">
      <c r="A174" s="44" t="s">
        <v>154</v>
      </c>
      <c r="B174" s="17" t="s">
        <v>330</v>
      </c>
      <c r="C174" s="128" t="s">
        <v>447</v>
      </c>
      <c r="D174" s="149"/>
      <c r="E174" s="149"/>
      <c r="F174" s="149"/>
      <c r="G174" s="17" t="s">
        <v>471</v>
      </c>
      <c r="H174" s="85">
        <v>1</v>
      </c>
      <c r="I174" s="36">
        <v>0</v>
      </c>
      <c r="J174" s="36">
        <f>H174*AO174</f>
        <v>0</v>
      </c>
      <c r="K174" s="36">
        <f>H174*AP174</f>
        <v>0</v>
      </c>
      <c r="L174" s="36">
        <f>H174*I174</f>
        <v>0</v>
      </c>
      <c r="M174" s="92" t="s">
        <v>488</v>
      </c>
      <c r="N174" s="6"/>
      <c r="Z174" s="36">
        <f>IF(AQ174="5",BJ174,0)</f>
        <v>0</v>
      </c>
      <c r="AB174" s="36">
        <f>IF(AQ174="1",BH174,0)</f>
        <v>0</v>
      </c>
      <c r="AC174" s="36">
        <f>IF(AQ174="1",BI174,0)</f>
        <v>0</v>
      </c>
      <c r="AD174" s="36">
        <f>IF(AQ174="7",BH174,0)</f>
        <v>0</v>
      </c>
      <c r="AE174" s="36">
        <f>IF(AQ174="7",BI174,0)</f>
        <v>0</v>
      </c>
      <c r="AF174" s="36">
        <f>IF(AQ174="2",BH174,0)</f>
        <v>0</v>
      </c>
      <c r="AG174" s="36">
        <f>IF(AQ174="2",BI174,0)</f>
        <v>0</v>
      </c>
      <c r="AH174" s="36">
        <f>IF(AQ174="0",BJ174,0)</f>
        <v>0</v>
      </c>
      <c r="AI174" s="35" t="s">
        <v>498</v>
      </c>
      <c r="AJ174" s="20">
        <f>IF(AN174=0,L174,0)</f>
        <v>0</v>
      </c>
      <c r="AK174" s="20">
        <f>IF(AN174=15,L174,0)</f>
        <v>0</v>
      </c>
      <c r="AL174" s="20">
        <f>IF(AN174=21,L174,0)</f>
        <v>0</v>
      </c>
      <c r="AN174" s="36">
        <v>21</v>
      </c>
      <c r="AO174" s="36">
        <f>I174*0</f>
        <v>0</v>
      </c>
      <c r="AP174" s="36">
        <f>I174*(1-0)</f>
        <v>0</v>
      </c>
      <c r="AQ174" s="37" t="s">
        <v>7</v>
      </c>
      <c r="AV174" s="36">
        <f>AW174+AX174</f>
        <v>0</v>
      </c>
      <c r="AW174" s="36">
        <f>H174*AO174</f>
        <v>0</v>
      </c>
      <c r="AX174" s="36">
        <f>H174*AP174</f>
        <v>0</v>
      </c>
      <c r="AY174" s="39" t="s">
        <v>512</v>
      </c>
      <c r="AZ174" s="39" t="s">
        <v>514</v>
      </c>
      <c r="BA174" s="35" t="s">
        <v>518</v>
      </c>
      <c r="BC174" s="36">
        <f>AW174+AX174</f>
        <v>0</v>
      </c>
      <c r="BD174" s="36">
        <f>I174/(100-BE174)*100</f>
        <v>0</v>
      </c>
      <c r="BE174" s="36">
        <v>0</v>
      </c>
      <c r="BF174" s="36">
        <f>174</f>
        <v>174</v>
      </c>
      <c r="BH174" s="20">
        <f>H174*AO174</f>
        <v>0</v>
      </c>
      <c r="BI174" s="20">
        <f>H174*AP174</f>
        <v>0</v>
      </c>
      <c r="BJ174" s="20">
        <f>H174*I174</f>
        <v>0</v>
      </c>
      <c r="BK174" s="20" t="s">
        <v>524</v>
      </c>
      <c r="BL174" s="36" t="s">
        <v>325</v>
      </c>
    </row>
    <row r="175" spans="1:64" x14ac:dyDescent="0.25">
      <c r="A175" s="44" t="s">
        <v>155</v>
      </c>
      <c r="B175" s="17" t="s">
        <v>331</v>
      </c>
      <c r="C175" s="128" t="s">
        <v>448</v>
      </c>
      <c r="D175" s="149"/>
      <c r="E175" s="149"/>
      <c r="F175" s="149"/>
      <c r="G175" s="17" t="s">
        <v>471</v>
      </c>
      <c r="H175" s="85">
        <v>1</v>
      </c>
      <c r="I175" s="36">
        <v>0</v>
      </c>
      <c r="J175" s="36">
        <f>H175*AO175</f>
        <v>0</v>
      </c>
      <c r="K175" s="36">
        <f>H175*AP175</f>
        <v>0</v>
      </c>
      <c r="L175" s="36">
        <f>H175*I175</f>
        <v>0</v>
      </c>
      <c r="M175" s="92" t="s">
        <v>488</v>
      </c>
      <c r="N175" s="6"/>
      <c r="Z175" s="36">
        <f>IF(AQ175="5",BJ175,0)</f>
        <v>0</v>
      </c>
      <c r="AB175" s="36">
        <f>IF(AQ175="1",BH175,0)</f>
        <v>0</v>
      </c>
      <c r="AC175" s="36">
        <f>IF(AQ175="1",BI175,0)</f>
        <v>0</v>
      </c>
      <c r="AD175" s="36">
        <f>IF(AQ175="7",BH175,0)</f>
        <v>0</v>
      </c>
      <c r="AE175" s="36">
        <f>IF(AQ175="7",BI175,0)</f>
        <v>0</v>
      </c>
      <c r="AF175" s="36">
        <f>IF(AQ175="2",BH175,0)</f>
        <v>0</v>
      </c>
      <c r="AG175" s="36">
        <f>IF(AQ175="2",BI175,0)</f>
        <v>0</v>
      </c>
      <c r="AH175" s="36">
        <f>IF(AQ175="0",BJ175,0)</f>
        <v>0</v>
      </c>
      <c r="AI175" s="35" t="s">
        <v>498</v>
      </c>
      <c r="AJ175" s="20">
        <f>IF(AN175=0,L175,0)</f>
        <v>0</v>
      </c>
      <c r="AK175" s="20">
        <f>IF(AN175=15,L175,0)</f>
        <v>0</v>
      </c>
      <c r="AL175" s="20">
        <f>IF(AN175=21,L175,0)</f>
        <v>0</v>
      </c>
      <c r="AN175" s="36">
        <v>21</v>
      </c>
      <c r="AO175" s="36">
        <f>I175*0</f>
        <v>0</v>
      </c>
      <c r="AP175" s="36">
        <f>I175*(1-0)</f>
        <v>0</v>
      </c>
      <c r="AQ175" s="37" t="s">
        <v>7</v>
      </c>
      <c r="AV175" s="36">
        <f>AW175+AX175</f>
        <v>0</v>
      </c>
      <c r="AW175" s="36">
        <f>H175*AO175</f>
        <v>0</v>
      </c>
      <c r="AX175" s="36">
        <f>H175*AP175</f>
        <v>0</v>
      </c>
      <c r="AY175" s="39" t="s">
        <v>512</v>
      </c>
      <c r="AZ175" s="39" t="s">
        <v>514</v>
      </c>
      <c r="BA175" s="35" t="s">
        <v>518</v>
      </c>
      <c r="BC175" s="36">
        <f>AW175+AX175</f>
        <v>0</v>
      </c>
      <c r="BD175" s="36">
        <f>I175/(100-BE175)*100</f>
        <v>0</v>
      </c>
      <c r="BE175" s="36">
        <v>0</v>
      </c>
      <c r="BF175" s="36">
        <f>175</f>
        <v>175</v>
      </c>
      <c r="BH175" s="20">
        <f>H175*AO175</f>
        <v>0</v>
      </c>
      <c r="BI175" s="20">
        <f>H175*AP175</f>
        <v>0</v>
      </c>
      <c r="BJ175" s="20">
        <f>H175*I175</f>
        <v>0</v>
      </c>
      <c r="BK175" s="20" t="s">
        <v>524</v>
      </c>
      <c r="BL175" s="36" t="s">
        <v>325</v>
      </c>
    </row>
    <row r="176" spans="1:64" x14ac:dyDescent="0.25">
      <c r="A176" s="44" t="s">
        <v>156</v>
      </c>
      <c r="B176" s="17" t="s">
        <v>332</v>
      </c>
      <c r="C176" s="128" t="s">
        <v>443</v>
      </c>
      <c r="D176" s="149"/>
      <c r="E176" s="149"/>
      <c r="F176" s="149"/>
      <c r="G176" s="17" t="s">
        <v>471</v>
      </c>
      <c r="H176" s="85">
        <v>1</v>
      </c>
      <c r="I176" s="36">
        <v>0</v>
      </c>
      <c r="J176" s="36">
        <f>H176*AO176</f>
        <v>0</v>
      </c>
      <c r="K176" s="36">
        <f>H176*AP176</f>
        <v>0</v>
      </c>
      <c r="L176" s="36">
        <f>H176*I176</f>
        <v>0</v>
      </c>
      <c r="M176" s="92" t="s">
        <v>488</v>
      </c>
      <c r="N176" s="6"/>
      <c r="Z176" s="36">
        <f>IF(AQ176="5",BJ176,0)</f>
        <v>0</v>
      </c>
      <c r="AB176" s="36">
        <f>IF(AQ176="1",BH176,0)</f>
        <v>0</v>
      </c>
      <c r="AC176" s="36">
        <f>IF(AQ176="1",BI176,0)</f>
        <v>0</v>
      </c>
      <c r="AD176" s="36">
        <f>IF(AQ176="7",BH176,0)</f>
        <v>0</v>
      </c>
      <c r="AE176" s="36">
        <f>IF(AQ176="7",BI176,0)</f>
        <v>0</v>
      </c>
      <c r="AF176" s="36">
        <f>IF(AQ176="2",BH176,0)</f>
        <v>0</v>
      </c>
      <c r="AG176" s="36">
        <f>IF(AQ176="2",BI176,0)</f>
        <v>0</v>
      </c>
      <c r="AH176" s="36">
        <f>IF(AQ176="0",BJ176,0)</f>
        <v>0</v>
      </c>
      <c r="AI176" s="35" t="s">
        <v>498</v>
      </c>
      <c r="AJ176" s="20">
        <f>IF(AN176=0,L176,0)</f>
        <v>0</v>
      </c>
      <c r="AK176" s="20">
        <f>IF(AN176=15,L176,0)</f>
        <v>0</v>
      </c>
      <c r="AL176" s="20">
        <f>IF(AN176=21,L176,0)</f>
        <v>0</v>
      </c>
      <c r="AN176" s="36">
        <v>21</v>
      </c>
      <c r="AO176" s="36">
        <f>I176*0</f>
        <v>0</v>
      </c>
      <c r="AP176" s="36">
        <f>I176*(1-0)</f>
        <v>0</v>
      </c>
      <c r="AQ176" s="37" t="s">
        <v>7</v>
      </c>
      <c r="AV176" s="36">
        <f>AW176+AX176</f>
        <v>0</v>
      </c>
      <c r="AW176" s="36">
        <f>H176*AO176</f>
        <v>0</v>
      </c>
      <c r="AX176" s="36">
        <f>H176*AP176</f>
        <v>0</v>
      </c>
      <c r="AY176" s="39" t="s">
        <v>512</v>
      </c>
      <c r="AZ176" s="39" t="s">
        <v>514</v>
      </c>
      <c r="BA176" s="35" t="s">
        <v>518</v>
      </c>
      <c r="BC176" s="36">
        <f>AW176+AX176</f>
        <v>0</v>
      </c>
      <c r="BD176" s="36">
        <f>I176/(100-BE176)*100</f>
        <v>0</v>
      </c>
      <c r="BE176" s="36">
        <v>0</v>
      </c>
      <c r="BF176" s="36">
        <f>176</f>
        <v>176</v>
      </c>
      <c r="BH176" s="20">
        <f>H176*AO176</f>
        <v>0</v>
      </c>
      <c r="BI176" s="20">
        <f>H176*AP176</f>
        <v>0</v>
      </c>
      <c r="BJ176" s="20">
        <f>H176*I176</f>
        <v>0</v>
      </c>
      <c r="BK176" s="20" t="s">
        <v>524</v>
      </c>
      <c r="BL176" s="36" t="s">
        <v>325</v>
      </c>
    </row>
    <row r="177" spans="1:64" x14ac:dyDescent="0.25">
      <c r="A177" s="93"/>
      <c r="B177" s="94"/>
      <c r="C177" s="153" t="s">
        <v>449</v>
      </c>
      <c r="D177" s="154"/>
      <c r="E177" s="154"/>
      <c r="F177" s="154"/>
      <c r="G177" s="95" t="s">
        <v>6</v>
      </c>
      <c r="H177" s="95" t="s">
        <v>6</v>
      </c>
      <c r="I177" s="95" t="s">
        <v>6</v>
      </c>
      <c r="J177" s="96">
        <f>J178</f>
        <v>0</v>
      </c>
      <c r="K177" s="96">
        <f>K178</f>
        <v>0</v>
      </c>
      <c r="L177" s="96">
        <f>L178</f>
        <v>0</v>
      </c>
      <c r="M177" s="97"/>
      <c r="N177" s="6"/>
    </row>
    <row r="178" spans="1:64" x14ac:dyDescent="0.25">
      <c r="A178" s="3"/>
      <c r="B178" s="12" t="s">
        <v>333</v>
      </c>
      <c r="C178" s="155" t="s">
        <v>450</v>
      </c>
      <c r="D178" s="156"/>
      <c r="E178" s="156"/>
      <c r="F178" s="156"/>
      <c r="G178" s="18" t="s">
        <v>6</v>
      </c>
      <c r="H178" s="18" t="s">
        <v>6</v>
      </c>
      <c r="I178" s="18" t="s">
        <v>6</v>
      </c>
      <c r="J178" s="41">
        <f>SUM(J179:J190)</f>
        <v>0</v>
      </c>
      <c r="K178" s="41">
        <f>SUM(K179:K190)</f>
        <v>0</v>
      </c>
      <c r="L178" s="41">
        <f>SUM(L179:L190)</f>
        <v>0</v>
      </c>
      <c r="M178" s="30"/>
      <c r="N178" s="6"/>
      <c r="AI178" s="35" t="s">
        <v>499</v>
      </c>
      <c r="AS178" s="41">
        <f>SUM(AJ179:AJ190)</f>
        <v>0</v>
      </c>
      <c r="AT178" s="41">
        <f>SUM(AK179:AK190)</f>
        <v>0</v>
      </c>
      <c r="AU178" s="41">
        <f>SUM(AL179:AL190)</f>
        <v>0</v>
      </c>
    </row>
    <row r="179" spans="1:64" x14ac:dyDescent="0.25">
      <c r="A179" s="4" t="s">
        <v>157</v>
      </c>
      <c r="B179" s="13" t="s">
        <v>334</v>
      </c>
      <c r="C179" s="148" t="s">
        <v>451</v>
      </c>
      <c r="D179" s="149"/>
      <c r="E179" s="149"/>
      <c r="F179" s="149"/>
      <c r="G179" s="13" t="s">
        <v>471</v>
      </c>
      <c r="H179" s="80">
        <v>1</v>
      </c>
      <c r="I179" s="20">
        <v>0</v>
      </c>
      <c r="J179" s="20">
        <f t="shared" ref="J179:J190" si="212">H179*AO179</f>
        <v>0</v>
      </c>
      <c r="K179" s="20">
        <f t="shared" ref="K179:K190" si="213">H179*AP179</f>
        <v>0</v>
      </c>
      <c r="L179" s="20">
        <f t="shared" ref="L179:L190" si="214">H179*I179</f>
        <v>0</v>
      </c>
      <c r="M179" s="31" t="s">
        <v>488</v>
      </c>
      <c r="N179" s="6"/>
      <c r="Z179" s="36">
        <f t="shared" ref="Z179:Z190" si="215">IF(AQ179="5",BJ179,0)</f>
        <v>0</v>
      </c>
      <c r="AB179" s="36">
        <f t="shared" ref="AB179:AB190" si="216">IF(AQ179="1",BH179,0)</f>
        <v>0</v>
      </c>
      <c r="AC179" s="36">
        <f t="shared" ref="AC179:AC190" si="217">IF(AQ179="1",BI179,0)</f>
        <v>0</v>
      </c>
      <c r="AD179" s="36">
        <f t="shared" ref="AD179:AD190" si="218">IF(AQ179="7",BH179,0)</f>
        <v>0</v>
      </c>
      <c r="AE179" s="36">
        <f t="shared" ref="AE179:AE190" si="219">IF(AQ179="7",BI179,0)</f>
        <v>0</v>
      </c>
      <c r="AF179" s="36">
        <f t="shared" ref="AF179:AF190" si="220">IF(AQ179="2",BH179,0)</f>
        <v>0</v>
      </c>
      <c r="AG179" s="36">
        <f t="shared" ref="AG179:AG190" si="221">IF(AQ179="2",BI179,0)</f>
        <v>0</v>
      </c>
      <c r="AH179" s="36">
        <f t="shared" ref="AH179:AH190" si="222">IF(AQ179="0",BJ179,0)</f>
        <v>0</v>
      </c>
      <c r="AI179" s="35" t="s">
        <v>499</v>
      </c>
      <c r="AJ179" s="20">
        <f t="shared" ref="AJ179:AJ190" si="223">IF(AN179=0,L179,0)</f>
        <v>0</v>
      </c>
      <c r="AK179" s="20">
        <f t="shared" ref="AK179:AK190" si="224">IF(AN179=15,L179,0)</f>
        <v>0</v>
      </c>
      <c r="AL179" s="20">
        <f t="shared" ref="AL179:AL190" si="225">IF(AN179=21,L179,0)</f>
        <v>0</v>
      </c>
      <c r="AN179" s="36">
        <v>21</v>
      </c>
      <c r="AO179" s="36">
        <f t="shared" ref="AO179:AO190" si="226">I179*0</f>
        <v>0</v>
      </c>
      <c r="AP179" s="36">
        <f t="shared" ref="AP179:AP190" si="227">I179*(1-0)</f>
        <v>0</v>
      </c>
      <c r="AQ179" s="37" t="s">
        <v>7</v>
      </c>
      <c r="AV179" s="36">
        <f t="shared" ref="AV179:AV190" si="228">AW179+AX179</f>
        <v>0</v>
      </c>
      <c r="AW179" s="36">
        <f t="shared" ref="AW179:AW190" si="229">H179*AO179</f>
        <v>0</v>
      </c>
      <c r="AX179" s="36">
        <f t="shared" ref="AX179:AX190" si="230">H179*AP179</f>
        <v>0</v>
      </c>
      <c r="AY179" s="39" t="s">
        <v>513</v>
      </c>
      <c r="AZ179" s="39" t="s">
        <v>517</v>
      </c>
      <c r="BA179" s="35" t="s">
        <v>519</v>
      </c>
      <c r="BC179" s="36">
        <f t="shared" ref="BC179:BC190" si="231">AW179+AX179</f>
        <v>0</v>
      </c>
      <c r="BD179" s="36">
        <f t="shared" ref="BD179:BD190" si="232">I179/(100-BE179)*100</f>
        <v>0</v>
      </c>
      <c r="BE179" s="36">
        <v>0</v>
      </c>
      <c r="BF179" s="36">
        <f>179</f>
        <v>179</v>
      </c>
      <c r="BH179" s="20">
        <f t="shared" ref="BH179:BH190" si="233">H179*AO179</f>
        <v>0</v>
      </c>
      <c r="BI179" s="20">
        <f t="shared" ref="BI179:BI190" si="234">H179*AP179</f>
        <v>0</v>
      </c>
      <c r="BJ179" s="20">
        <f t="shared" ref="BJ179:BJ190" si="235">H179*I179</f>
        <v>0</v>
      </c>
      <c r="BK179" s="20" t="s">
        <v>524</v>
      </c>
      <c r="BL179" s="36">
        <v>0</v>
      </c>
    </row>
    <row r="180" spans="1:64" x14ac:dyDescent="0.25">
      <c r="A180" s="4" t="s">
        <v>158</v>
      </c>
      <c r="B180" s="13" t="s">
        <v>335</v>
      </c>
      <c r="C180" s="148" t="s">
        <v>452</v>
      </c>
      <c r="D180" s="149"/>
      <c r="E180" s="149"/>
      <c r="F180" s="149"/>
      <c r="G180" s="13" t="s">
        <v>471</v>
      </c>
      <c r="H180" s="80">
        <v>1</v>
      </c>
      <c r="I180" s="20">
        <v>0</v>
      </c>
      <c r="J180" s="20">
        <f t="shared" si="212"/>
        <v>0</v>
      </c>
      <c r="K180" s="20">
        <f t="shared" si="213"/>
        <v>0</v>
      </c>
      <c r="L180" s="20">
        <f t="shared" si="214"/>
        <v>0</v>
      </c>
      <c r="M180" s="31" t="s">
        <v>488</v>
      </c>
      <c r="N180" s="6"/>
      <c r="Z180" s="36">
        <f t="shared" si="215"/>
        <v>0</v>
      </c>
      <c r="AB180" s="36">
        <f t="shared" si="216"/>
        <v>0</v>
      </c>
      <c r="AC180" s="36">
        <f t="shared" si="217"/>
        <v>0</v>
      </c>
      <c r="AD180" s="36">
        <f t="shared" si="218"/>
        <v>0</v>
      </c>
      <c r="AE180" s="36">
        <f t="shared" si="219"/>
        <v>0</v>
      </c>
      <c r="AF180" s="36">
        <f t="shared" si="220"/>
        <v>0</v>
      </c>
      <c r="AG180" s="36">
        <f t="shared" si="221"/>
        <v>0</v>
      </c>
      <c r="AH180" s="36">
        <f t="shared" si="222"/>
        <v>0</v>
      </c>
      <c r="AI180" s="35" t="s">
        <v>499</v>
      </c>
      <c r="AJ180" s="20">
        <f t="shared" si="223"/>
        <v>0</v>
      </c>
      <c r="AK180" s="20">
        <f t="shared" si="224"/>
        <v>0</v>
      </c>
      <c r="AL180" s="20">
        <f t="shared" si="225"/>
        <v>0</v>
      </c>
      <c r="AN180" s="36">
        <v>21</v>
      </c>
      <c r="AO180" s="36">
        <f t="shared" si="226"/>
        <v>0</v>
      </c>
      <c r="AP180" s="36">
        <f t="shared" si="227"/>
        <v>0</v>
      </c>
      <c r="AQ180" s="37" t="s">
        <v>7</v>
      </c>
      <c r="AV180" s="36">
        <f t="shared" si="228"/>
        <v>0</v>
      </c>
      <c r="AW180" s="36">
        <f t="shared" si="229"/>
        <v>0</v>
      </c>
      <c r="AX180" s="36">
        <f t="shared" si="230"/>
        <v>0</v>
      </c>
      <c r="AY180" s="39" t="s">
        <v>513</v>
      </c>
      <c r="AZ180" s="39" t="s">
        <v>517</v>
      </c>
      <c r="BA180" s="35" t="s">
        <v>519</v>
      </c>
      <c r="BC180" s="36">
        <f t="shared" si="231"/>
        <v>0</v>
      </c>
      <c r="BD180" s="36">
        <f t="shared" si="232"/>
        <v>0</v>
      </c>
      <c r="BE180" s="36">
        <v>0</v>
      </c>
      <c r="BF180" s="36">
        <f>180</f>
        <v>180</v>
      </c>
      <c r="BH180" s="20">
        <f t="shared" si="233"/>
        <v>0</v>
      </c>
      <c r="BI180" s="20">
        <f t="shared" si="234"/>
        <v>0</v>
      </c>
      <c r="BJ180" s="20">
        <f t="shared" si="235"/>
        <v>0</v>
      </c>
      <c r="BK180" s="20" t="s">
        <v>524</v>
      </c>
      <c r="BL180" s="36">
        <v>0</v>
      </c>
    </row>
    <row r="181" spans="1:64" x14ac:dyDescent="0.25">
      <c r="A181" s="4" t="s">
        <v>159</v>
      </c>
      <c r="B181" s="13" t="s">
        <v>336</v>
      </c>
      <c r="C181" s="148" t="s">
        <v>453</v>
      </c>
      <c r="D181" s="149"/>
      <c r="E181" s="149"/>
      <c r="F181" s="149"/>
      <c r="G181" s="13" t="s">
        <v>471</v>
      </c>
      <c r="H181" s="80">
        <v>1</v>
      </c>
      <c r="I181" s="20">
        <v>0</v>
      </c>
      <c r="J181" s="20">
        <f t="shared" si="212"/>
        <v>0</v>
      </c>
      <c r="K181" s="20">
        <f t="shared" si="213"/>
        <v>0</v>
      </c>
      <c r="L181" s="20">
        <f t="shared" si="214"/>
        <v>0</v>
      </c>
      <c r="M181" s="31" t="s">
        <v>488</v>
      </c>
      <c r="N181" s="6"/>
      <c r="Z181" s="36">
        <f t="shared" si="215"/>
        <v>0</v>
      </c>
      <c r="AB181" s="36">
        <f t="shared" si="216"/>
        <v>0</v>
      </c>
      <c r="AC181" s="36">
        <f t="shared" si="217"/>
        <v>0</v>
      </c>
      <c r="AD181" s="36">
        <f t="shared" si="218"/>
        <v>0</v>
      </c>
      <c r="AE181" s="36">
        <f t="shared" si="219"/>
        <v>0</v>
      </c>
      <c r="AF181" s="36">
        <f t="shared" si="220"/>
        <v>0</v>
      </c>
      <c r="AG181" s="36">
        <f t="shared" si="221"/>
        <v>0</v>
      </c>
      <c r="AH181" s="36">
        <f t="shared" si="222"/>
        <v>0</v>
      </c>
      <c r="AI181" s="35" t="s">
        <v>499</v>
      </c>
      <c r="AJ181" s="20">
        <f t="shared" si="223"/>
        <v>0</v>
      </c>
      <c r="AK181" s="20">
        <f t="shared" si="224"/>
        <v>0</v>
      </c>
      <c r="AL181" s="20">
        <f t="shared" si="225"/>
        <v>0</v>
      </c>
      <c r="AN181" s="36">
        <v>21</v>
      </c>
      <c r="AO181" s="36">
        <f t="shared" si="226"/>
        <v>0</v>
      </c>
      <c r="AP181" s="36">
        <f t="shared" si="227"/>
        <v>0</v>
      </c>
      <c r="AQ181" s="37" t="s">
        <v>7</v>
      </c>
      <c r="AV181" s="36">
        <f t="shared" si="228"/>
        <v>0</v>
      </c>
      <c r="AW181" s="36">
        <f t="shared" si="229"/>
        <v>0</v>
      </c>
      <c r="AX181" s="36">
        <f t="shared" si="230"/>
        <v>0</v>
      </c>
      <c r="AY181" s="39" t="s">
        <v>513</v>
      </c>
      <c r="AZ181" s="39" t="s">
        <v>517</v>
      </c>
      <c r="BA181" s="35" t="s">
        <v>519</v>
      </c>
      <c r="BC181" s="36">
        <f t="shared" si="231"/>
        <v>0</v>
      </c>
      <c r="BD181" s="36">
        <f t="shared" si="232"/>
        <v>0</v>
      </c>
      <c r="BE181" s="36">
        <v>0</v>
      </c>
      <c r="BF181" s="36">
        <f>181</f>
        <v>181</v>
      </c>
      <c r="BH181" s="20">
        <f t="shared" si="233"/>
        <v>0</v>
      </c>
      <c r="BI181" s="20">
        <f t="shared" si="234"/>
        <v>0</v>
      </c>
      <c r="BJ181" s="20">
        <f t="shared" si="235"/>
        <v>0</v>
      </c>
      <c r="BK181" s="20" t="s">
        <v>524</v>
      </c>
      <c r="BL181" s="36">
        <v>0</v>
      </c>
    </row>
    <row r="182" spans="1:64" x14ac:dyDescent="0.25">
      <c r="A182" s="4" t="s">
        <v>160</v>
      </c>
      <c r="B182" s="13" t="s">
        <v>337</v>
      </c>
      <c r="C182" s="148" t="s">
        <v>454</v>
      </c>
      <c r="D182" s="149"/>
      <c r="E182" s="149"/>
      <c r="F182" s="149"/>
      <c r="G182" s="13" t="s">
        <v>471</v>
      </c>
      <c r="H182" s="80">
        <v>1</v>
      </c>
      <c r="I182" s="20">
        <v>0</v>
      </c>
      <c r="J182" s="20">
        <f t="shared" si="212"/>
        <v>0</v>
      </c>
      <c r="K182" s="20">
        <f t="shared" si="213"/>
        <v>0</v>
      </c>
      <c r="L182" s="20">
        <f t="shared" si="214"/>
        <v>0</v>
      </c>
      <c r="M182" s="31" t="s">
        <v>488</v>
      </c>
      <c r="N182" s="6"/>
      <c r="Z182" s="36">
        <f t="shared" si="215"/>
        <v>0</v>
      </c>
      <c r="AB182" s="36">
        <f t="shared" si="216"/>
        <v>0</v>
      </c>
      <c r="AC182" s="36">
        <f t="shared" si="217"/>
        <v>0</v>
      </c>
      <c r="AD182" s="36">
        <f t="shared" si="218"/>
        <v>0</v>
      </c>
      <c r="AE182" s="36">
        <f t="shared" si="219"/>
        <v>0</v>
      </c>
      <c r="AF182" s="36">
        <f t="shared" si="220"/>
        <v>0</v>
      </c>
      <c r="AG182" s="36">
        <f t="shared" si="221"/>
        <v>0</v>
      </c>
      <c r="AH182" s="36">
        <f t="shared" si="222"/>
        <v>0</v>
      </c>
      <c r="AI182" s="35" t="s">
        <v>499</v>
      </c>
      <c r="AJ182" s="20">
        <f t="shared" si="223"/>
        <v>0</v>
      </c>
      <c r="AK182" s="20">
        <f t="shared" si="224"/>
        <v>0</v>
      </c>
      <c r="AL182" s="20">
        <f t="shared" si="225"/>
        <v>0</v>
      </c>
      <c r="AN182" s="36">
        <v>21</v>
      </c>
      <c r="AO182" s="36">
        <f t="shared" si="226"/>
        <v>0</v>
      </c>
      <c r="AP182" s="36">
        <f t="shared" si="227"/>
        <v>0</v>
      </c>
      <c r="AQ182" s="37" t="s">
        <v>7</v>
      </c>
      <c r="AV182" s="36">
        <f t="shared" si="228"/>
        <v>0</v>
      </c>
      <c r="AW182" s="36">
        <f t="shared" si="229"/>
        <v>0</v>
      </c>
      <c r="AX182" s="36">
        <f t="shared" si="230"/>
        <v>0</v>
      </c>
      <c r="AY182" s="39" t="s">
        <v>513</v>
      </c>
      <c r="AZ182" s="39" t="s">
        <v>517</v>
      </c>
      <c r="BA182" s="35" t="s">
        <v>519</v>
      </c>
      <c r="BC182" s="36">
        <f t="shared" si="231"/>
        <v>0</v>
      </c>
      <c r="BD182" s="36">
        <f t="shared" si="232"/>
        <v>0</v>
      </c>
      <c r="BE182" s="36">
        <v>0</v>
      </c>
      <c r="BF182" s="36">
        <f>182</f>
        <v>182</v>
      </c>
      <c r="BH182" s="20">
        <f t="shared" si="233"/>
        <v>0</v>
      </c>
      <c r="BI182" s="20">
        <f t="shared" si="234"/>
        <v>0</v>
      </c>
      <c r="BJ182" s="20">
        <f t="shared" si="235"/>
        <v>0</v>
      </c>
      <c r="BK182" s="20" t="s">
        <v>524</v>
      </c>
      <c r="BL182" s="36">
        <v>0</v>
      </c>
    </row>
    <row r="183" spans="1:64" x14ac:dyDescent="0.25">
      <c r="A183" s="4" t="s">
        <v>161</v>
      </c>
      <c r="B183" s="13" t="s">
        <v>338</v>
      </c>
      <c r="C183" s="148" t="s">
        <v>455</v>
      </c>
      <c r="D183" s="149"/>
      <c r="E183" s="149"/>
      <c r="F183" s="149"/>
      <c r="G183" s="13" t="s">
        <v>471</v>
      </c>
      <c r="H183" s="80">
        <v>1</v>
      </c>
      <c r="I183" s="20">
        <v>0</v>
      </c>
      <c r="J183" s="20">
        <f t="shared" si="212"/>
        <v>0</v>
      </c>
      <c r="K183" s="20">
        <f t="shared" si="213"/>
        <v>0</v>
      </c>
      <c r="L183" s="20">
        <f t="shared" si="214"/>
        <v>0</v>
      </c>
      <c r="M183" s="31" t="s">
        <v>488</v>
      </c>
      <c r="N183" s="6"/>
      <c r="Z183" s="36">
        <f t="shared" si="215"/>
        <v>0</v>
      </c>
      <c r="AB183" s="36">
        <f t="shared" si="216"/>
        <v>0</v>
      </c>
      <c r="AC183" s="36">
        <f t="shared" si="217"/>
        <v>0</v>
      </c>
      <c r="AD183" s="36">
        <f t="shared" si="218"/>
        <v>0</v>
      </c>
      <c r="AE183" s="36">
        <f t="shared" si="219"/>
        <v>0</v>
      </c>
      <c r="AF183" s="36">
        <f t="shared" si="220"/>
        <v>0</v>
      </c>
      <c r="AG183" s="36">
        <f t="shared" si="221"/>
        <v>0</v>
      </c>
      <c r="AH183" s="36">
        <f t="shared" si="222"/>
        <v>0</v>
      </c>
      <c r="AI183" s="35" t="s">
        <v>499</v>
      </c>
      <c r="AJ183" s="20">
        <f t="shared" si="223"/>
        <v>0</v>
      </c>
      <c r="AK183" s="20">
        <f t="shared" si="224"/>
        <v>0</v>
      </c>
      <c r="AL183" s="20">
        <f t="shared" si="225"/>
        <v>0</v>
      </c>
      <c r="AN183" s="36">
        <v>21</v>
      </c>
      <c r="AO183" s="36">
        <f t="shared" si="226"/>
        <v>0</v>
      </c>
      <c r="AP183" s="36">
        <f t="shared" si="227"/>
        <v>0</v>
      </c>
      <c r="AQ183" s="37" t="s">
        <v>7</v>
      </c>
      <c r="AV183" s="36">
        <f t="shared" si="228"/>
        <v>0</v>
      </c>
      <c r="AW183" s="36">
        <f t="shared" si="229"/>
        <v>0</v>
      </c>
      <c r="AX183" s="36">
        <f t="shared" si="230"/>
        <v>0</v>
      </c>
      <c r="AY183" s="39" t="s">
        <v>513</v>
      </c>
      <c r="AZ183" s="39" t="s">
        <v>517</v>
      </c>
      <c r="BA183" s="35" t="s">
        <v>519</v>
      </c>
      <c r="BC183" s="36">
        <f t="shared" si="231"/>
        <v>0</v>
      </c>
      <c r="BD183" s="36">
        <f t="shared" si="232"/>
        <v>0</v>
      </c>
      <c r="BE183" s="36">
        <v>0</v>
      </c>
      <c r="BF183" s="36">
        <f>183</f>
        <v>183</v>
      </c>
      <c r="BH183" s="20">
        <f t="shared" si="233"/>
        <v>0</v>
      </c>
      <c r="BI183" s="20">
        <f t="shared" si="234"/>
        <v>0</v>
      </c>
      <c r="BJ183" s="20">
        <f t="shared" si="235"/>
        <v>0</v>
      </c>
      <c r="BK183" s="20" t="s">
        <v>524</v>
      </c>
      <c r="BL183" s="36">
        <v>0</v>
      </c>
    </row>
    <row r="184" spans="1:64" x14ac:dyDescent="0.25">
      <c r="A184" s="4" t="s">
        <v>162</v>
      </c>
      <c r="B184" s="13" t="s">
        <v>339</v>
      </c>
      <c r="C184" s="148" t="s">
        <v>456</v>
      </c>
      <c r="D184" s="149"/>
      <c r="E184" s="149"/>
      <c r="F184" s="149"/>
      <c r="G184" s="13" t="s">
        <v>471</v>
      </c>
      <c r="H184" s="80">
        <v>1</v>
      </c>
      <c r="I184" s="20">
        <v>0</v>
      </c>
      <c r="J184" s="20">
        <f t="shared" si="212"/>
        <v>0</v>
      </c>
      <c r="K184" s="20">
        <f t="shared" si="213"/>
        <v>0</v>
      </c>
      <c r="L184" s="20">
        <f t="shared" si="214"/>
        <v>0</v>
      </c>
      <c r="M184" s="31" t="s">
        <v>488</v>
      </c>
      <c r="N184" s="6"/>
      <c r="Z184" s="36">
        <f t="shared" si="215"/>
        <v>0</v>
      </c>
      <c r="AB184" s="36">
        <f t="shared" si="216"/>
        <v>0</v>
      </c>
      <c r="AC184" s="36">
        <f t="shared" si="217"/>
        <v>0</v>
      </c>
      <c r="AD184" s="36">
        <f t="shared" si="218"/>
        <v>0</v>
      </c>
      <c r="AE184" s="36">
        <f t="shared" si="219"/>
        <v>0</v>
      </c>
      <c r="AF184" s="36">
        <f t="shared" si="220"/>
        <v>0</v>
      </c>
      <c r="AG184" s="36">
        <f t="shared" si="221"/>
        <v>0</v>
      </c>
      <c r="AH184" s="36">
        <f t="shared" si="222"/>
        <v>0</v>
      </c>
      <c r="AI184" s="35" t="s">
        <v>499</v>
      </c>
      <c r="AJ184" s="20">
        <f t="shared" si="223"/>
        <v>0</v>
      </c>
      <c r="AK184" s="20">
        <f t="shared" si="224"/>
        <v>0</v>
      </c>
      <c r="AL184" s="20">
        <f t="shared" si="225"/>
        <v>0</v>
      </c>
      <c r="AN184" s="36">
        <v>21</v>
      </c>
      <c r="AO184" s="36">
        <f t="shared" si="226"/>
        <v>0</v>
      </c>
      <c r="AP184" s="36">
        <f t="shared" si="227"/>
        <v>0</v>
      </c>
      <c r="AQ184" s="37" t="s">
        <v>7</v>
      </c>
      <c r="AV184" s="36">
        <f t="shared" si="228"/>
        <v>0</v>
      </c>
      <c r="AW184" s="36">
        <f t="shared" si="229"/>
        <v>0</v>
      </c>
      <c r="AX184" s="36">
        <f t="shared" si="230"/>
        <v>0</v>
      </c>
      <c r="AY184" s="39" t="s">
        <v>513</v>
      </c>
      <c r="AZ184" s="39" t="s">
        <v>517</v>
      </c>
      <c r="BA184" s="35" t="s">
        <v>519</v>
      </c>
      <c r="BC184" s="36">
        <f t="shared" si="231"/>
        <v>0</v>
      </c>
      <c r="BD184" s="36">
        <f t="shared" si="232"/>
        <v>0</v>
      </c>
      <c r="BE184" s="36">
        <v>0</v>
      </c>
      <c r="BF184" s="36">
        <f>184</f>
        <v>184</v>
      </c>
      <c r="BH184" s="20">
        <f t="shared" si="233"/>
        <v>0</v>
      </c>
      <c r="BI184" s="20">
        <f t="shared" si="234"/>
        <v>0</v>
      </c>
      <c r="BJ184" s="20">
        <f t="shared" si="235"/>
        <v>0</v>
      </c>
      <c r="BK184" s="20" t="s">
        <v>524</v>
      </c>
      <c r="BL184" s="36">
        <v>0</v>
      </c>
    </row>
    <row r="185" spans="1:64" x14ac:dyDescent="0.25">
      <c r="A185" s="4" t="s">
        <v>163</v>
      </c>
      <c r="B185" s="13" t="s">
        <v>340</v>
      </c>
      <c r="C185" s="148" t="s">
        <v>457</v>
      </c>
      <c r="D185" s="149"/>
      <c r="E185" s="149"/>
      <c r="F185" s="149"/>
      <c r="G185" s="13" t="s">
        <v>471</v>
      </c>
      <c r="H185" s="80">
        <v>1</v>
      </c>
      <c r="I185" s="20">
        <v>0</v>
      </c>
      <c r="J185" s="20">
        <f t="shared" si="212"/>
        <v>0</v>
      </c>
      <c r="K185" s="20">
        <f t="shared" si="213"/>
        <v>0</v>
      </c>
      <c r="L185" s="20">
        <f t="shared" si="214"/>
        <v>0</v>
      </c>
      <c r="M185" s="31" t="s">
        <v>488</v>
      </c>
      <c r="N185" s="6"/>
      <c r="Z185" s="36">
        <f t="shared" si="215"/>
        <v>0</v>
      </c>
      <c r="AB185" s="36">
        <f t="shared" si="216"/>
        <v>0</v>
      </c>
      <c r="AC185" s="36">
        <f t="shared" si="217"/>
        <v>0</v>
      </c>
      <c r="AD185" s="36">
        <f t="shared" si="218"/>
        <v>0</v>
      </c>
      <c r="AE185" s="36">
        <f t="shared" si="219"/>
        <v>0</v>
      </c>
      <c r="AF185" s="36">
        <f t="shared" si="220"/>
        <v>0</v>
      </c>
      <c r="AG185" s="36">
        <f t="shared" si="221"/>
        <v>0</v>
      </c>
      <c r="AH185" s="36">
        <f t="shared" si="222"/>
        <v>0</v>
      </c>
      <c r="AI185" s="35" t="s">
        <v>499</v>
      </c>
      <c r="AJ185" s="20">
        <f t="shared" si="223"/>
        <v>0</v>
      </c>
      <c r="AK185" s="20">
        <f t="shared" si="224"/>
        <v>0</v>
      </c>
      <c r="AL185" s="20">
        <f t="shared" si="225"/>
        <v>0</v>
      </c>
      <c r="AN185" s="36">
        <v>21</v>
      </c>
      <c r="AO185" s="36">
        <f t="shared" si="226"/>
        <v>0</v>
      </c>
      <c r="AP185" s="36">
        <f t="shared" si="227"/>
        <v>0</v>
      </c>
      <c r="AQ185" s="37" t="s">
        <v>7</v>
      </c>
      <c r="AV185" s="36">
        <f t="shared" si="228"/>
        <v>0</v>
      </c>
      <c r="AW185" s="36">
        <f t="shared" si="229"/>
        <v>0</v>
      </c>
      <c r="AX185" s="36">
        <f t="shared" si="230"/>
        <v>0</v>
      </c>
      <c r="AY185" s="39" t="s">
        <v>513</v>
      </c>
      <c r="AZ185" s="39" t="s">
        <v>517</v>
      </c>
      <c r="BA185" s="35" t="s">
        <v>519</v>
      </c>
      <c r="BC185" s="36">
        <f t="shared" si="231"/>
        <v>0</v>
      </c>
      <c r="BD185" s="36">
        <f t="shared" si="232"/>
        <v>0</v>
      </c>
      <c r="BE185" s="36">
        <v>0</v>
      </c>
      <c r="BF185" s="36">
        <f>185</f>
        <v>185</v>
      </c>
      <c r="BH185" s="20">
        <f t="shared" si="233"/>
        <v>0</v>
      </c>
      <c r="BI185" s="20">
        <f t="shared" si="234"/>
        <v>0</v>
      </c>
      <c r="BJ185" s="20">
        <f t="shared" si="235"/>
        <v>0</v>
      </c>
      <c r="BK185" s="20" t="s">
        <v>524</v>
      </c>
      <c r="BL185" s="36">
        <v>0</v>
      </c>
    </row>
    <row r="186" spans="1:64" x14ac:dyDescent="0.25">
      <c r="A186" s="4" t="s">
        <v>164</v>
      </c>
      <c r="B186" s="13" t="s">
        <v>341</v>
      </c>
      <c r="C186" s="148" t="s">
        <v>458</v>
      </c>
      <c r="D186" s="149"/>
      <c r="E186" s="149"/>
      <c r="F186" s="149"/>
      <c r="G186" s="13" t="s">
        <v>471</v>
      </c>
      <c r="H186" s="80">
        <v>1</v>
      </c>
      <c r="I186" s="20">
        <v>0</v>
      </c>
      <c r="J186" s="20">
        <f t="shared" si="212"/>
        <v>0</v>
      </c>
      <c r="K186" s="20">
        <f t="shared" si="213"/>
        <v>0</v>
      </c>
      <c r="L186" s="20">
        <f t="shared" si="214"/>
        <v>0</v>
      </c>
      <c r="M186" s="31" t="s">
        <v>488</v>
      </c>
      <c r="N186" s="6"/>
      <c r="Z186" s="36">
        <f t="shared" si="215"/>
        <v>0</v>
      </c>
      <c r="AB186" s="36">
        <f t="shared" si="216"/>
        <v>0</v>
      </c>
      <c r="AC186" s="36">
        <f t="shared" si="217"/>
        <v>0</v>
      </c>
      <c r="AD186" s="36">
        <f t="shared" si="218"/>
        <v>0</v>
      </c>
      <c r="AE186" s="36">
        <f t="shared" si="219"/>
        <v>0</v>
      </c>
      <c r="AF186" s="36">
        <f t="shared" si="220"/>
        <v>0</v>
      </c>
      <c r="AG186" s="36">
        <f t="shared" si="221"/>
        <v>0</v>
      </c>
      <c r="AH186" s="36">
        <f t="shared" si="222"/>
        <v>0</v>
      </c>
      <c r="AI186" s="35" t="s">
        <v>499</v>
      </c>
      <c r="AJ186" s="20">
        <f t="shared" si="223"/>
        <v>0</v>
      </c>
      <c r="AK186" s="20">
        <f t="shared" si="224"/>
        <v>0</v>
      </c>
      <c r="AL186" s="20">
        <f t="shared" si="225"/>
        <v>0</v>
      </c>
      <c r="AN186" s="36">
        <v>21</v>
      </c>
      <c r="AO186" s="36">
        <f t="shared" si="226"/>
        <v>0</v>
      </c>
      <c r="AP186" s="36">
        <f t="shared" si="227"/>
        <v>0</v>
      </c>
      <c r="AQ186" s="37" t="s">
        <v>7</v>
      </c>
      <c r="AV186" s="36">
        <f t="shared" si="228"/>
        <v>0</v>
      </c>
      <c r="AW186" s="36">
        <f t="shared" si="229"/>
        <v>0</v>
      </c>
      <c r="AX186" s="36">
        <f t="shared" si="230"/>
        <v>0</v>
      </c>
      <c r="AY186" s="39" t="s">
        <v>513</v>
      </c>
      <c r="AZ186" s="39" t="s">
        <v>517</v>
      </c>
      <c r="BA186" s="35" t="s">
        <v>519</v>
      </c>
      <c r="BC186" s="36">
        <f t="shared" si="231"/>
        <v>0</v>
      </c>
      <c r="BD186" s="36">
        <f t="shared" si="232"/>
        <v>0</v>
      </c>
      <c r="BE186" s="36">
        <v>0</v>
      </c>
      <c r="BF186" s="36">
        <f>186</f>
        <v>186</v>
      </c>
      <c r="BH186" s="20">
        <f t="shared" si="233"/>
        <v>0</v>
      </c>
      <c r="BI186" s="20">
        <f t="shared" si="234"/>
        <v>0</v>
      </c>
      <c r="BJ186" s="20">
        <f t="shared" si="235"/>
        <v>0</v>
      </c>
      <c r="BK186" s="20" t="s">
        <v>524</v>
      </c>
      <c r="BL186" s="36">
        <v>0</v>
      </c>
    </row>
    <row r="187" spans="1:64" x14ac:dyDescent="0.25">
      <c r="A187" s="4" t="s">
        <v>165</v>
      </c>
      <c r="B187" s="13" t="s">
        <v>342</v>
      </c>
      <c r="C187" s="148" t="s">
        <v>459</v>
      </c>
      <c r="D187" s="149"/>
      <c r="E187" s="149"/>
      <c r="F187" s="149"/>
      <c r="G187" s="13" t="s">
        <v>471</v>
      </c>
      <c r="H187" s="80">
        <v>1</v>
      </c>
      <c r="I187" s="20">
        <v>0</v>
      </c>
      <c r="J187" s="20">
        <f t="shared" si="212"/>
        <v>0</v>
      </c>
      <c r="K187" s="20">
        <f t="shared" si="213"/>
        <v>0</v>
      </c>
      <c r="L187" s="20">
        <f t="shared" si="214"/>
        <v>0</v>
      </c>
      <c r="M187" s="31" t="s">
        <v>488</v>
      </c>
      <c r="N187" s="6"/>
      <c r="Z187" s="36">
        <f t="shared" si="215"/>
        <v>0</v>
      </c>
      <c r="AB187" s="36">
        <f t="shared" si="216"/>
        <v>0</v>
      </c>
      <c r="AC187" s="36">
        <f t="shared" si="217"/>
        <v>0</v>
      </c>
      <c r="AD187" s="36">
        <f t="shared" si="218"/>
        <v>0</v>
      </c>
      <c r="AE187" s="36">
        <f t="shared" si="219"/>
        <v>0</v>
      </c>
      <c r="AF187" s="36">
        <f t="shared" si="220"/>
        <v>0</v>
      </c>
      <c r="AG187" s="36">
        <f t="shared" si="221"/>
        <v>0</v>
      </c>
      <c r="AH187" s="36">
        <f t="shared" si="222"/>
        <v>0</v>
      </c>
      <c r="AI187" s="35" t="s">
        <v>499</v>
      </c>
      <c r="AJ187" s="20">
        <f t="shared" si="223"/>
        <v>0</v>
      </c>
      <c r="AK187" s="20">
        <f t="shared" si="224"/>
        <v>0</v>
      </c>
      <c r="AL187" s="20">
        <f t="shared" si="225"/>
        <v>0</v>
      </c>
      <c r="AN187" s="36">
        <v>21</v>
      </c>
      <c r="AO187" s="36">
        <f t="shared" si="226"/>
        <v>0</v>
      </c>
      <c r="AP187" s="36">
        <f t="shared" si="227"/>
        <v>0</v>
      </c>
      <c r="AQ187" s="37" t="s">
        <v>7</v>
      </c>
      <c r="AV187" s="36">
        <f t="shared" si="228"/>
        <v>0</v>
      </c>
      <c r="AW187" s="36">
        <f t="shared" si="229"/>
        <v>0</v>
      </c>
      <c r="AX187" s="36">
        <f t="shared" si="230"/>
        <v>0</v>
      </c>
      <c r="AY187" s="39" t="s">
        <v>513</v>
      </c>
      <c r="AZ187" s="39" t="s">
        <v>517</v>
      </c>
      <c r="BA187" s="35" t="s">
        <v>519</v>
      </c>
      <c r="BC187" s="36">
        <f t="shared" si="231"/>
        <v>0</v>
      </c>
      <c r="BD187" s="36">
        <f t="shared" si="232"/>
        <v>0</v>
      </c>
      <c r="BE187" s="36">
        <v>0</v>
      </c>
      <c r="BF187" s="36">
        <f>187</f>
        <v>187</v>
      </c>
      <c r="BH187" s="20">
        <f t="shared" si="233"/>
        <v>0</v>
      </c>
      <c r="BI187" s="20">
        <f t="shared" si="234"/>
        <v>0</v>
      </c>
      <c r="BJ187" s="20">
        <f t="shared" si="235"/>
        <v>0</v>
      </c>
      <c r="BK187" s="20" t="s">
        <v>524</v>
      </c>
      <c r="BL187" s="36">
        <v>0</v>
      </c>
    </row>
    <row r="188" spans="1:64" x14ac:dyDescent="0.25">
      <c r="A188" s="4" t="s">
        <v>166</v>
      </c>
      <c r="B188" s="13" t="s">
        <v>343</v>
      </c>
      <c r="C188" s="148" t="s">
        <v>460</v>
      </c>
      <c r="D188" s="149"/>
      <c r="E188" s="149"/>
      <c r="F188" s="149"/>
      <c r="G188" s="13" t="s">
        <v>471</v>
      </c>
      <c r="H188" s="80">
        <v>1</v>
      </c>
      <c r="I188" s="20">
        <v>0</v>
      </c>
      <c r="J188" s="20">
        <f t="shared" si="212"/>
        <v>0</v>
      </c>
      <c r="K188" s="20">
        <f t="shared" si="213"/>
        <v>0</v>
      </c>
      <c r="L188" s="20">
        <f t="shared" si="214"/>
        <v>0</v>
      </c>
      <c r="M188" s="31" t="s">
        <v>488</v>
      </c>
      <c r="N188" s="6"/>
      <c r="Z188" s="36">
        <f t="shared" si="215"/>
        <v>0</v>
      </c>
      <c r="AB188" s="36">
        <f t="shared" si="216"/>
        <v>0</v>
      </c>
      <c r="AC188" s="36">
        <f t="shared" si="217"/>
        <v>0</v>
      </c>
      <c r="AD188" s="36">
        <f t="shared" si="218"/>
        <v>0</v>
      </c>
      <c r="AE188" s="36">
        <f t="shared" si="219"/>
        <v>0</v>
      </c>
      <c r="AF188" s="36">
        <f t="shared" si="220"/>
        <v>0</v>
      </c>
      <c r="AG188" s="36">
        <f t="shared" si="221"/>
        <v>0</v>
      </c>
      <c r="AH188" s="36">
        <f t="shared" si="222"/>
        <v>0</v>
      </c>
      <c r="AI188" s="35" t="s">
        <v>499</v>
      </c>
      <c r="AJ188" s="20">
        <f t="shared" si="223"/>
        <v>0</v>
      </c>
      <c r="AK188" s="20">
        <f t="shared" si="224"/>
        <v>0</v>
      </c>
      <c r="AL188" s="20">
        <f t="shared" si="225"/>
        <v>0</v>
      </c>
      <c r="AN188" s="36">
        <v>21</v>
      </c>
      <c r="AO188" s="36">
        <f t="shared" si="226"/>
        <v>0</v>
      </c>
      <c r="AP188" s="36">
        <f t="shared" si="227"/>
        <v>0</v>
      </c>
      <c r="AQ188" s="37" t="s">
        <v>7</v>
      </c>
      <c r="AV188" s="36">
        <f t="shared" si="228"/>
        <v>0</v>
      </c>
      <c r="AW188" s="36">
        <f t="shared" si="229"/>
        <v>0</v>
      </c>
      <c r="AX188" s="36">
        <f t="shared" si="230"/>
        <v>0</v>
      </c>
      <c r="AY188" s="39" t="s">
        <v>513</v>
      </c>
      <c r="AZ188" s="39" t="s">
        <v>517</v>
      </c>
      <c r="BA188" s="35" t="s">
        <v>519</v>
      </c>
      <c r="BC188" s="36">
        <f t="shared" si="231"/>
        <v>0</v>
      </c>
      <c r="BD188" s="36">
        <f t="shared" si="232"/>
        <v>0</v>
      </c>
      <c r="BE188" s="36">
        <v>0</v>
      </c>
      <c r="BF188" s="36">
        <f>188</f>
        <v>188</v>
      </c>
      <c r="BH188" s="20">
        <f t="shared" si="233"/>
        <v>0</v>
      </c>
      <c r="BI188" s="20">
        <f t="shared" si="234"/>
        <v>0</v>
      </c>
      <c r="BJ188" s="20">
        <f t="shared" si="235"/>
        <v>0</v>
      </c>
      <c r="BK188" s="20" t="s">
        <v>524</v>
      </c>
      <c r="BL188" s="36">
        <v>0</v>
      </c>
    </row>
    <row r="189" spans="1:64" x14ac:dyDescent="0.25">
      <c r="A189" s="4" t="s">
        <v>167</v>
      </c>
      <c r="B189" s="13" t="s">
        <v>344</v>
      </c>
      <c r="C189" s="148" t="s">
        <v>461</v>
      </c>
      <c r="D189" s="149"/>
      <c r="E189" s="149"/>
      <c r="F189" s="149"/>
      <c r="G189" s="13" t="s">
        <v>471</v>
      </c>
      <c r="H189" s="80">
        <v>1</v>
      </c>
      <c r="I189" s="20">
        <v>0</v>
      </c>
      <c r="J189" s="20">
        <f t="shared" si="212"/>
        <v>0</v>
      </c>
      <c r="K189" s="20">
        <f t="shared" si="213"/>
        <v>0</v>
      </c>
      <c r="L189" s="20">
        <f t="shared" si="214"/>
        <v>0</v>
      </c>
      <c r="M189" s="31" t="s">
        <v>488</v>
      </c>
      <c r="N189" s="6"/>
      <c r="Z189" s="36">
        <f t="shared" si="215"/>
        <v>0</v>
      </c>
      <c r="AB189" s="36">
        <f t="shared" si="216"/>
        <v>0</v>
      </c>
      <c r="AC189" s="36">
        <f t="shared" si="217"/>
        <v>0</v>
      </c>
      <c r="AD189" s="36">
        <f t="shared" si="218"/>
        <v>0</v>
      </c>
      <c r="AE189" s="36">
        <f t="shared" si="219"/>
        <v>0</v>
      </c>
      <c r="AF189" s="36">
        <f t="shared" si="220"/>
        <v>0</v>
      </c>
      <c r="AG189" s="36">
        <f t="shared" si="221"/>
        <v>0</v>
      </c>
      <c r="AH189" s="36">
        <f t="shared" si="222"/>
        <v>0</v>
      </c>
      <c r="AI189" s="35" t="s">
        <v>499</v>
      </c>
      <c r="AJ189" s="20">
        <f t="shared" si="223"/>
        <v>0</v>
      </c>
      <c r="AK189" s="20">
        <f t="shared" si="224"/>
        <v>0</v>
      </c>
      <c r="AL189" s="20">
        <f t="shared" si="225"/>
        <v>0</v>
      </c>
      <c r="AN189" s="36">
        <v>21</v>
      </c>
      <c r="AO189" s="36">
        <f t="shared" si="226"/>
        <v>0</v>
      </c>
      <c r="AP189" s="36">
        <f t="shared" si="227"/>
        <v>0</v>
      </c>
      <c r="AQ189" s="37" t="s">
        <v>7</v>
      </c>
      <c r="AV189" s="36">
        <f t="shared" si="228"/>
        <v>0</v>
      </c>
      <c r="AW189" s="36">
        <f t="shared" si="229"/>
        <v>0</v>
      </c>
      <c r="AX189" s="36">
        <f t="shared" si="230"/>
        <v>0</v>
      </c>
      <c r="AY189" s="39" t="s">
        <v>513</v>
      </c>
      <c r="AZ189" s="39" t="s">
        <v>517</v>
      </c>
      <c r="BA189" s="35" t="s">
        <v>519</v>
      </c>
      <c r="BC189" s="36">
        <f t="shared" si="231"/>
        <v>0</v>
      </c>
      <c r="BD189" s="36">
        <f t="shared" si="232"/>
        <v>0</v>
      </c>
      <c r="BE189" s="36">
        <v>0</v>
      </c>
      <c r="BF189" s="36">
        <f>189</f>
        <v>189</v>
      </c>
      <c r="BH189" s="20">
        <f t="shared" si="233"/>
        <v>0</v>
      </c>
      <c r="BI189" s="20">
        <f t="shared" si="234"/>
        <v>0</v>
      </c>
      <c r="BJ189" s="20">
        <f t="shared" si="235"/>
        <v>0</v>
      </c>
      <c r="BK189" s="20" t="s">
        <v>524</v>
      </c>
      <c r="BL189" s="36">
        <v>0</v>
      </c>
    </row>
    <row r="190" spans="1:64" x14ac:dyDescent="0.25">
      <c r="A190" s="7" t="s">
        <v>168</v>
      </c>
      <c r="B190" s="16" t="s">
        <v>345</v>
      </c>
      <c r="C190" s="150" t="s">
        <v>462</v>
      </c>
      <c r="D190" s="151"/>
      <c r="E190" s="151"/>
      <c r="F190" s="151"/>
      <c r="G190" s="16" t="s">
        <v>471</v>
      </c>
      <c r="H190" s="84">
        <v>1</v>
      </c>
      <c r="I190" s="22">
        <v>0</v>
      </c>
      <c r="J190" s="22">
        <f t="shared" si="212"/>
        <v>0</v>
      </c>
      <c r="K190" s="22">
        <f t="shared" si="213"/>
        <v>0</v>
      </c>
      <c r="L190" s="22">
        <f t="shared" si="214"/>
        <v>0</v>
      </c>
      <c r="M190" s="33" t="s">
        <v>488</v>
      </c>
      <c r="N190" s="6"/>
      <c r="Z190" s="36">
        <f t="shared" si="215"/>
        <v>0</v>
      </c>
      <c r="AB190" s="36">
        <f t="shared" si="216"/>
        <v>0</v>
      </c>
      <c r="AC190" s="36">
        <f t="shared" si="217"/>
        <v>0</v>
      </c>
      <c r="AD190" s="36">
        <f t="shared" si="218"/>
        <v>0</v>
      </c>
      <c r="AE190" s="36">
        <f t="shared" si="219"/>
        <v>0</v>
      </c>
      <c r="AF190" s="36">
        <f t="shared" si="220"/>
        <v>0</v>
      </c>
      <c r="AG190" s="36">
        <f t="shared" si="221"/>
        <v>0</v>
      </c>
      <c r="AH190" s="36">
        <f t="shared" si="222"/>
        <v>0</v>
      </c>
      <c r="AI190" s="35" t="s">
        <v>499</v>
      </c>
      <c r="AJ190" s="20">
        <f t="shared" si="223"/>
        <v>0</v>
      </c>
      <c r="AK190" s="20">
        <f t="shared" si="224"/>
        <v>0</v>
      </c>
      <c r="AL190" s="20">
        <f t="shared" si="225"/>
        <v>0</v>
      </c>
      <c r="AN190" s="36">
        <v>21</v>
      </c>
      <c r="AO190" s="36">
        <f t="shared" si="226"/>
        <v>0</v>
      </c>
      <c r="AP190" s="36">
        <f t="shared" si="227"/>
        <v>0</v>
      </c>
      <c r="AQ190" s="37" t="s">
        <v>7</v>
      </c>
      <c r="AV190" s="36">
        <f t="shared" si="228"/>
        <v>0</v>
      </c>
      <c r="AW190" s="36">
        <f t="shared" si="229"/>
        <v>0</v>
      </c>
      <c r="AX190" s="36">
        <f t="shared" si="230"/>
        <v>0</v>
      </c>
      <c r="AY190" s="39" t="s">
        <v>513</v>
      </c>
      <c r="AZ190" s="39" t="s">
        <v>517</v>
      </c>
      <c r="BA190" s="35" t="s">
        <v>519</v>
      </c>
      <c r="BC190" s="36">
        <f t="shared" si="231"/>
        <v>0</v>
      </c>
      <c r="BD190" s="36">
        <f t="shared" si="232"/>
        <v>0</v>
      </c>
      <c r="BE190" s="36">
        <v>0</v>
      </c>
      <c r="BF190" s="36">
        <f>190</f>
        <v>190</v>
      </c>
      <c r="BH190" s="20">
        <f t="shared" si="233"/>
        <v>0</v>
      </c>
      <c r="BI190" s="20">
        <f t="shared" si="234"/>
        <v>0</v>
      </c>
      <c r="BJ190" s="20">
        <f t="shared" si="235"/>
        <v>0</v>
      </c>
      <c r="BK190" s="20" t="s">
        <v>524</v>
      </c>
      <c r="BL190" s="36">
        <v>0</v>
      </c>
    </row>
    <row r="191" spans="1:64" x14ac:dyDescent="0.25">
      <c r="A191" s="8"/>
      <c r="B191" s="8"/>
      <c r="C191" s="8"/>
      <c r="D191" s="8"/>
      <c r="E191" s="8"/>
      <c r="F191" s="8"/>
      <c r="G191" s="8"/>
      <c r="H191" s="8"/>
      <c r="I191" s="8"/>
      <c r="J191" s="152" t="s">
        <v>483</v>
      </c>
      <c r="K191" s="139"/>
      <c r="L191" s="42">
        <f>L13+L15+L26+L36+L41+L45+L81+L98+L119+L139+L147+L161+L169+L178</f>
        <v>0</v>
      </c>
      <c r="M191" s="8"/>
    </row>
    <row r="192" spans="1:64" ht="11.25" customHeight="1" x14ac:dyDescent="0.25">
      <c r="A192" s="9" t="s">
        <v>169</v>
      </c>
    </row>
    <row r="193" spans="1:13" x14ac:dyDescent="0.25">
      <c r="A193" s="104"/>
      <c r="B193" s="105"/>
      <c r="C193" s="105"/>
      <c r="D193" s="105"/>
      <c r="E193" s="105"/>
      <c r="F193" s="105"/>
      <c r="G193" s="105"/>
      <c r="H193" s="105"/>
      <c r="I193" s="105"/>
      <c r="J193" s="105"/>
      <c r="K193" s="105"/>
      <c r="L193" s="105"/>
      <c r="M193" s="105"/>
    </row>
  </sheetData>
  <sheetProtection algorithmName="SHA-512" hashValue="VltqrZSP8glkE9hbrb7G9fT0C7s8LsES9jDi7vQ51H5x2c+6t1mr2hB6zUeEYqbyTP+sVhcUPqM8hB6PbJ/9HQ==" saltValue="GOzDKyLPQV2TIv7xr+P/wQ==" spinCount="100000" sheet="1" objects="1" scenarios="1"/>
  <mergeCells count="209">
    <mergeCell ref="A1:M1"/>
    <mergeCell ref="A2:B3"/>
    <mergeCell ref="C2:D3"/>
    <mergeCell ref="E2:F3"/>
    <mergeCell ref="G2:H3"/>
    <mergeCell ref="I2:I3"/>
    <mergeCell ref="J2:M3"/>
    <mergeCell ref="A6:B7"/>
    <mergeCell ref="C6:D7"/>
    <mergeCell ref="E6:F7"/>
    <mergeCell ref="G6:H7"/>
    <mergeCell ref="I6:I7"/>
    <mergeCell ref="J6:M7"/>
    <mergeCell ref="A4:B5"/>
    <mergeCell ref="C4:D5"/>
    <mergeCell ref="E4:F5"/>
    <mergeCell ref="G4:H5"/>
    <mergeCell ref="I4:I5"/>
    <mergeCell ref="J4:M5"/>
    <mergeCell ref="C10:F10"/>
    <mergeCell ref="J10:L10"/>
    <mergeCell ref="C11:F11"/>
    <mergeCell ref="C12:F12"/>
    <mergeCell ref="C13:F13"/>
    <mergeCell ref="C14:F14"/>
    <mergeCell ref="A8:B9"/>
    <mergeCell ref="C8:D9"/>
    <mergeCell ref="E8:F9"/>
    <mergeCell ref="G8:H9"/>
    <mergeCell ref="I8:I9"/>
    <mergeCell ref="J8:M9"/>
    <mergeCell ref="C21:F21"/>
    <mergeCell ref="C22:F22"/>
    <mergeCell ref="C23:F23"/>
    <mergeCell ref="C24:F24"/>
    <mergeCell ref="C25:F25"/>
    <mergeCell ref="C26:F26"/>
    <mergeCell ref="C15:F15"/>
    <mergeCell ref="C16:F16"/>
    <mergeCell ref="C17:F17"/>
    <mergeCell ref="C18:F18"/>
    <mergeCell ref="C19:F19"/>
    <mergeCell ref="C20:F20"/>
    <mergeCell ref="C33:F33"/>
    <mergeCell ref="C34:F34"/>
    <mergeCell ref="C35:F35"/>
    <mergeCell ref="C36:F36"/>
    <mergeCell ref="C37:F37"/>
    <mergeCell ref="C38:F38"/>
    <mergeCell ref="C27:F27"/>
    <mergeCell ref="C28:F28"/>
    <mergeCell ref="C29:F29"/>
    <mergeCell ref="C30:F30"/>
    <mergeCell ref="C31:F31"/>
    <mergeCell ref="C32:F32"/>
    <mergeCell ref="C45:F45"/>
    <mergeCell ref="C46:F46"/>
    <mergeCell ref="C47:F47"/>
    <mergeCell ref="C48:F48"/>
    <mergeCell ref="C49:F49"/>
    <mergeCell ref="C50:F50"/>
    <mergeCell ref="C39:F39"/>
    <mergeCell ref="C40:F40"/>
    <mergeCell ref="C41:F41"/>
    <mergeCell ref="C42:F42"/>
    <mergeCell ref="C43:F43"/>
    <mergeCell ref="C44:F44"/>
    <mergeCell ref="C57:F57"/>
    <mergeCell ref="C58:F58"/>
    <mergeCell ref="C59:F59"/>
    <mergeCell ref="C60:F60"/>
    <mergeCell ref="C61:F61"/>
    <mergeCell ref="C62:F62"/>
    <mergeCell ref="C51:F51"/>
    <mergeCell ref="C52:F52"/>
    <mergeCell ref="C53:F53"/>
    <mergeCell ref="C54:F54"/>
    <mergeCell ref="C55:F55"/>
    <mergeCell ref="C56:F56"/>
    <mergeCell ref="C69:F69"/>
    <mergeCell ref="C70:F70"/>
    <mergeCell ref="C71:F71"/>
    <mergeCell ref="C72:F72"/>
    <mergeCell ref="C73:F73"/>
    <mergeCell ref="C74:F74"/>
    <mergeCell ref="C63:F63"/>
    <mergeCell ref="C64:F64"/>
    <mergeCell ref="C65:F65"/>
    <mergeCell ref="C66:F66"/>
    <mergeCell ref="C67:F67"/>
    <mergeCell ref="C68:F68"/>
    <mergeCell ref="C81:F81"/>
    <mergeCell ref="C82:F82"/>
    <mergeCell ref="C83:F83"/>
    <mergeCell ref="C84:F84"/>
    <mergeCell ref="C85:F85"/>
    <mergeCell ref="C86:F86"/>
    <mergeCell ref="C75:F75"/>
    <mergeCell ref="C76:F76"/>
    <mergeCell ref="C77:F77"/>
    <mergeCell ref="C78:F78"/>
    <mergeCell ref="C79:F79"/>
    <mergeCell ref="C80:F80"/>
    <mergeCell ref="C93:F93"/>
    <mergeCell ref="C94:F94"/>
    <mergeCell ref="C95:F95"/>
    <mergeCell ref="C96:F96"/>
    <mergeCell ref="C97:F97"/>
    <mergeCell ref="C98:F98"/>
    <mergeCell ref="C87:F87"/>
    <mergeCell ref="C88:F88"/>
    <mergeCell ref="C89:F89"/>
    <mergeCell ref="C90:F90"/>
    <mergeCell ref="C91:F91"/>
    <mergeCell ref="C92:F92"/>
    <mergeCell ref="C105:F105"/>
    <mergeCell ref="C106:F106"/>
    <mergeCell ref="C107:F107"/>
    <mergeCell ref="C108:F108"/>
    <mergeCell ref="C109:F109"/>
    <mergeCell ref="C110:F110"/>
    <mergeCell ref="C99:F99"/>
    <mergeCell ref="C100:F100"/>
    <mergeCell ref="C101:F101"/>
    <mergeCell ref="C102:F102"/>
    <mergeCell ref="C103:F103"/>
    <mergeCell ref="C104:F104"/>
    <mergeCell ref="C117:F117"/>
    <mergeCell ref="C118:F118"/>
    <mergeCell ref="C119:F119"/>
    <mergeCell ref="C120:F120"/>
    <mergeCell ref="C121:F121"/>
    <mergeCell ref="C122:F122"/>
    <mergeCell ref="C111:F111"/>
    <mergeCell ref="C112:F112"/>
    <mergeCell ref="C113:F113"/>
    <mergeCell ref="C114:F114"/>
    <mergeCell ref="C115:F115"/>
    <mergeCell ref="C116:F116"/>
    <mergeCell ref="C129:F129"/>
    <mergeCell ref="C130:F130"/>
    <mergeCell ref="C131:F131"/>
    <mergeCell ref="C132:F132"/>
    <mergeCell ref="C133:F133"/>
    <mergeCell ref="C134:F134"/>
    <mergeCell ref="C123:F123"/>
    <mergeCell ref="C124:F124"/>
    <mergeCell ref="C125:F125"/>
    <mergeCell ref="C126:F126"/>
    <mergeCell ref="C127:F127"/>
    <mergeCell ref="C128:F128"/>
    <mergeCell ref="C141:F141"/>
    <mergeCell ref="C142:F142"/>
    <mergeCell ref="C143:F143"/>
    <mergeCell ref="C144:F144"/>
    <mergeCell ref="C145:F145"/>
    <mergeCell ref="C146:F146"/>
    <mergeCell ref="C135:F135"/>
    <mergeCell ref="C136:F136"/>
    <mergeCell ref="C137:F137"/>
    <mergeCell ref="C138:F138"/>
    <mergeCell ref="C139:F139"/>
    <mergeCell ref="C140:F140"/>
    <mergeCell ref="C153:F153"/>
    <mergeCell ref="C154:F154"/>
    <mergeCell ref="C155:F155"/>
    <mergeCell ref="C156:F156"/>
    <mergeCell ref="C157:F157"/>
    <mergeCell ref="C158:F158"/>
    <mergeCell ref="C147:F147"/>
    <mergeCell ref="C148:F148"/>
    <mergeCell ref="C149:F149"/>
    <mergeCell ref="C150:F150"/>
    <mergeCell ref="C151:F151"/>
    <mergeCell ref="C152:F152"/>
    <mergeCell ref="C165:F165"/>
    <mergeCell ref="C166:F166"/>
    <mergeCell ref="C167:F167"/>
    <mergeCell ref="C168:F168"/>
    <mergeCell ref="C169:F169"/>
    <mergeCell ref="C170:F170"/>
    <mergeCell ref="C159:F159"/>
    <mergeCell ref="C160:F160"/>
    <mergeCell ref="C161:F161"/>
    <mergeCell ref="C162:F162"/>
    <mergeCell ref="C163:F163"/>
    <mergeCell ref="C164:F164"/>
    <mergeCell ref="C177:F177"/>
    <mergeCell ref="C178:F178"/>
    <mergeCell ref="C179:F179"/>
    <mergeCell ref="C180:F180"/>
    <mergeCell ref="C181:F181"/>
    <mergeCell ref="C182:F182"/>
    <mergeCell ref="C171:M171"/>
    <mergeCell ref="C172:F172"/>
    <mergeCell ref="C173:F173"/>
    <mergeCell ref="C174:F174"/>
    <mergeCell ref="C175:F175"/>
    <mergeCell ref="C176:F176"/>
    <mergeCell ref="C189:F189"/>
    <mergeCell ref="C190:F190"/>
    <mergeCell ref="J191:K191"/>
    <mergeCell ref="A193:M193"/>
    <mergeCell ref="C183:F183"/>
    <mergeCell ref="C184:F184"/>
    <mergeCell ref="C185:F185"/>
    <mergeCell ref="C186:F186"/>
    <mergeCell ref="C187:F187"/>
    <mergeCell ref="C188:F188"/>
  </mergeCells>
  <pageMargins left="0.39400000000000002" right="0.39400000000000002" top="0.59099999999999997" bottom="0.59099999999999997" header="0.5" footer="0.5"/>
  <pageSetup paperSize="0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9"/>
  <sheetViews>
    <sheetView workbookViewId="0">
      <pane ySplit="10" topLeftCell="A11" activePane="bottomLeft" state="frozenSplit"/>
      <selection pane="bottomLeft" activeCell="A2" sqref="A2:B3"/>
    </sheetView>
  </sheetViews>
  <sheetFormatPr defaultColWidth="11.5546875" defaultRowHeight="13.2" x14ac:dyDescent="0.25"/>
  <cols>
    <col min="1" max="2" width="9.109375" customWidth="1"/>
    <col min="3" max="3" width="13.33203125" customWidth="1"/>
    <col min="4" max="4" width="50.5546875" customWidth="1"/>
    <col min="5" max="5" width="66.21875" customWidth="1"/>
    <col min="6" max="6" width="5" customWidth="1"/>
    <col min="7" max="7" width="11.88671875" customWidth="1"/>
    <col min="8" max="8" width="18.109375" hidden="1" customWidth="1"/>
  </cols>
  <sheetData>
    <row r="1" spans="1:9" ht="72.900000000000006" customHeight="1" x14ac:dyDescent="0.4">
      <c r="A1" s="145" t="s">
        <v>535</v>
      </c>
      <c r="B1" s="135"/>
      <c r="C1" s="135"/>
      <c r="D1" s="135"/>
      <c r="E1" s="135"/>
      <c r="F1" s="135"/>
      <c r="G1" s="135"/>
      <c r="H1" s="135"/>
    </row>
    <row r="2" spans="1:9" x14ac:dyDescent="0.25">
      <c r="A2" s="136" t="s">
        <v>1</v>
      </c>
      <c r="B2" s="137"/>
      <c r="C2" s="138" t="str">
        <f>'Stavební rozpočet'!C2</f>
        <v>Energetické úspory objektu ZŠ Kaplického v Liberci</v>
      </c>
      <c r="D2" s="139"/>
      <c r="E2" s="141" t="s">
        <v>474</v>
      </c>
      <c r="F2" s="141" t="str">
        <f>'Stavební rozpočet'!J2</f>
        <v> </v>
      </c>
      <c r="G2" s="137"/>
      <c r="H2" s="176"/>
      <c r="I2" s="6"/>
    </row>
    <row r="3" spans="1:9" x14ac:dyDescent="0.25">
      <c r="A3" s="131"/>
      <c r="B3" s="105"/>
      <c r="C3" s="140"/>
      <c r="D3" s="140"/>
      <c r="E3" s="105"/>
      <c r="F3" s="105"/>
      <c r="G3" s="105"/>
      <c r="H3" s="133"/>
      <c r="I3" s="6"/>
    </row>
    <row r="4" spans="1:9" x14ac:dyDescent="0.25">
      <c r="A4" s="125" t="s">
        <v>2</v>
      </c>
      <c r="B4" s="105"/>
      <c r="C4" s="104" t="str">
        <f>'Stavební rozpočet'!C4</f>
        <v xml:space="preserve"> </v>
      </c>
      <c r="D4" s="105"/>
      <c r="E4" s="104" t="s">
        <v>475</v>
      </c>
      <c r="F4" s="104" t="str">
        <f>'Stavební rozpočet'!J4</f>
        <v> </v>
      </c>
      <c r="G4" s="105"/>
      <c r="H4" s="133"/>
      <c r="I4" s="6"/>
    </row>
    <row r="5" spans="1:9" x14ac:dyDescent="0.25">
      <c r="A5" s="131"/>
      <c r="B5" s="105"/>
      <c r="C5" s="105"/>
      <c r="D5" s="105"/>
      <c r="E5" s="105"/>
      <c r="F5" s="105"/>
      <c r="G5" s="105"/>
      <c r="H5" s="133"/>
      <c r="I5" s="6"/>
    </row>
    <row r="6" spans="1:9" x14ac:dyDescent="0.25">
      <c r="A6" s="125" t="s">
        <v>3</v>
      </c>
      <c r="B6" s="105"/>
      <c r="C6" s="104" t="str">
        <f>'Stavební rozpočet'!C6</f>
        <v xml:space="preserve"> </v>
      </c>
      <c r="D6" s="105"/>
      <c r="E6" s="104" t="s">
        <v>476</v>
      </c>
      <c r="F6" s="104" t="str">
        <f>'Stavební rozpočet'!J6</f>
        <v> </v>
      </c>
      <c r="G6" s="105"/>
      <c r="H6" s="133"/>
      <c r="I6" s="6"/>
    </row>
    <row r="7" spans="1:9" x14ac:dyDescent="0.25">
      <c r="A7" s="131"/>
      <c r="B7" s="105"/>
      <c r="C7" s="105"/>
      <c r="D7" s="105"/>
      <c r="E7" s="105"/>
      <c r="F7" s="105"/>
      <c r="G7" s="105"/>
      <c r="H7" s="133"/>
      <c r="I7" s="6"/>
    </row>
    <row r="8" spans="1:9" x14ac:dyDescent="0.25">
      <c r="A8" s="125" t="s">
        <v>477</v>
      </c>
      <c r="B8" s="105"/>
      <c r="C8" s="104" t="str">
        <f>'Stavební rozpočet'!J8</f>
        <v> </v>
      </c>
      <c r="D8" s="105"/>
      <c r="E8" s="104" t="s">
        <v>466</v>
      </c>
      <c r="F8" s="104"/>
      <c r="G8" s="105"/>
      <c r="H8" s="133"/>
      <c r="I8" s="6"/>
    </row>
    <row r="9" spans="1:9" x14ac:dyDescent="0.25">
      <c r="A9" s="173"/>
      <c r="B9" s="174"/>
      <c r="C9" s="174"/>
      <c r="D9" s="174"/>
      <c r="E9" s="174"/>
      <c r="F9" s="174"/>
      <c r="G9" s="174"/>
      <c r="H9" s="175"/>
      <c r="I9" s="6"/>
    </row>
    <row r="10" spans="1:9" x14ac:dyDescent="0.25">
      <c r="A10" s="45" t="s">
        <v>5</v>
      </c>
      <c r="B10" s="46" t="s">
        <v>528</v>
      </c>
      <c r="C10" s="46" t="s">
        <v>170</v>
      </c>
      <c r="D10" s="179" t="s">
        <v>347</v>
      </c>
      <c r="E10" s="180"/>
      <c r="F10" s="46" t="s">
        <v>467</v>
      </c>
      <c r="G10" s="53" t="s">
        <v>473</v>
      </c>
      <c r="H10" s="56" t="s">
        <v>559</v>
      </c>
      <c r="I10" s="34"/>
    </row>
    <row r="11" spans="1:9" x14ac:dyDescent="0.25">
      <c r="A11" s="50" t="s">
        <v>7</v>
      </c>
      <c r="B11" s="51" t="s">
        <v>498</v>
      </c>
      <c r="C11" s="51" t="s">
        <v>171</v>
      </c>
      <c r="D11" s="181" t="s">
        <v>351</v>
      </c>
      <c r="E11" s="182"/>
      <c r="F11" s="51" t="s">
        <v>468</v>
      </c>
      <c r="G11" s="79">
        <v>20</v>
      </c>
      <c r="H11" s="57">
        <v>0</v>
      </c>
      <c r="I11" s="6"/>
    </row>
    <row r="12" spans="1:9" ht="12.15" customHeight="1" x14ac:dyDescent="0.25">
      <c r="A12" s="6"/>
      <c r="D12" s="52" t="s">
        <v>26</v>
      </c>
      <c r="E12" s="177"/>
      <c r="F12" s="178"/>
      <c r="G12" s="54">
        <v>20</v>
      </c>
      <c r="H12" s="58"/>
      <c r="I12" s="6"/>
    </row>
    <row r="13" spans="1:9" x14ac:dyDescent="0.25">
      <c r="A13" s="4" t="s">
        <v>8</v>
      </c>
      <c r="B13" s="13" t="s">
        <v>498</v>
      </c>
      <c r="C13" s="13" t="s">
        <v>173</v>
      </c>
      <c r="D13" s="148" t="s">
        <v>353</v>
      </c>
      <c r="E13" s="149"/>
      <c r="F13" s="13" t="s">
        <v>469</v>
      </c>
      <c r="G13" s="80">
        <v>6.085</v>
      </c>
      <c r="H13" s="59">
        <v>0</v>
      </c>
      <c r="I13" s="6"/>
    </row>
    <row r="14" spans="1:9" ht="12.15" customHeight="1" x14ac:dyDescent="0.25">
      <c r="A14" s="6"/>
      <c r="D14" s="52" t="s">
        <v>536</v>
      </c>
      <c r="E14" s="177"/>
      <c r="F14" s="178"/>
      <c r="G14" s="54">
        <v>6.085</v>
      </c>
      <c r="H14" s="58"/>
      <c r="I14" s="6"/>
    </row>
    <row r="15" spans="1:9" x14ac:dyDescent="0.25">
      <c r="A15" s="4" t="s">
        <v>9</v>
      </c>
      <c r="B15" s="13" t="s">
        <v>498</v>
      </c>
      <c r="C15" s="13" t="s">
        <v>174</v>
      </c>
      <c r="D15" s="148" t="s">
        <v>354</v>
      </c>
      <c r="E15" s="149"/>
      <c r="F15" s="13" t="s">
        <v>469</v>
      </c>
      <c r="G15" s="80">
        <v>6.085</v>
      </c>
      <c r="H15" s="59">
        <v>0</v>
      </c>
      <c r="I15" s="6"/>
    </row>
    <row r="16" spans="1:9" ht="12.15" customHeight="1" x14ac:dyDescent="0.25">
      <c r="A16" s="6"/>
      <c r="D16" s="52" t="s">
        <v>536</v>
      </c>
      <c r="E16" s="177"/>
      <c r="F16" s="178"/>
      <c r="G16" s="54">
        <v>6.085</v>
      </c>
      <c r="H16" s="58"/>
      <c r="I16" s="6"/>
    </row>
    <row r="17" spans="1:9" x14ac:dyDescent="0.25">
      <c r="A17" s="4" t="s">
        <v>10</v>
      </c>
      <c r="B17" s="13" t="s">
        <v>498</v>
      </c>
      <c r="C17" s="13" t="s">
        <v>175</v>
      </c>
      <c r="D17" s="148" t="s">
        <v>355</v>
      </c>
      <c r="E17" s="149"/>
      <c r="F17" s="13" t="s">
        <v>469</v>
      </c>
      <c r="G17" s="80">
        <v>146.04</v>
      </c>
      <c r="H17" s="59">
        <v>0</v>
      </c>
      <c r="I17" s="6"/>
    </row>
    <row r="18" spans="1:9" ht="12.15" customHeight="1" x14ac:dyDescent="0.25">
      <c r="A18" s="6"/>
      <c r="D18" s="52" t="s">
        <v>537</v>
      </c>
      <c r="E18" s="177"/>
      <c r="F18" s="178"/>
      <c r="G18" s="54">
        <v>146.04</v>
      </c>
      <c r="H18" s="58"/>
      <c r="I18" s="6"/>
    </row>
    <row r="19" spans="1:9" x14ac:dyDescent="0.25">
      <c r="A19" s="4" t="s">
        <v>11</v>
      </c>
      <c r="B19" s="13" t="s">
        <v>498</v>
      </c>
      <c r="C19" s="13" t="s">
        <v>176</v>
      </c>
      <c r="D19" s="148" t="s">
        <v>356</v>
      </c>
      <c r="E19" s="149"/>
      <c r="F19" s="13" t="s">
        <v>469</v>
      </c>
      <c r="G19" s="80">
        <v>6.085</v>
      </c>
      <c r="H19" s="59">
        <v>0</v>
      </c>
      <c r="I19" s="6"/>
    </row>
    <row r="20" spans="1:9" ht="12.15" customHeight="1" x14ac:dyDescent="0.25">
      <c r="A20" s="6"/>
      <c r="D20" s="52" t="s">
        <v>536</v>
      </c>
      <c r="E20" s="177"/>
      <c r="F20" s="178"/>
      <c r="G20" s="54">
        <v>6.085</v>
      </c>
      <c r="H20" s="58"/>
      <c r="I20" s="6"/>
    </row>
    <row r="21" spans="1:9" x14ac:dyDescent="0.25">
      <c r="A21" s="4" t="s">
        <v>12</v>
      </c>
      <c r="B21" s="13" t="s">
        <v>498</v>
      </c>
      <c r="C21" s="13" t="s">
        <v>177</v>
      </c>
      <c r="D21" s="148" t="s">
        <v>357</v>
      </c>
      <c r="E21" s="149"/>
      <c r="F21" s="13" t="s">
        <v>469</v>
      </c>
      <c r="G21" s="80">
        <v>36.51</v>
      </c>
      <c r="H21" s="59">
        <v>0</v>
      </c>
      <c r="I21" s="6"/>
    </row>
    <row r="22" spans="1:9" ht="12.15" customHeight="1" x14ac:dyDescent="0.25">
      <c r="A22" s="6"/>
      <c r="D22" s="52" t="s">
        <v>538</v>
      </c>
      <c r="E22" s="177"/>
      <c r="F22" s="178"/>
      <c r="G22" s="54">
        <v>36.51</v>
      </c>
      <c r="H22" s="58"/>
      <c r="I22" s="6"/>
    </row>
    <row r="23" spans="1:9" x14ac:dyDescent="0.25">
      <c r="A23" s="4" t="s">
        <v>13</v>
      </c>
      <c r="B23" s="13" t="s">
        <v>498</v>
      </c>
      <c r="C23" s="13" t="s">
        <v>178</v>
      </c>
      <c r="D23" s="148" t="s">
        <v>358</v>
      </c>
      <c r="E23" s="149"/>
      <c r="F23" s="13" t="s">
        <v>469</v>
      </c>
      <c r="G23" s="80">
        <v>6.085</v>
      </c>
      <c r="H23" s="59">
        <v>0</v>
      </c>
      <c r="I23" s="6"/>
    </row>
    <row r="24" spans="1:9" ht="12.15" customHeight="1" x14ac:dyDescent="0.25">
      <c r="A24" s="6"/>
      <c r="D24" s="52" t="s">
        <v>536</v>
      </c>
      <c r="E24" s="177"/>
      <c r="F24" s="178"/>
      <c r="G24" s="54">
        <v>6.085</v>
      </c>
      <c r="H24" s="58"/>
      <c r="I24" s="6"/>
    </row>
    <row r="25" spans="1:9" x14ac:dyDescent="0.25">
      <c r="A25" s="4" t="s">
        <v>14</v>
      </c>
      <c r="B25" s="13" t="s">
        <v>498</v>
      </c>
      <c r="C25" s="13" t="s">
        <v>179</v>
      </c>
      <c r="D25" s="148" t="s">
        <v>359</v>
      </c>
      <c r="E25" s="149"/>
      <c r="F25" s="13" t="s">
        <v>469</v>
      </c>
      <c r="G25" s="80">
        <v>6.085</v>
      </c>
      <c r="H25" s="59">
        <v>0</v>
      </c>
      <c r="I25" s="6"/>
    </row>
    <row r="26" spans="1:9" ht="12.15" customHeight="1" x14ac:dyDescent="0.25">
      <c r="A26" s="6"/>
      <c r="D26" s="52" t="s">
        <v>536</v>
      </c>
      <c r="E26" s="177"/>
      <c r="F26" s="178"/>
      <c r="G26" s="54">
        <v>6.085</v>
      </c>
      <c r="H26" s="58"/>
      <c r="I26" s="6"/>
    </row>
    <row r="27" spans="1:9" x14ac:dyDescent="0.25">
      <c r="A27" s="4" t="s">
        <v>15</v>
      </c>
      <c r="B27" s="13" t="s">
        <v>498</v>
      </c>
      <c r="C27" s="13" t="s">
        <v>180</v>
      </c>
      <c r="D27" s="148" t="s">
        <v>360</v>
      </c>
      <c r="E27" s="149"/>
      <c r="F27" s="13" t="s">
        <v>469</v>
      </c>
      <c r="G27" s="80">
        <v>0.76</v>
      </c>
      <c r="H27" s="59">
        <v>0</v>
      </c>
      <c r="I27" s="6"/>
    </row>
    <row r="28" spans="1:9" ht="12.15" customHeight="1" x14ac:dyDescent="0.25">
      <c r="A28" s="6"/>
      <c r="D28" s="52" t="s">
        <v>539</v>
      </c>
      <c r="E28" s="177"/>
      <c r="F28" s="178"/>
      <c r="G28" s="54">
        <v>0.76</v>
      </c>
      <c r="H28" s="58"/>
      <c r="I28" s="6"/>
    </row>
    <row r="29" spans="1:9" x14ac:dyDescent="0.25">
      <c r="A29" s="4" t="s">
        <v>16</v>
      </c>
      <c r="B29" s="13" t="s">
        <v>498</v>
      </c>
      <c r="C29" s="13" t="s">
        <v>181</v>
      </c>
      <c r="D29" s="148" t="s">
        <v>361</v>
      </c>
      <c r="E29" s="149"/>
      <c r="F29" s="13" t="s">
        <v>469</v>
      </c>
      <c r="G29" s="80">
        <v>4.109</v>
      </c>
      <c r="H29" s="59">
        <v>0</v>
      </c>
      <c r="I29" s="6"/>
    </row>
    <row r="30" spans="1:9" ht="12.15" customHeight="1" x14ac:dyDescent="0.25">
      <c r="A30" s="6"/>
      <c r="D30" s="52" t="s">
        <v>540</v>
      </c>
      <c r="E30" s="177"/>
      <c r="F30" s="178"/>
      <c r="G30" s="54">
        <v>4.109</v>
      </c>
      <c r="H30" s="58"/>
      <c r="I30" s="6"/>
    </row>
    <row r="31" spans="1:9" x14ac:dyDescent="0.25">
      <c r="A31" s="4" t="s">
        <v>17</v>
      </c>
      <c r="B31" s="13" t="s">
        <v>498</v>
      </c>
      <c r="C31" s="13" t="s">
        <v>182</v>
      </c>
      <c r="D31" s="148" t="s">
        <v>362</v>
      </c>
      <c r="E31" s="149"/>
      <c r="F31" s="13" t="s">
        <v>469</v>
      </c>
      <c r="G31" s="80">
        <v>1.216</v>
      </c>
      <c r="H31" s="59">
        <v>0</v>
      </c>
      <c r="I31" s="6"/>
    </row>
    <row r="32" spans="1:9" ht="12.15" customHeight="1" x14ac:dyDescent="0.25">
      <c r="A32" s="6"/>
      <c r="D32" s="52" t="s">
        <v>541</v>
      </c>
      <c r="E32" s="177"/>
      <c r="F32" s="178"/>
      <c r="G32" s="54">
        <v>1.216</v>
      </c>
      <c r="H32" s="58"/>
      <c r="I32" s="6"/>
    </row>
    <row r="33" spans="1:9" x14ac:dyDescent="0.25">
      <c r="A33" s="4" t="s">
        <v>18</v>
      </c>
      <c r="B33" s="13" t="s">
        <v>498</v>
      </c>
      <c r="C33" s="13" t="s">
        <v>184</v>
      </c>
      <c r="D33" s="148" t="s">
        <v>364</v>
      </c>
      <c r="E33" s="149"/>
      <c r="F33" s="13" t="s">
        <v>470</v>
      </c>
      <c r="G33" s="80">
        <v>2054.2620000000002</v>
      </c>
      <c r="H33" s="59">
        <v>0</v>
      </c>
      <c r="I33" s="6"/>
    </row>
    <row r="34" spans="1:9" ht="12.15" customHeight="1" x14ac:dyDescent="0.25">
      <c r="A34" s="6"/>
      <c r="D34" s="52" t="s">
        <v>542</v>
      </c>
      <c r="E34" s="177"/>
      <c r="F34" s="178"/>
      <c r="G34" s="54">
        <v>1581.7529999999999</v>
      </c>
      <c r="H34" s="58"/>
      <c r="I34" s="6"/>
    </row>
    <row r="35" spans="1:9" ht="12.15" customHeight="1" x14ac:dyDescent="0.25">
      <c r="A35" s="4"/>
      <c r="B35" s="13"/>
      <c r="C35" s="13"/>
      <c r="D35" s="52" t="s">
        <v>543</v>
      </c>
      <c r="E35" s="177"/>
      <c r="F35" s="177"/>
      <c r="G35" s="81">
        <v>362.601</v>
      </c>
      <c r="H35" s="31"/>
      <c r="I35" s="6"/>
    </row>
    <row r="36" spans="1:9" ht="12.15" customHeight="1" x14ac:dyDescent="0.25">
      <c r="A36" s="4"/>
      <c r="B36" s="13"/>
      <c r="C36" s="13"/>
      <c r="D36" s="52" t="s">
        <v>544</v>
      </c>
      <c r="E36" s="177"/>
      <c r="F36" s="177"/>
      <c r="G36" s="81">
        <v>86.816000000000003</v>
      </c>
      <c r="H36" s="31"/>
      <c r="I36" s="6"/>
    </row>
    <row r="37" spans="1:9" ht="12.15" customHeight="1" x14ac:dyDescent="0.25">
      <c r="A37" s="4"/>
      <c r="B37" s="13"/>
      <c r="C37" s="13"/>
      <c r="D37" s="52" t="s">
        <v>545</v>
      </c>
      <c r="E37" s="177"/>
      <c r="F37" s="177"/>
      <c r="G37" s="81">
        <v>23.091999999999999</v>
      </c>
      <c r="H37" s="31"/>
      <c r="I37" s="6"/>
    </row>
    <row r="38" spans="1:9" x14ac:dyDescent="0.25">
      <c r="A38" s="4" t="s">
        <v>19</v>
      </c>
      <c r="B38" s="13" t="s">
        <v>498</v>
      </c>
      <c r="C38" s="13" t="s">
        <v>185</v>
      </c>
      <c r="D38" s="148" t="s">
        <v>365</v>
      </c>
      <c r="E38" s="149"/>
      <c r="F38" s="13" t="s">
        <v>471</v>
      </c>
      <c r="G38" s="80">
        <v>27</v>
      </c>
      <c r="H38" s="59">
        <v>0</v>
      </c>
      <c r="I38" s="6"/>
    </row>
    <row r="39" spans="1:9" ht="12.15" customHeight="1" x14ac:dyDescent="0.25">
      <c r="A39" s="6"/>
      <c r="D39" s="52" t="s">
        <v>33</v>
      </c>
      <c r="E39" s="177"/>
      <c r="F39" s="178"/>
      <c r="G39" s="54">
        <v>27</v>
      </c>
      <c r="H39" s="58"/>
      <c r="I39" s="6"/>
    </row>
    <row r="40" spans="1:9" x14ac:dyDescent="0.25">
      <c r="A40" s="4" t="s">
        <v>20</v>
      </c>
      <c r="B40" s="13" t="s">
        <v>498</v>
      </c>
      <c r="C40" s="13" t="s">
        <v>186</v>
      </c>
      <c r="D40" s="148" t="s">
        <v>366</v>
      </c>
      <c r="E40" s="149"/>
      <c r="F40" s="13" t="s">
        <v>471</v>
      </c>
      <c r="G40" s="80">
        <v>8</v>
      </c>
      <c r="H40" s="59">
        <v>0</v>
      </c>
      <c r="I40" s="6"/>
    </row>
    <row r="41" spans="1:9" ht="12.15" customHeight="1" x14ac:dyDescent="0.25">
      <c r="A41" s="6"/>
      <c r="D41" s="52" t="s">
        <v>546</v>
      </c>
      <c r="E41" s="177"/>
      <c r="F41" s="178"/>
      <c r="G41" s="54">
        <v>8</v>
      </c>
      <c r="H41" s="58"/>
      <c r="I41" s="6"/>
    </row>
    <row r="42" spans="1:9" x14ac:dyDescent="0.25">
      <c r="A42" s="4" t="s">
        <v>21</v>
      </c>
      <c r="B42" s="13" t="s">
        <v>498</v>
      </c>
      <c r="C42" s="13" t="s">
        <v>187</v>
      </c>
      <c r="D42" s="148" t="s">
        <v>367</v>
      </c>
      <c r="E42" s="149"/>
      <c r="F42" s="13" t="s">
        <v>470</v>
      </c>
      <c r="G42" s="80">
        <v>1944.354</v>
      </c>
      <c r="H42" s="59">
        <v>0</v>
      </c>
      <c r="I42" s="6"/>
    </row>
    <row r="43" spans="1:9" ht="12.15" customHeight="1" x14ac:dyDescent="0.25">
      <c r="A43" s="6"/>
      <c r="D43" s="52" t="s">
        <v>542</v>
      </c>
      <c r="E43" s="177"/>
      <c r="F43" s="178"/>
      <c r="G43" s="54">
        <v>1581.7529999999999</v>
      </c>
      <c r="H43" s="58"/>
      <c r="I43" s="6"/>
    </row>
    <row r="44" spans="1:9" ht="12.15" customHeight="1" x14ac:dyDescent="0.25">
      <c r="A44" s="4"/>
      <c r="B44" s="13"/>
      <c r="C44" s="13"/>
      <c r="D44" s="52" t="s">
        <v>543</v>
      </c>
      <c r="E44" s="177"/>
      <c r="F44" s="177"/>
      <c r="G44" s="81">
        <v>362.601</v>
      </c>
      <c r="H44" s="31"/>
      <c r="I44" s="6"/>
    </row>
    <row r="45" spans="1:9" x14ac:dyDescent="0.25">
      <c r="A45" s="5" t="s">
        <v>22</v>
      </c>
      <c r="B45" s="14" t="s">
        <v>498</v>
      </c>
      <c r="C45" s="14" t="s">
        <v>188</v>
      </c>
      <c r="D45" s="160" t="s">
        <v>368</v>
      </c>
      <c r="E45" s="161"/>
      <c r="F45" s="14" t="s">
        <v>470</v>
      </c>
      <c r="G45" s="82">
        <v>2138.7890000000002</v>
      </c>
      <c r="H45" s="60">
        <v>0</v>
      </c>
      <c r="I45" s="6"/>
    </row>
    <row r="46" spans="1:9" ht="12.15" customHeight="1" x14ac:dyDescent="0.25">
      <c r="A46" s="6"/>
      <c r="D46" s="52" t="s">
        <v>547</v>
      </c>
      <c r="E46" s="177"/>
      <c r="F46" s="178"/>
      <c r="G46" s="55">
        <v>1944.354</v>
      </c>
      <c r="H46" s="58"/>
      <c r="I46" s="6"/>
    </row>
    <row r="47" spans="1:9" ht="12.15" customHeight="1" x14ac:dyDescent="0.25">
      <c r="A47" s="5"/>
      <c r="B47" s="14"/>
      <c r="C47" s="14"/>
      <c r="D47" s="52" t="s">
        <v>548</v>
      </c>
      <c r="E47" s="177"/>
      <c r="F47" s="177"/>
      <c r="G47" s="83">
        <v>194.435</v>
      </c>
      <c r="H47" s="32"/>
      <c r="I47" s="6"/>
    </row>
    <row r="48" spans="1:9" x14ac:dyDescent="0.25">
      <c r="A48" s="4" t="s">
        <v>23</v>
      </c>
      <c r="B48" s="13" t="s">
        <v>498</v>
      </c>
      <c r="C48" s="13" t="s">
        <v>189</v>
      </c>
      <c r="D48" s="148" t="s">
        <v>369</v>
      </c>
      <c r="E48" s="149"/>
      <c r="F48" s="13" t="s">
        <v>471</v>
      </c>
      <c r="G48" s="80">
        <v>5</v>
      </c>
      <c r="H48" s="59">
        <v>0</v>
      </c>
      <c r="I48" s="6"/>
    </row>
    <row r="49" spans="1:9" ht="12.15" customHeight="1" x14ac:dyDescent="0.25">
      <c r="A49" s="6"/>
      <c r="D49" s="52" t="s">
        <v>11</v>
      </c>
      <c r="E49" s="177"/>
      <c r="F49" s="178"/>
      <c r="G49" s="54">
        <v>5</v>
      </c>
      <c r="H49" s="58"/>
      <c r="I49" s="6"/>
    </row>
    <row r="50" spans="1:9" x14ac:dyDescent="0.25">
      <c r="A50" s="4" t="s">
        <v>24</v>
      </c>
      <c r="B50" s="13" t="s">
        <v>498</v>
      </c>
      <c r="C50" s="13" t="s">
        <v>190</v>
      </c>
      <c r="D50" s="148" t="s">
        <v>370</v>
      </c>
      <c r="E50" s="149"/>
      <c r="F50" s="13" t="s">
        <v>470</v>
      </c>
      <c r="G50" s="80">
        <v>273.54199999999997</v>
      </c>
      <c r="H50" s="59">
        <v>0</v>
      </c>
      <c r="I50" s="6"/>
    </row>
    <row r="51" spans="1:9" ht="12.15" customHeight="1" x14ac:dyDescent="0.25">
      <c r="A51" s="6"/>
      <c r="D51" s="52" t="s">
        <v>549</v>
      </c>
      <c r="E51" s="177"/>
      <c r="F51" s="178"/>
      <c r="G51" s="54">
        <v>220.82499999999999</v>
      </c>
      <c r="H51" s="58"/>
      <c r="I51" s="6"/>
    </row>
    <row r="52" spans="1:9" ht="12.15" customHeight="1" x14ac:dyDescent="0.25">
      <c r="A52" s="4"/>
      <c r="B52" s="13"/>
      <c r="C52" s="13"/>
      <c r="D52" s="52" t="s">
        <v>550</v>
      </c>
      <c r="E52" s="177"/>
      <c r="F52" s="177"/>
      <c r="G52" s="81">
        <v>52.716999999999999</v>
      </c>
      <c r="H52" s="31"/>
      <c r="I52" s="6"/>
    </row>
    <row r="53" spans="1:9" x14ac:dyDescent="0.25">
      <c r="A53" s="5" t="s">
        <v>25</v>
      </c>
      <c r="B53" s="14" t="s">
        <v>498</v>
      </c>
      <c r="C53" s="14" t="s">
        <v>188</v>
      </c>
      <c r="D53" s="160" t="s">
        <v>368</v>
      </c>
      <c r="E53" s="161"/>
      <c r="F53" s="14" t="s">
        <v>470</v>
      </c>
      <c r="G53" s="82">
        <v>314.57299999999998</v>
      </c>
      <c r="H53" s="60">
        <v>0</v>
      </c>
      <c r="I53" s="6"/>
    </row>
    <row r="54" spans="1:9" ht="12.15" customHeight="1" x14ac:dyDescent="0.25">
      <c r="A54" s="6"/>
      <c r="D54" s="52" t="s">
        <v>551</v>
      </c>
      <c r="E54" s="177"/>
      <c r="F54" s="178"/>
      <c r="G54" s="55">
        <v>273.54199999999997</v>
      </c>
      <c r="H54" s="58"/>
      <c r="I54" s="6"/>
    </row>
    <row r="55" spans="1:9" ht="12.15" customHeight="1" x14ac:dyDescent="0.25">
      <c r="A55" s="5"/>
      <c r="B55" s="14"/>
      <c r="C55" s="14"/>
      <c r="D55" s="52" t="s">
        <v>552</v>
      </c>
      <c r="E55" s="177"/>
      <c r="F55" s="177"/>
      <c r="G55" s="83">
        <v>41.030999999999999</v>
      </c>
      <c r="H55" s="32"/>
      <c r="I55" s="6"/>
    </row>
    <row r="56" spans="1:9" x14ac:dyDescent="0.25">
      <c r="A56" s="4" t="s">
        <v>26</v>
      </c>
      <c r="B56" s="13" t="s">
        <v>498</v>
      </c>
      <c r="C56" s="13" t="s">
        <v>191</v>
      </c>
      <c r="D56" s="148" t="s">
        <v>371</v>
      </c>
      <c r="E56" s="149"/>
      <c r="F56" s="13" t="s">
        <v>469</v>
      </c>
      <c r="G56" s="80">
        <v>19.125</v>
      </c>
      <c r="H56" s="59">
        <v>0</v>
      </c>
      <c r="I56" s="6"/>
    </row>
    <row r="57" spans="1:9" ht="12.15" customHeight="1" x14ac:dyDescent="0.25">
      <c r="A57" s="6"/>
      <c r="D57" s="52" t="s">
        <v>553</v>
      </c>
      <c r="E57" s="177"/>
      <c r="F57" s="178"/>
      <c r="G57" s="54">
        <v>19.125</v>
      </c>
      <c r="H57" s="58"/>
      <c r="I57" s="6"/>
    </row>
    <row r="58" spans="1:9" x14ac:dyDescent="0.25">
      <c r="A58" s="4" t="s">
        <v>27</v>
      </c>
      <c r="B58" s="13" t="s">
        <v>498</v>
      </c>
      <c r="C58" s="13" t="s">
        <v>193</v>
      </c>
      <c r="D58" s="148" t="s">
        <v>373</v>
      </c>
      <c r="E58" s="149"/>
      <c r="F58" s="13" t="s">
        <v>470</v>
      </c>
      <c r="G58" s="80">
        <v>121.6</v>
      </c>
      <c r="H58" s="59">
        <v>0</v>
      </c>
      <c r="I58" s="6"/>
    </row>
    <row r="59" spans="1:9" ht="12.15" customHeight="1" x14ac:dyDescent="0.25">
      <c r="A59" s="6"/>
      <c r="D59" s="52" t="s">
        <v>554</v>
      </c>
      <c r="E59" s="177"/>
      <c r="F59" s="178"/>
      <c r="G59" s="54">
        <v>121.6</v>
      </c>
      <c r="H59" s="58"/>
      <c r="I59" s="6"/>
    </row>
    <row r="60" spans="1:9" x14ac:dyDescent="0.25">
      <c r="A60" s="4" t="s">
        <v>28</v>
      </c>
      <c r="B60" s="13" t="s">
        <v>498</v>
      </c>
      <c r="C60" s="13" t="s">
        <v>194</v>
      </c>
      <c r="D60" s="148" t="s">
        <v>374</v>
      </c>
      <c r="E60" s="149"/>
      <c r="F60" s="13" t="s">
        <v>470</v>
      </c>
      <c r="G60" s="80">
        <v>121.6</v>
      </c>
      <c r="H60" s="59">
        <v>0</v>
      </c>
      <c r="I60" s="6"/>
    </row>
    <row r="61" spans="1:9" ht="12.15" customHeight="1" x14ac:dyDescent="0.25">
      <c r="A61" s="6"/>
      <c r="D61" s="52" t="s">
        <v>555</v>
      </c>
      <c r="E61" s="177"/>
      <c r="F61" s="178"/>
      <c r="G61" s="54">
        <v>121.6</v>
      </c>
      <c r="H61" s="58"/>
      <c r="I61" s="6"/>
    </row>
    <row r="62" spans="1:9" x14ac:dyDescent="0.25">
      <c r="A62" s="4" t="s">
        <v>29</v>
      </c>
      <c r="B62" s="13" t="s">
        <v>498</v>
      </c>
      <c r="C62" s="13" t="s">
        <v>195</v>
      </c>
      <c r="D62" s="148" t="s">
        <v>375</v>
      </c>
      <c r="E62" s="149"/>
      <c r="F62" s="13" t="s">
        <v>470</v>
      </c>
      <c r="G62" s="80">
        <v>121.6</v>
      </c>
      <c r="H62" s="59">
        <v>0</v>
      </c>
      <c r="I62" s="6"/>
    </row>
    <row r="63" spans="1:9" ht="12.15" customHeight="1" x14ac:dyDescent="0.25">
      <c r="A63" s="6"/>
      <c r="D63" s="52" t="s">
        <v>555</v>
      </c>
      <c r="E63" s="177"/>
      <c r="F63" s="178"/>
      <c r="G63" s="54">
        <v>121.6</v>
      </c>
      <c r="H63" s="58"/>
      <c r="I63" s="6"/>
    </row>
    <row r="64" spans="1:9" x14ac:dyDescent="0.25">
      <c r="A64" s="4" t="s">
        <v>30</v>
      </c>
      <c r="B64" s="13" t="s">
        <v>498</v>
      </c>
      <c r="C64" s="13" t="s">
        <v>196</v>
      </c>
      <c r="D64" s="148" t="s">
        <v>376</v>
      </c>
      <c r="E64" s="149"/>
      <c r="F64" s="13" t="s">
        <v>469</v>
      </c>
      <c r="G64" s="80">
        <v>2.952</v>
      </c>
      <c r="H64" s="59">
        <v>0</v>
      </c>
      <c r="I64" s="6"/>
    </row>
    <row r="65" spans="1:9" ht="12.15" customHeight="1" x14ac:dyDescent="0.25">
      <c r="A65" s="6"/>
      <c r="D65" s="52" t="s">
        <v>556</v>
      </c>
      <c r="E65" s="177"/>
      <c r="F65" s="178"/>
      <c r="G65" s="54">
        <v>2.952</v>
      </c>
      <c r="H65" s="58"/>
      <c r="I65" s="6"/>
    </row>
    <row r="66" spans="1:9" x14ac:dyDescent="0.25">
      <c r="A66" s="4" t="s">
        <v>31</v>
      </c>
      <c r="B66" s="13" t="s">
        <v>498</v>
      </c>
      <c r="C66" s="13" t="s">
        <v>198</v>
      </c>
      <c r="D66" s="148" t="s">
        <v>378</v>
      </c>
      <c r="E66" s="149"/>
      <c r="F66" s="13" t="s">
        <v>472</v>
      </c>
      <c r="G66" s="80">
        <v>304</v>
      </c>
      <c r="H66" s="59">
        <v>0</v>
      </c>
      <c r="I66" s="6"/>
    </row>
    <row r="67" spans="1:9" ht="12.15" customHeight="1" x14ac:dyDescent="0.25">
      <c r="A67" s="6"/>
      <c r="D67" s="52" t="s">
        <v>557</v>
      </c>
      <c r="E67" s="177"/>
      <c r="F67" s="178"/>
      <c r="G67" s="54">
        <v>304</v>
      </c>
      <c r="H67" s="58"/>
      <c r="I67" s="6"/>
    </row>
    <row r="68" spans="1:9" x14ac:dyDescent="0.25">
      <c r="A68" s="4" t="s">
        <v>32</v>
      </c>
      <c r="B68" s="13" t="s">
        <v>498</v>
      </c>
      <c r="C68" s="13" t="s">
        <v>199</v>
      </c>
      <c r="D68" s="148" t="s">
        <v>379</v>
      </c>
      <c r="E68" s="149"/>
      <c r="F68" s="13" t="s">
        <v>472</v>
      </c>
      <c r="G68" s="80">
        <v>304</v>
      </c>
      <c r="H68" s="59">
        <v>0</v>
      </c>
      <c r="I68" s="6"/>
    </row>
    <row r="69" spans="1:9" ht="12.15" customHeight="1" x14ac:dyDescent="0.25">
      <c r="A69" s="6"/>
      <c r="D69" s="52" t="s">
        <v>557</v>
      </c>
      <c r="E69" s="177"/>
      <c r="F69" s="178"/>
      <c r="G69" s="54">
        <v>304</v>
      </c>
      <c r="H69" s="58"/>
      <c r="I69" s="6"/>
    </row>
    <row r="70" spans="1:9" x14ac:dyDescent="0.25">
      <c r="A70" s="4" t="s">
        <v>33</v>
      </c>
      <c r="B70" s="13" t="s">
        <v>498</v>
      </c>
      <c r="C70" s="13" t="s">
        <v>200</v>
      </c>
      <c r="D70" s="148" t="s">
        <v>380</v>
      </c>
      <c r="E70" s="149"/>
      <c r="F70" s="13" t="s">
        <v>469</v>
      </c>
      <c r="G70" s="80">
        <v>1.988</v>
      </c>
      <c r="H70" s="59">
        <v>0</v>
      </c>
      <c r="I70" s="6"/>
    </row>
    <row r="71" spans="1:9" ht="12.15" customHeight="1" x14ac:dyDescent="0.25">
      <c r="A71" s="6"/>
      <c r="D71" s="52" t="s">
        <v>558</v>
      </c>
      <c r="E71" s="177"/>
      <c r="F71" s="178"/>
      <c r="G71" s="54">
        <v>1.988</v>
      </c>
      <c r="H71" s="58"/>
      <c r="I71" s="6"/>
    </row>
    <row r="72" spans="1:9" x14ac:dyDescent="0.25">
      <c r="A72" s="4" t="s">
        <v>34</v>
      </c>
      <c r="B72" s="13" t="s">
        <v>498</v>
      </c>
      <c r="C72" s="13" t="s">
        <v>202</v>
      </c>
      <c r="D72" s="148" t="s">
        <v>382</v>
      </c>
      <c r="E72" s="149"/>
      <c r="F72" s="13" t="s">
        <v>471</v>
      </c>
      <c r="G72" s="80">
        <v>1</v>
      </c>
      <c r="H72" s="59">
        <v>0</v>
      </c>
      <c r="I72" s="6"/>
    </row>
    <row r="73" spans="1:9" x14ac:dyDescent="0.25">
      <c r="A73" s="4" t="s">
        <v>35</v>
      </c>
      <c r="B73" s="13" t="s">
        <v>498</v>
      </c>
      <c r="C73" s="13" t="s">
        <v>203</v>
      </c>
      <c r="D73" s="148" t="s">
        <v>383</v>
      </c>
      <c r="E73" s="149"/>
      <c r="F73" s="13" t="s">
        <v>471</v>
      </c>
      <c r="G73" s="80">
        <v>2</v>
      </c>
      <c r="H73" s="59">
        <v>0</v>
      </c>
      <c r="I73" s="6"/>
    </row>
    <row r="74" spans="1:9" x14ac:dyDescent="0.25">
      <c r="A74" s="4" t="s">
        <v>36</v>
      </c>
      <c r="B74" s="13" t="s">
        <v>498</v>
      </c>
      <c r="C74" s="13" t="s">
        <v>204</v>
      </c>
      <c r="D74" s="148" t="s">
        <v>384</v>
      </c>
      <c r="E74" s="149"/>
      <c r="F74" s="13" t="s">
        <v>471</v>
      </c>
      <c r="G74" s="80">
        <v>2</v>
      </c>
      <c r="H74" s="59">
        <v>0</v>
      </c>
      <c r="I74" s="6"/>
    </row>
    <row r="75" spans="1:9" x14ac:dyDescent="0.25">
      <c r="A75" s="4" t="s">
        <v>37</v>
      </c>
      <c r="B75" s="13" t="s">
        <v>498</v>
      </c>
      <c r="C75" s="13" t="s">
        <v>205</v>
      </c>
      <c r="D75" s="148" t="s">
        <v>385</v>
      </c>
      <c r="E75" s="149"/>
      <c r="F75" s="13" t="s">
        <v>471</v>
      </c>
      <c r="G75" s="80">
        <v>1</v>
      </c>
      <c r="H75" s="59">
        <v>0</v>
      </c>
      <c r="I75" s="6"/>
    </row>
    <row r="76" spans="1:9" x14ac:dyDescent="0.25">
      <c r="A76" s="4" t="s">
        <v>38</v>
      </c>
      <c r="B76" s="13" t="s">
        <v>498</v>
      </c>
      <c r="C76" s="13" t="s">
        <v>206</v>
      </c>
      <c r="D76" s="148" t="s">
        <v>386</v>
      </c>
      <c r="E76" s="149"/>
      <c r="F76" s="13" t="s">
        <v>471</v>
      </c>
      <c r="G76" s="80">
        <v>3</v>
      </c>
      <c r="H76" s="59">
        <v>0</v>
      </c>
      <c r="I76" s="6"/>
    </row>
    <row r="77" spans="1:9" x14ac:dyDescent="0.25">
      <c r="A77" s="4" t="s">
        <v>39</v>
      </c>
      <c r="B77" s="13" t="s">
        <v>498</v>
      </c>
      <c r="C77" s="13" t="s">
        <v>207</v>
      </c>
      <c r="D77" s="148" t="s">
        <v>387</v>
      </c>
      <c r="E77" s="149"/>
      <c r="F77" s="13" t="s">
        <v>471</v>
      </c>
      <c r="G77" s="80">
        <v>1</v>
      </c>
      <c r="H77" s="59">
        <v>0</v>
      </c>
      <c r="I77" s="6"/>
    </row>
    <row r="78" spans="1:9" x14ac:dyDescent="0.25">
      <c r="A78" s="4" t="s">
        <v>40</v>
      </c>
      <c r="B78" s="13" t="s">
        <v>498</v>
      </c>
      <c r="C78" s="13" t="s">
        <v>208</v>
      </c>
      <c r="D78" s="148" t="s">
        <v>388</v>
      </c>
      <c r="E78" s="149"/>
      <c r="F78" s="13" t="s">
        <v>471</v>
      </c>
      <c r="G78" s="80">
        <v>3</v>
      </c>
      <c r="H78" s="59">
        <v>0</v>
      </c>
      <c r="I78" s="6"/>
    </row>
    <row r="79" spans="1:9" x14ac:dyDescent="0.25">
      <c r="A79" s="4" t="s">
        <v>41</v>
      </c>
      <c r="B79" s="13" t="s">
        <v>498</v>
      </c>
      <c r="C79" s="13" t="s">
        <v>209</v>
      </c>
      <c r="D79" s="148" t="s">
        <v>389</v>
      </c>
      <c r="E79" s="149"/>
      <c r="F79" s="13" t="s">
        <v>471</v>
      </c>
      <c r="G79" s="80">
        <v>1</v>
      </c>
      <c r="H79" s="59">
        <v>0</v>
      </c>
      <c r="I79" s="6"/>
    </row>
    <row r="80" spans="1:9" x14ac:dyDescent="0.25">
      <c r="A80" s="4" t="s">
        <v>42</v>
      </c>
      <c r="B80" s="13" t="s">
        <v>498</v>
      </c>
      <c r="C80" s="13" t="s">
        <v>210</v>
      </c>
      <c r="D80" s="148" t="s">
        <v>390</v>
      </c>
      <c r="E80" s="149"/>
      <c r="F80" s="13" t="s">
        <v>471</v>
      </c>
      <c r="G80" s="80">
        <v>1</v>
      </c>
      <c r="H80" s="59">
        <v>0</v>
      </c>
      <c r="I80" s="6"/>
    </row>
    <row r="81" spans="1:9" x14ac:dyDescent="0.25">
      <c r="A81" s="4" t="s">
        <v>43</v>
      </c>
      <c r="B81" s="13" t="s">
        <v>498</v>
      </c>
      <c r="C81" s="13" t="s">
        <v>211</v>
      </c>
      <c r="D81" s="148" t="s">
        <v>391</v>
      </c>
      <c r="E81" s="149"/>
      <c r="F81" s="13" t="s">
        <v>471</v>
      </c>
      <c r="G81" s="80">
        <v>1</v>
      </c>
      <c r="H81" s="59">
        <v>0</v>
      </c>
      <c r="I81" s="6"/>
    </row>
    <row r="82" spans="1:9" x14ac:dyDescent="0.25">
      <c r="A82" s="4" t="s">
        <v>44</v>
      </c>
      <c r="B82" s="13" t="s">
        <v>498</v>
      </c>
      <c r="C82" s="13" t="s">
        <v>212</v>
      </c>
      <c r="D82" s="148" t="s">
        <v>392</v>
      </c>
      <c r="E82" s="149"/>
      <c r="F82" s="13" t="s">
        <v>471</v>
      </c>
      <c r="G82" s="80">
        <v>1</v>
      </c>
      <c r="H82" s="59">
        <v>0</v>
      </c>
      <c r="I82" s="6"/>
    </row>
    <row r="83" spans="1:9" x14ac:dyDescent="0.25">
      <c r="A83" s="4" t="s">
        <v>45</v>
      </c>
      <c r="B83" s="13" t="s">
        <v>498</v>
      </c>
      <c r="C83" s="13" t="s">
        <v>213</v>
      </c>
      <c r="D83" s="148" t="s">
        <v>393</v>
      </c>
      <c r="E83" s="149"/>
      <c r="F83" s="13" t="s">
        <v>471</v>
      </c>
      <c r="G83" s="80">
        <v>9</v>
      </c>
      <c r="H83" s="59">
        <v>0</v>
      </c>
      <c r="I83" s="6"/>
    </row>
    <row r="84" spans="1:9" x14ac:dyDescent="0.25">
      <c r="A84" s="4" t="s">
        <v>46</v>
      </c>
      <c r="B84" s="13" t="s">
        <v>498</v>
      </c>
      <c r="C84" s="13" t="s">
        <v>214</v>
      </c>
      <c r="D84" s="148" t="s">
        <v>394</v>
      </c>
      <c r="E84" s="149"/>
      <c r="F84" s="13" t="s">
        <v>471</v>
      </c>
      <c r="G84" s="80">
        <v>6</v>
      </c>
      <c r="H84" s="59">
        <v>0</v>
      </c>
      <c r="I84" s="6"/>
    </row>
    <row r="85" spans="1:9" x14ac:dyDescent="0.25">
      <c r="A85" s="4" t="s">
        <v>47</v>
      </c>
      <c r="B85" s="13" t="s">
        <v>498</v>
      </c>
      <c r="C85" s="13" t="s">
        <v>215</v>
      </c>
      <c r="D85" s="148" t="s">
        <v>395</v>
      </c>
      <c r="E85" s="149"/>
      <c r="F85" s="13" t="s">
        <v>471</v>
      </c>
      <c r="G85" s="80">
        <v>2</v>
      </c>
      <c r="H85" s="59">
        <v>0</v>
      </c>
      <c r="I85" s="6"/>
    </row>
    <row r="86" spans="1:9" x14ac:dyDescent="0.25">
      <c r="A86" s="4" t="s">
        <v>48</v>
      </c>
      <c r="B86" s="13" t="s">
        <v>498</v>
      </c>
      <c r="C86" s="13" t="s">
        <v>216</v>
      </c>
      <c r="D86" s="148" t="s">
        <v>396</v>
      </c>
      <c r="E86" s="149"/>
      <c r="F86" s="13" t="s">
        <v>471</v>
      </c>
      <c r="G86" s="80">
        <v>6</v>
      </c>
      <c r="H86" s="59">
        <v>0</v>
      </c>
      <c r="I86" s="6"/>
    </row>
    <row r="87" spans="1:9" x14ac:dyDescent="0.25">
      <c r="A87" s="4" t="s">
        <v>49</v>
      </c>
      <c r="B87" s="13" t="s">
        <v>498</v>
      </c>
      <c r="C87" s="13" t="s">
        <v>217</v>
      </c>
      <c r="D87" s="148" t="s">
        <v>397</v>
      </c>
      <c r="E87" s="149"/>
      <c r="F87" s="13" t="s">
        <v>471</v>
      </c>
      <c r="G87" s="80">
        <v>1</v>
      </c>
      <c r="H87" s="59">
        <v>0</v>
      </c>
      <c r="I87" s="6"/>
    </row>
    <row r="88" spans="1:9" x14ac:dyDescent="0.25">
      <c r="A88" s="4" t="s">
        <v>50</v>
      </c>
      <c r="B88" s="13" t="s">
        <v>498</v>
      </c>
      <c r="C88" s="13" t="s">
        <v>218</v>
      </c>
      <c r="D88" s="148" t="s">
        <v>398</v>
      </c>
      <c r="E88" s="149"/>
      <c r="F88" s="13" t="s">
        <v>471</v>
      </c>
      <c r="G88" s="80">
        <v>4</v>
      </c>
      <c r="H88" s="59">
        <v>0</v>
      </c>
      <c r="I88" s="6"/>
    </row>
    <row r="89" spans="1:9" x14ac:dyDescent="0.25">
      <c r="A89" s="4" t="s">
        <v>51</v>
      </c>
      <c r="B89" s="13" t="s">
        <v>498</v>
      </c>
      <c r="C89" s="13" t="s">
        <v>219</v>
      </c>
      <c r="D89" s="148" t="s">
        <v>399</v>
      </c>
      <c r="E89" s="149"/>
      <c r="F89" s="13" t="s">
        <v>471</v>
      </c>
      <c r="G89" s="80">
        <v>1</v>
      </c>
      <c r="H89" s="59">
        <v>0</v>
      </c>
      <c r="I89" s="6"/>
    </row>
    <row r="90" spans="1:9" x14ac:dyDescent="0.25">
      <c r="A90" s="4" t="s">
        <v>52</v>
      </c>
      <c r="B90" s="13" t="s">
        <v>498</v>
      </c>
      <c r="C90" s="13" t="s">
        <v>220</v>
      </c>
      <c r="D90" s="148" t="s">
        <v>400</v>
      </c>
      <c r="E90" s="149"/>
      <c r="F90" s="13" t="s">
        <v>471</v>
      </c>
      <c r="G90" s="80">
        <v>1</v>
      </c>
      <c r="H90" s="59">
        <v>0</v>
      </c>
      <c r="I90" s="6"/>
    </row>
    <row r="91" spans="1:9" x14ac:dyDescent="0.25">
      <c r="A91" s="4" t="s">
        <v>53</v>
      </c>
      <c r="B91" s="13" t="s">
        <v>498</v>
      </c>
      <c r="C91" s="13" t="s">
        <v>221</v>
      </c>
      <c r="D91" s="148" t="s">
        <v>401</v>
      </c>
      <c r="E91" s="149"/>
      <c r="F91" s="13" t="s">
        <v>471</v>
      </c>
      <c r="G91" s="80">
        <v>1</v>
      </c>
      <c r="H91" s="59">
        <v>0</v>
      </c>
      <c r="I91" s="6"/>
    </row>
    <row r="92" spans="1:9" x14ac:dyDescent="0.25">
      <c r="A92" s="4" t="s">
        <v>54</v>
      </c>
      <c r="B92" s="13" t="s">
        <v>498</v>
      </c>
      <c r="C92" s="13" t="s">
        <v>222</v>
      </c>
      <c r="D92" s="148" t="s">
        <v>402</v>
      </c>
      <c r="E92" s="149"/>
      <c r="F92" s="13" t="s">
        <v>471</v>
      </c>
      <c r="G92" s="80">
        <v>4</v>
      </c>
      <c r="H92" s="59">
        <v>0</v>
      </c>
      <c r="I92" s="6"/>
    </row>
    <row r="93" spans="1:9" x14ac:dyDescent="0.25">
      <c r="A93" s="4" t="s">
        <v>55</v>
      </c>
      <c r="B93" s="13" t="s">
        <v>498</v>
      </c>
      <c r="C93" s="13" t="s">
        <v>223</v>
      </c>
      <c r="D93" s="148" t="s">
        <v>403</v>
      </c>
      <c r="E93" s="149"/>
      <c r="F93" s="13" t="s">
        <v>471</v>
      </c>
      <c r="G93" s="80">
        <v>1</v>
      </c>
      <c r="H93" s="59">
        <v>0</v>
      </c>
      <c r="I93" s="6"/>
    </row>
    <row r="94" spans="1:9" x14ac:dyDescent="0.25">
      <c r="A94" s="4" t="s">
        <v>56</v>
      </c>
      <c r="B94" s="13" t="s">
        <v>498</v>
      </c>
      <c r="C94" s="13" t="s">
        <v>224</v>
      </c>
      <c r="D94" s="148" t="s">
        <v>404</v>
      </c>
      <c r="E94" s="149"/>
      <c r="F94" s="13" t="s">
        <v>471</v>
      </c>
      <c r="G94" s="80">
        <v>1</v>
      </c>
      <c r="H94" s="59">
        <v>0</v>
      </c>
      <c r="I94" s="6"/>
    </row>
    <row r="95" spans="1:9" x14ac:dyDescent="0.25">
      <c r="A95" s="4" t="s">
        <v>57</v>
      </c>
      <c r="B95" s="13" t="s">
        <v>498</v>
      </c>
      <c r="C95" s="13" t="s">
        <v>225</v>
      </c>
      <c r="D95" s="148" t="s">
        <v>405</v>
      </c>
      <c r="E95" s="149"/>
      <c r="F95" s="13" t="s">
        <v>471</v>
      </c>
      <c r="G95" s="80">
        <v>1</v>
      </c>
      <c r="H95" s="59">
        <v>0</v>
      </c>
      <c r="I95" s="6"/>
    </row>
    <row r="96" spans="1:9" x14ac:dyDescent="0.25">
      <c r="A96" s="4" t="s">
        <v>58</v>
      </c>
      <c r="B96" s="13" t="s">
        <v>498</v>
      </c>
      <c r="C96" s="13" t="s">
        <v>226</v>
      </c>
      <c r="D96" s="148" t="s">
        <v>406</v>
      </c>
      <c r="E96" s="149"/>
      <c r="F96" s="13" t="s">
        <v>471</v>
      </c>
      <c r="G96" s="80">
        <v>3</v>
      </c>
      <c r="H96" s="59">
        <v>0</v>
      </c>
      <c r="I96" s="6"/>
    </row>
    <row r="97" spans="1:9" x14ac:dyDescent="0.25">
      <c r="A97" s="4" t="s">
        <v>59</v>
      </c>
      <c r="B97" s="13" t="s">
        <v>498</v>
      </c>
      <c r="C97" s="13" t="s">
        <v>227</v>
      </c>
      <c r="D97" s="148" t="s">
        <v>407</v>
      </c>
      <c r="E97" s="149"/>
      <c r="F97" s="13" t="s">
        <v>471</v>
      </c>
      <c r="G97" s="80">
        <v>3</v>
      </c>
      <c r="H97" s="59">
        <v>0</v>
      </c>
      <c r="I97" s="6"/>
    </row>
    <row r="98" spans="1:9" x14ac:dyDescent="0.25">
      <c r="A98" s="4" t="s">
        <v>60</v>
      </c>
      <c r="B98" s="13" t="s">
        <v>498</v>
      </c>
      <c r="C98" s="13" t="s">
        <v>228</v>
      </c>
      <c r="D98" s="148" t="s">
        <v>408</v>
      </c>
      <c r="E98" s="149"/>
      <c r="F98" s="13" t="s">
        <v>472</v>
      </c>
      <c r="G98" s="80">
        <v>9.5</v>
      </c>
      <c r="H98" s="59">
        <v>0</v>
      </c>
      <c r="I98" s="6"/>
    </row>
    <row r="99" spans="1:9" x14ac:dyDescent="0.25">
      <c r="A99" s="4" t="s">
        <v>61</v>
      </c>
      <c r="B99" s="13" t="s">
        <v>498</v>
      </c>
      <c r="C99" s="13" t="s">
        <v>229</v>
      </c>
      <c r="D99" s="148" t="s">
        <v>409</v>
      </c>
      <c r="E99" s="149"/>
      <c r="F99" s="13" t="s">
        <v>471</v>
      </c>
      <c r="G99" s="80">
        <v>60</v>
      </c>
      <c r="H99" s="59">
        <v>0</v>
      </c>
      <c r="I99" s="6"/>
    </row>
    <row r="100" spans="1:9" x14ac:dyDescent="0.25">
      <c r="A100" s="4" t="s">
        <v>62</v>
      </c>
      <c r="B100" s="13" t="s">
        <v>498</v>
      </c>
      <c r="C100" s="13" t="s">
        <v>230</v>
      </c>
      <c r="D100" s="148" t="s">
        <v>410</v>
      </c>
      <c r="E100" s="149"/>
      <c r="F100" s="13" t="s">
        <v>471</v>
      </c>
      <c r="G100" s="80">
        <v>18</v>
      </c>
      <c r="H100" s="59">
        <v>0</v>
      </c>
      <c r="I100" s="6"/>
    </row>
    <row r="101" spans="1:9" x14ac:dyDescent="0.25">
      <c r="A101" s="4" t="s">
        <v>63</v>
      </c>
      <c r="B101" s="13" t="s">
        <v>498</v>
      </c>
      <c r="C101" s="13" t="s">
        <v>231</v>
      </c>
      <c r="D101" s="148" t="s">
        <v>411</v>
      </c>
      <c r="E101" s="149"/>
      <c r="F101" s="13" t="s">
        <v>471</v>
      </c>
      <c r="G101" s="80">
        <v>12</v>
      </c>
      <c r="H101" s="59">
        <v>0</v>
      </c>
      <c r="I101" s="6"/>
    </row>
    <row r="102" spans="1:9" x14ac:dyDescent="0.25">
      <c r="A102" s="4" t="s">
        <v>64</v>
      </c>
      <c r="B102" s="13" t="s">
        <v>498</v>
      </c>
      <c r="C102" s="13" t="s">
        <v>232</v>
      </c>
      <c r="D102" s="148" t="s">
        <v>412</v>
      </c>
      <c r="E102" s="149"/>
      <c r="F102" s="13" t="s">
        <v>471</v>
      </c>
      <c r="G102" s="80">
        <v>1</v>
      </c>
      <c r="H102" s="59">
        <v>0</v>
      </c>
      <c r="I102" s="6"/>
    </row>
    <row r="103" spans="1:9" x14ac:dyDescent="0.25">
      <c r="A103" s="4" t="s">
        <v>65</v>
      </c>
      <c r="B103" s="13" t="s">
        <v>498</v>
      </c>
      <c r="C103" s="13" t="s">
        <v>233</v>
      </c>
      <c r="D103" s="148" t="s">
        <v>413</v>
      </c>
      <c r="E103" s="149"/>
      <c r="F103" s="13" t="s">
        <v>471</v>
      </c>
      <c r="G103" s="80">
        <v>225</v>
      </c>
      <c r="H103" s="59">
        <v>0</v>
      </c>
      <c r="I103" s="6"/>
    </row>
    <row r="104" spans="1:9" x14ac:dyDescent="0.25">
      <c r="A104" s="4" t="s">
        <v>66</v>
      </c>
      <c r="B104" s="13" t="s">
        <v>498</v>
      </c>
      <c r="C104" s="13" t="s">
        <v>234</v>
      </c>
      <c r="D104" s="148" t="s">
        <v>414</v>
      </c>
      <c r="E104" s="149"/>
      <c r="F104" s="13" t="s">
        <v>471</v>
      </c>
      <c r="G104" s="80">
        <v>1</v>
      </c>
      <c r="H104" s="59">
        <v>0</v>
      </c>
      <c r="I104" s="6"/>
    </row>
    <row r="105" spans="1:9" x14ac:dyDescent="0.25">
      <c r="A105" s="4" t="s">
        <v>67</v>
      </c>
      <c r="B105" s="13" t="s">
        <v>498</v>
      </c>
      <c r="C105" s="13" t="s">
        <v>235</v>
      </c>
      <c r="D105" s="148" t="s">
        <v>415</v>
      </c>
      <c r="E105" s="149"/>
      <c r="F105" s="13" t="s">
        <v>471</v>
      </c>
      <c r="G105" s="80">
        <v>1</v>
      </c>
      <c r="H105" s="59">
        <v>0</v>
      </c>
      <c r="I105" s="6"/>
    </row>
    <row r="106" spans="1:9" x14ac:dyDescent="0.25">
      <c r="A106" s="4" t="s">
        <v>68</v>
      </c>
      <c r="B106" s="13" t="s">
        <v>498</v>
      </c>
      <c r="C106" s="13" t="s">
        <v>236</v>
      </c>
      <c r="D106" s="148" t="s">
        <v>416</v>
      </c>
      <c r="E106" s="149"/>
      <c r="F106" s="13" t="s">
        <v>471</v>
      </c>
      <c r="G106" s="80">
        <v>1</v>
      </c>
      <c r="H106" s="59">
        <v>0</v>
      </c>
      <c r="I106" s="6"/>
    </row>
    <row r="107" spans="1:9" x14ac:dyDescent="0.25">
      <c r="A107" s="4" t="s">
        <v>69</v>
      </c>
      <c r="B107" s="13" t="s">
        <v>498</v>
      </c>
      <c r="C107" s="13" t="s">
        <v>238</v>
      </c>
      <c r="D107" s="148" t="s">
        <v>418</v>
      </c>
      <c r="E107" s="149"/>
      <c r="F107" s="13" t="s">
        <v>471</v>
      </c>
      <c r="G107" s="80">
        <v>1</v>
      </c>
      <c r="H107" s="59">
        <v>0</v>
      </c>
      <c r="I107" s="6"/>
    </row>
    <row r="108" spans="1:9" x14ac:dyDescent="0.25">
      <c r="A108" s="4" t="s">
        <v>70</v>
      </c>
      <c r="B108" s="13" t="s">
        <v>498</v>
      </c>
      <c r="C108" s="13" t="s">
        <v>239</v>
      </c>
      <c r="D108" s="148" t="s">
        <v>419</v>
      </c>
      <c r="E108" s="149"/>
      <c r="F108" s="13" t="s">
        <v>471</v>
      </c>
      <c r="G108" s="80">
        <v>1</v>
      </c>
      <c r="H108" s="59">
        <v>0</v>
      </c>
      <c r="I108" s="6"/>
    </row>
    <row r="109" spans="1:9" x14ac:dyDescent="0.25">
      <c r="A109" s="4" t="s">
        <v>71</v>
      </c>
      <c r="B109" s="13" t="s">
        <v>498</v>
      </c>
      <c r="C109" s="13" t="s">
        <v>240</v>
      </c>
      <c r="D109" s="148" t="s">
        <v>420</v>
      </c>
      <c r="E109" s="149"/>
      <c r="F109" s="13" t="s">
        <v>471</v>
      </c>
      <c r="G109" s="80">
        <v>1</v>
      </c>
      <c r="H109" s="59">
        <v>0</v>
      </c>
      <c r="I109" s="6"/>
    </row>
    <row r="110" spans="1:9" x14ac:dyDescent="0.25">
      <c r="A110" s="4" t="s">
        <v>72</v>
      </c>
      <c r="B110" s="13" t="s">
        <v>498</v>
      </c>
      <c r="C110" s="13" t="s">
        <v>241</v>
      </c>
      <c r="D110" s="148" t="s">
        <v>390</v>
      </c>
      <c r="E110" s="149"/>
      <c r="F110" s="13" t="s">
        <v>471</v>
      </c>
      <c r="G110" s="80">
        <v>1</v>
      </c>
      <c r="H110" s="59">
        <v>0</v>
      </c>
      <c r="I110" s="6"/>
    </row>
    <row r="111" spans="1:9" x14ac:dyDescent="0.25">
      <c r="A111" s="4" t="s">
        <v>73</v>
      </c>
      <c r="B111" s="13" t="s">
        <v>498</v>
      </c>
      <c r="C111" s="13" t="s">
        <v>242</v>
      </c>
      <c r="D111" s="148" t="s">
        <v>421</v>
      </c>
      <c r="E111" s="149"/>
      <c r="F111" s="13" t="s">
        <v>471</v>
      </c>
      <c r="G111" s="80">
        <v>19</v>
      </c>
      <c r="H111" s="59">
        <v>0</v>
      </c>
      <c r="I111" s="6"/>
    </row>
    <row r="112" spans="1:9" x14ac:dyDescent="0.25">
      <c r="A112" s="4" t="s">
        <v>74</v>
      </c>
      <c r="B112" s="13" t="s">
        <v>498</v>
      </c>
      <c r="C112" s="13" t="s">
        <v>243</v>
      </c>
      <c r="D112" s="148" t="s">
        <v>394</v>
      </c>
      <c r="E112" s="149"/>
      <c r="F112" s="13" t="s">
        <v>471</v>
      </c>
      <c r="G112" s="80">
        <v>15</v>
      </c>
      <c r="H112" s="59">
        <v>0</v>
      </c>
      <c r="I112" s="6"/>
    </row>
    <row r="113" spans="1:9" x14ac:dyDescent="0.25">
      <c r="A113" s="4" t="s">
        <v>75</v>
      </c>
      <c r="B113" s="13" t="s">
        <v>498</v>
      </c>
      <c r="C113" s="13" t="s">
        <v>244</v>
      </c>
      <c r="D113" s="148" t="s">
        <v>422</v>
      </c>
      <c r="E113" s="149"/>
      <c r="F113" s="13" t="s">
        <v>471</v>
      </c>
      <c r="G113" s="80">
        <v>1</v>
      </c>
      <c r="H113" s="59">
        <v>0</v>
      </c>
      <c r="I113" s="6"/>
    </row>
    <row r="114" spans="1:9" x14ac:dyDescent="0.25">
      <c r="A114" s="4" t="s">
        <v>76</v>
      </c>
      <c r="B114" s="13" t="s">
        <v>498</v>
      </c>
      <c r="C114" s="13" t="s">
        <v>245</v>
      </c>
      <c r="D114" s="148" t="s">
        <v>423</v>
      </c>
      <c r="E114" s="149"/>
      <c r="F114" s="13" t="s">
        <v>471</v>
      </c>
      <c r="G114" s="80">
        <v>3</v>
      </c>
      <c r="H114" s="59">
        <v>0</v>
      </c>
      <c r="I114" s="6"/>
    </row>
    <row r="115" spans="1:9" x14ac:dyDescent="0.25">
      <c r="A115" s="4" t="s">
        <v>77</v>
      </c>
      <c r="B115" s="13" t="s">
        <v>498</v>
      </c>
      <c r="C115" s="13" t="s">
        <v>246</v>
      </c>
      <c r="D115" s="148" t="s">
        <v>402</v>
      </c>
      <c r="E115" s="149"/>
      <c r="F115" s="13" t="s">
        <v>471</v>
      </c>
      <c r="G115" s="80">
        <v>2</v>
      </c>
      <c r="H115" s="59">
        <v>0</v>
      </c>
      <c r="I115" s="6"/>
    </row>
    <row r="116" spans="1:9" x14ac:dyDescent="0.25">
      <c r="A116" s="4" t="s">
        <v>78</v>
      </c>
      <c r="B116" s="13" t="s">
        <v>498</v>
      </c>
      <c r="C116" s="13" t="s">
        <v>247</v>
      </c>
      <c r="D116" s="148" t="s">
        <v>407</v>
      </c>
      <c r="E116" s="149"/>
      <c r="F116" s="13" t="s">
        <v>471</v>
      </c>
      <c r="G116" s="80">
        <v>1</v>
      </c>
      <c r="H116" s="59">
        <v>0</v>
      </c>
      <c r="I116" s="6"/>
    </row>
    <row r="117" spans="1:9" x14ac:dyDescent="0.25">
      <c r="A117" s="4" t="s">
        <v>79</v>
      </c>
      <c r="B117" s="13" t="s">
        <v>498</v>
      </c>
      <c r="C117" s="13" t="s">
        <v>248</v>
      </c>
      <c r="D117" s="148" t="s">
        <v>409</v>
      </c>
      <c r="E117" s="149"/>
      <c r="F117" s="13" t="s">
        <v>471</v>
      </c>
      <c r="G117" s="80">
        <v>65</v>
      </c>
      <c r="H117" s="59">
        <v>0</v>
      </c>
      <c r="I117" s="6"/>
    </row>
    <row r="118" spans="1:9" x14ac:dyDescent="0.25">
      <c r="A118" s="4" t="s">
        <v>80</v>
      </c>
      <c r="B118" s="13" t="s">
        <v>498</v>
      </c>
      <c r="C118" s="13" t="s">
        <v>249</v>
      </c>
      <c r="D118" s="148" t="s">
        <v>411</v>
      </c>
      <c r="E118" s="149"/>
      <c r="F118" s="13" t="s">
        <v>471</v>
      </c>
      <c r="G118" s="80">
        <v>3</v>
      </c>
      <c r="H118" s="59">
        <v>0</v>
      </c>
      <c r="I118" s="6"/>
    </row>
    <row r="119" spans="1:9" x14ac:dyDescent="0.25">
      <c r="A119" s="4" t="s">
        <v>81</v>
      </c>
      <c r="B119" s="13" t="s">
        <v>498</v>
      </c>
      <c r="C119" s="13" t="s">
        <v>250</v>
      </c>
      <c r="D119" s="148" t="s">
        <v>413</v>
      </c>
      <c r="E119" s="149"/>
      <c r="F119" s="13" t="s">
        <v>471</v>
      </c>
      <c r="G119" s="80">
        <v>155</v>
      </c>
      <c r="H119" s="59">
        <v>0</v>
      </c>
      <c r="I119" s="6"/>
    </row>
    <row r="120" spans="1:9" x14ac:dyDescent="0.25">
      <c r="A120" s="4" t="s">
        <v>82</v>
      </c>
      <c r="B120" s="13" t="s">
        <v>498</v>
      </c>
      <c r="C120" s="13" t="s">
        <v>251</v>
      </c>
      <c r="D120" s="148" t="s">
        <v>414</v>
      </c>
      <c r="E120" s="149"/>
      <c r="F120" s="13" t="s">
        <v>471</v>
      </c>
      <c r="G120" s="80">
        <v>1</v>
      </c>
      <c r="H120" s="59">
        <v>0</v>
      </c>
      <c r="I120" s="6"/>
    </row>
    <row r="121" spans="1:9" x14ac:dyDescent="0.25">
      <c r="A121" s="4" t="s">
        <v>83</v>
      </c>
      <c r="B121" s="13" t="s">
        <v>498</v>
      </c>
      <c r="C121" s="13" t="s">
        <v>252</v>
      </c>
      <c r="D121" s="148" t="s">
        <v>415</v>
      </c>
      <c r="E121" s="149"/>
      <c r="F121" s="13" t="s">
        <v>471</v>
      </c>
      <c r="G121" s="80">
        <v>1</v>
      </c>
      <c r="H121" s="59">
        <v>0</v>
      </c>
      <c r="I121" s="6"/>
    </row>
    <row r="122" spans="1:9" x14ac:dyDescent="0.25">
      <c r="A122" s="4" t="s">
        <v>84</v>
      </c>
      <c r="B122" s="13" t="s">
        <v>498</v>
      </c>
      <c r="C122" s="13" t="s">
        <v>253</v>
      </c>
      <c r="D122" s="148" t="s">
        <v>416</v>
      </c>
      <c r="E122" s="149"/>
      <c r="F122" s="13" t="s">
        <v>471</v>
      </c>
      <c r="G122" s="80">
        <v>1</v>
      </c>
      <c r="H122" s="59">
        <v>0</v>
      </c>
      <c r="I122" s="6"/>
    </row>
    <row r="123" spans="1:9" x14ac:dyDescent="0.25">
      <c r="A123" s="4" t="s">
        <v>85</v>
      </c>
      <c r="B123" s="13" t="s">
        <v>498</v>
      </c>
      <c r="C123" s="13" t="s">
        <v>255</v>
      </c>
      <c r="D123" s="148" t="s">
        <v>425</v>
      </c>
      <c r="E123" s="149"/>
      <c r="F123" s="13" t="s">
        <v>471</v>
      </c>
      <c r="G123" s="80">
        <v>1</v>
      </c>
      <c r="H123" s="59">
        <v>0</v>
      </c>
      <c r="I123" s="6"/>
    </row>
    <row r="124" spans="1:9" x14ac:dyDescent="0.25">
      <c r="A124" s="4" t="s">
        <v>86</v>
      </c>
      <c r="B124" s="13" t="s">
        <v>498</v>
      </c>
      <c r="C124" s="13" t="s">
        <v>256</v>
      </c>
      <c r="D124" s="148" t="s">
        <v>419</v>
      </c>
      <c r="E124" s="149"/>
      <c r="F124" s="13" t="s">
        <v>471</v>
      </c>
      <c r="G124" s="80">
        <v>1</v>
      </c>
      <c r="H124" s="59">
        <v>0</v>
      </c>
      <c r="I124" s="6"/>
    </row>
    <row r="125" spans="1:9" x14ac:dyDescent="0.25">
      <c r="A125" s="4" t="s">
        <v>87</v>
      </c>
      <c r="B125" s="13" t="s">
        <v>498</v>
      </c>
      <c r="C125" s="13" t="s">
        <v>257</v>
      </c>
      <c r="D125" s="148" t="s">
        <v>420</v>
      </c>
      <c r="E125" s="149"/>
      <c r="F125" s="13" t="s">
        <v>471</v>
      </c>
      <c r="G125" s="80">
        <v>1</v>
      </c>
      <c r="H125" s="59">
        <v>0</v>
      </c>
      <c r="I125" s="6"/>
    </row>
    <row r="126" spans="1:9" x14ac:dyDescent="0.25">
      <c r="A126" s="4" t="s">
        <v>88</v>
      </c>
      <c r="B126" s="13" t="s">
        <v>498</v>
      </c>
      <c r="C126" s="13" t="s">
        <v>258</v>
      </c>
      <c r="D126" s="148" t="s">
        <v>390</v>
      </c>
      <c r="E126" s="149"/>
      <c r="F126" s="13" t="s">
        <v>471</v>
      </c>
      <c r="G126" s="80">
        <v>1</v>
      </c>
      <c r="H126" s="59">
        <v>0</v>
      </c>
      <c r="I126" s="6"/>
    </row>
    <row r="127" spans="1:9" x14ac:dyDescent="0.25">
      <c r="A127" s="4" t="s">
        <v>89</v>
      </c>
      <c r="B127" s="13" t="s">
        <v>498</v>
      </c>
      <c r="C127" s="13" t="s">
        <v>259</v>
      </c>
      <c r="D127" s="148" t="s">
        <v>391</v>
      </c>
      <c r="E127" s="149"/>
      <c r="F127" s="13" t="s">
        <v>471</v>
      </c>
      <c r="G127" s="80">
        <v>1</v>
      </c>
      <c r="H127" s="59">
        <v>0</v>
      </c>
      <c r="I127" s="6"/>
    </row>
    <row r="128" spans="1:9" x14ac:dyDescent="0.25">
      <c r="A128" s="4" t="s">
        <v>90</v>
      </c>
      <c r="B128" s="13" t="s">
        <v>498</v>
      </c>
      <c r="C128" s="13" t="s">
        <v>260</v>
      </c>
      <c r="D128" s="148" t="s">
        <v>426</v>
      </c>
      <c r="E128" s="149"/>
      <c r="F128" s="13" t="s">
        <v>471</v>
      </c>
      <c r="G128" s="80">
        <v>1</v>
      </c>
      <c r="H128" s="59">
        <v>0</v>
      </c>
      <c r="I128" s="6"/>
    </row>
    <row r="129" spans="1:9" x14ac:dyDescent="0.25">
      <c r="A129" s="4" t="s">
        <v>91</v>
      </c>
      <c r="B129" s="13" t="s">
        <v>498</v>
      </c>
      <c r="C129" s="13" t="s">
        <v>261</v>
      </c>
      <c r="D129" s="148" t="s">
        <v>392</v>
      </c>
      <c r="E129" s="149"/>
      <c r="F129" s="13" t="s">
        <v>471</v>
      </c>
      <c r="G129" s="80">
        <v>1</v>
      </c>
      <c r="H129" s="59">
        <v>0</v>
      </c>
      <c r="I129" s="6"/>
    </row>
    <row r="130" spans="1:9" x14ac:dyDescent="0.25">
      <c r="A130" s="4" t="s">
        <v>92</v>
      </c>
      <c r="B130" s="13" t="s">
        <v>498</v>
      </c>
      <c r="C130" s="13" t="s">
        <v>262</v>
      </c>
      <c r="D130" s="148" t="s">
        <v>421</v>
      </c>
      <c r="E130" s="149"/>
      <c r="F130" s="13" t="s">
        <v>471</v>
      </c>
      <c r="G130" s="80">
        <v>10</v>
      </c>
      <c r="H130" s="59">
        <v>0</v>
      </c>
      <c r="I130" s="6"/>
    </row>
    <row r="131" spans="1:9" x14ac:dyDescent="0.25">
      <c r="A131" s="4" t="s">
        <v>93</v>
      </c>
      <c r="B131" s="13" t="s">
        <v>498</v>
      </c>
      <c r="C131" s="13" t="s">
        <v>263</v>
      </c>
      <c r="D131" s="148" t="s">
        <v>394</v>
      </c>
      <c r="E131" s="149"/>
      <c r="F131" s="13" t="s">
        <v>471</v>
      </c>
      <c r="G131" s="80">
        <v>7</v>
      </c>
      <c r="H131" s="59">
        <v>0</v>
      </c>
      <c r="I131" s="6"/>
    </row>
    <row r="132" spans="1:9" x14ac:dyDescent="0.25">
      <c r="A132" s="4" t="s">
        <v>94</v>
      </c>
      <c r="B132" s="13" t="s">
        <v>498</v>
      </c>
      <c r="C132" s="13" t="s">
        <v>264</v>
      </c>
      <c r="D132" s="148" t="s">
        <v>427</v>
      </c>
      <c r="E132" s="149"/>
      <c r="F132" s="13" t="s">
        <v>471</v>
      </c>
      <c r="G132" s="80">
        <v>1</v>
      </c>
      <c r="H132" s="59">
        <v>0</v>
      </c>
      <c r="I132" s="6"/>
    </row>
    <row r="133" spans="1:9" x14ac:dyDescent="0.25">
      <c r="A133" s="4" t="s">
        <v>95</v>
      </c>
      <c r="B133" s="13" t="s">
        <v>498</v>
      </c>
      <c r="C133" s="13" t="s">
        <v>265</v>
      </c>
      <c r="D133" s="148" t="s">
        <v>401</v>
      </c>
      <c r="E133" s="149"/>
      <c r="F133" s="13" t="s">
        <v>471</v>
      </c>
      <c r="G133" s="80">
        <v>1</v>
      </c>
      <c r="H133" s="59">
        <v>0</v>
      </c>
      <c r="I133" s="6"/>
    </row>
    <row r="134" spans="1:9" x14ac:dyDescent="0.25">
      <c r="A134" s="4" t="s">
        <v>96</v>
      </c>
      <c r="B134" s="13" t="s">
        <v>498</v>
      </c>
      <c r="C134" s="13" t="s">
        <v>266</v>
      </c>
      <c r="D134" s="148" t="s">
        <v>402</v>
      </c>
      <c r="E134" s="149"/>
      <c r="F134" s="13" t="s">
        <v>471</v>
      </c>
      <c r="G134" s="80">
        <v>1</v>
      </c>
      <c r="H134" s="59">
        <v>0</v>
      </c>
      <c r="I134" s="6"/>
    </row>
    <row r="135" spans="1:9" x14ac:dyDescent="0.25">
      <c r="A135" s="4" t="s">
        <v>97</v>
      </c>
      <c r="B135" s="13" t="s">
        <v>498</v>
      </c>
      <c r="C135" s="13" t="s">
        <v>267</v>
      </c>
      <c r="D135" s="148" t="s">
        <v>407</v>
      </c>
      <c r="E135" s="149"/>
      <c r="F135" s="13" t="s">
        <v>471</v>
      </c>
      <c r="G135" s="80">
        <v>1</v>
      </c>
      <c r="H135" s="59">
        <v>0</v>
      </c>
      <c r="I135" s="6"/>
    </row>
    <row r="136" spans="1:9" x14ac:dyDescent="0.25">
      <c r="A136" s="4" t="s">
        <v>98</v>
      </c>
      <c r="B136" s="13" t="s">
        <v>498</v>
      </c>
      <c r="C136" s="13" t="s">
        <v>268</v>
      </c>
      <c r="D136" s="148" t="s">
        <v>409</v>
      </c>
      <c r="E136" s="149"/>
      <c r="F136" s="13" t="s">
        <v>471</v>
      </c>
      <c r="G136" s="80">
        <v>35</v>
      </c>
      <c r="H136" s="59">
        <v>0</v>
      </c>
      <c r="I136" s="6"/>
    </row>
    <row r="137" spans="1:9" x14ac:dyDescent="0.25">
      <c r="A137" s="4" t="s">
        <v>99</v>
      </c>
      <c r="B137" s="13" t="s">
        <v>498</v>
      </c>
      <c r="C137" s="13" t="s">
        <v>269</v>
      </c>
      <c r="D137" s="148" t="s">
        <v>410</v>
      </c>
      <c r="E137" s="149"/>
      <c r="F137" s="13" t="s">
        <v>471</v>
      </c>
      <c r="G137" s="80">
        <v>3</v>
      </c>
      <c r="H137" s="59">
        <v>0</v>
      </c>
      <c r="I137" s="6"/>
    </row>
    <row r="138" spans="1:9" x14ac:dyDescent="0.25">
      <c r="A138" s="4" t="s">
        <v>100</v>
      </c>
      <c r="B138" s="13" t="s">
        <v>498</v>
      </c>
      <c r="C138" s="13" t="s">
        <v>270</v>
      </c>
      <c r="D138" s="148" t="s">
        <v>411</v>
      </c>
      <c r="E138" s="149"/>
      <c r="F138" s="13" t="s">
        <v>471</v>
      </c>
      <c r="G138" s="80">
        <v>3</v>
      </c>
      <c r="H138" s="59">
        <v>0</v>
      </c>
      <c r="I138" s="6"/>
    </row>
    <row r="139" spans="1:9" x14ac:dyDescent="0.25">
      <c r="A139" s="4" t="s">
        <v>101</v>
      </c>
      <c r="B139" s="13" t="s">
        <v>498</v>
      </c>
      <c r="C139" s="13" t="s">
        <v>271</v>
      </c>
      <c r="D139" s="148" t="s">
        <v>413</v>
      </c>
      <c r="E139" s="149"/>
      <c r="F139" s="13" t="s">
        <v>471</v>
      </c>
      <c r="G139" s="80">
        <v>90</v>
      </c>
      <c r="H139" s="59">
        <v>0</v>
      </c>
      <c r="I139" s="6"/>
    </row>
    <row r="140" spans="1:9" x14ac:dyDescent="0.25">
      <c r="A140" s="4" t="s">
        <v>102</v>
      </c>
      <c r="B140" s="13" t="s">
        <v>498</v>
      </c>
      <c r="C140" s="13" t="s">
        <v>272</v>
      </c>
      <c r="D140" s="148" t="s">
        <v>414</v>
      </c>
      <c r="E140" s="149"/>
      <c r="F140" s="13" t="s">
        <v>471</v>
      </c>
      <c r="G140" s="80">
        <v>1</v>
      </c>
      <c r="H140" s="59">
        <v>0</v>
      </c>
      <c r="I140" s="6"/>
    </row>
    <row r="141" spans="1:9" x14ac:dyDescent="0.25">
      <c r="A141" s="4" t="s">
        <v>103</v>
      </c>
      <c r="B141" s="13" t="s">
        <v>498</v>
      </c>
      <c r="C141" s="13" t="s">
        <v>273</v>
      </c>
      <c r="D141" s="148" t="s">
        <v>415</v>
      </c>
      <c r="E141" s="149"/>
      <c r="F141" s="13" t="s">
        <v>471</v>
      </c>
      <c r="G141" s="80">
        <v>1</v>
      </c>
      <c r="H141" s="59">
        <v>0</v>
      </c>
      <c r="I141" s="6"/>
    </row>
    <row r="142" spans="1:9" x14ac:dyDescent="0.25">
      <c r="A142" s="4" t="s">
        <v>104</v>
      </c>
      <c r="B142" s="13" t="s">
        <v>498</v>
      </c>
      <c r="C142" s="13" t="s">
        <v>274</v>
      </c>
      <c r="D142" s="148" t="s">
        <v>416</v>
      </c>
      <c r="E142" s="149"/>
      <c r="F142" s="13" t="s">
        <v>471</v>
      </c>
      <c r="G142" s="80">
        <v>1</v>
      </c>
      <c r="H142" s="59">
        <v>0</v>
      </c>
      <c r="I142" s="6"/>
    </row>
    <row r="143" spans="1:9" x14ac:dyDescent="0.25">
      <c r="A143" s="4" t="s">
        <v>105</v>
      </c>
      <c r="B143" s="13" t="s">
        <v>498</v>
      </c>
      <c r="C143" s="13" t="s">
        <v>276</v>
      </c>
      <c r="D143" s="148" t="s">
        <v>418</v>
      </c>
      <c r="E143" s="149"/>
      <c r="F143" s="13" t="s">
        <v>471</v>
      </c>
      <c r="G143" s="80">
        <v>1</v>
      </c>
      <c r="H143" s="59">
        <v>0</v>
      </c>
      <c r="I143" s="6"/>
    </row>
    <row r="144" spans="1:9" x14ac:dyDescent="0.25">
      <c r="A144" s="4" t="s">
        <v>106</v>
      </c>
      <c r="B144" s="13" t="s">
        <v>498</v>
      </c>
      <c r="C144" s="13" t="s">
        <v>277</v>
      </c>
      <c r="D144" s="148" t="s">
        <v>419</v>
      </c>
      <c r="E144" s="149"/>
      <c r="F144" s="13" t="s">
        <v>471</v>
      </c>
      <c r="G144" s="80">
        <v>1</v>
      </c>
      <c r="H144" s="59">
        <v>0</v>
      </c>
      <c r="I144" s="6"/>
    </row>
    <row r="145" spans="1:9" x14ac:dyDescent="0.25">
      <c r="A145" s="4" t="s">
        <v>107</v>
      </c>
      <c r="B145" s="13" t="s">
        <v>498</v>
      </c>
      <c r="C145" s="13" t="s">
        <v>278</v>
      </c>
      <c r="D145" s="148" t="s">
        <v>420</v>
      </c>
      <c r="E145" s="149"/>
      <c r="F145" s="13" t="s">
        <v>471</v>
      </c>
      <c r="G145" s="80">
        <v>1</v>
      </c>
      <c r="H145" s="59">
        <v>0</v>
      </c>
      <c r="I145" s="6"/>
    </row>
    <row r="146" spans="1:9" x14ac:dyDescent="0.25">
      <c r="A146" s="4" t="s">
        <v>108</v>
      </c>
      <c r="B146" s="13" t="s">
        <v>498</v>
      </c>
      <c r="C146" s="13" t="s">
        <v>279</v>
      </c>
      <c r="D146" s="148" t="s">
        <v>390</v>
      </c>
      <c r="E146" s="149"/>
      <c r="F146" s="13" t="s">
        <v>471</v>
      </c>
      <c r="G146" s="80">
        <v>1</v>
      </c>
      <c r="H146" s="59">
        <v>0</v>
      </c>
      <c r="I146" s="6"/>
    </row>
    <row r="147" spans="1:9" x14ac:dyDescent="0.25">
      <c r="A147" s="4" t="s">
        <v>109</v>
      </c>
      <c r="B147" s="13" t="s">
        <v>498</v>
      </c>
      <c r="C147" s="13" t="s">
        <v>280</v>
      </c>
      <c r="D147" s="148" t="s">
        <v>421</v>
      </c>
      <c r="E147" s="149"/>
      <c r="F147" s="13" t="s">
        <v>471</v>
      </c>
      <c r="G147" s="80">
        <v>19</v>
      </c>
      <c r="H147" s="59">
        <v>0</v>
      </c>
      <c r="I147" s="6"/>
    </row>
    <row r="148" spans="1:9" x14ac:dyDescent="0.25">
      <c r="A148" s="4" t="s">
        <v>110</v>
      </c>
      <c r="B148" s="13" t="s">
        <v>498</v>
      </c>
      <c r="C148" s="13" t="s">
        <v>281</v>
      </c>
      <c r="D148" s="148" t="s">
        <v>394</v>
      </c>
      <c r="E148" s="149"/>
      <c r="F148" s="13" t="s">
        <v>471</v>
      </c>
      <c r="G148" s="80">
        <v>18</v>
      </c>
      <c r="H148" s="59">
        <v>0</v>
      </c>
      <c r="I148" s="6"/>
    </row>
    <row r="149" spans="1:9" x14ac:dyDescent="0.25">
      <c r="A149" s="4" t="s">
        <v>111</v>
      </c>
      <c r="B149" s="13" t="s">
        <v>498</v>
      </c>
      <c r="C149" s="13" t="s">
        <v>282</v>
      </c>
      <c r="D149" s="148" t="s">
        <v>429</v>
      </c>
      <c r="E149" s="149"/>
      <c r="F149" s="13" t="s">
        <v>471</v>
      </c>
      <c r="G149" s="80">
        <v>1</v>
      </c>
      <c r="H149" s="59">
        <v>0</v>
      </c>
      <c r="I149" s="6"/>
    </row>
    <row r="150" spans="1:9" x14ac:dyDescent="0.25">
      <c r="A150" s="4" t="s">
        <v>112</v>
      </c>
      <c r="B150" s="13" t="s">
        <v>498</v>
      </c>
      <c r="C150" s="13" t="s">
        <v>283</v>
      </c>
      <c r="D150" s="148" t="s">
        <v>430</v>
      </c>
      <c r="E150" s="149"/>
      <c r="F150" s="13" t="s">
        <v>471</v>
      </c>
      <c r="G150" s="80">
        <v>2</v>
      </c>
      <c r="H150" s="59">
        <v>0</v>
      </c>
      <c r="I150" s="6"/>
    </row>
    <row r="151" spans="1:9" x14ac:dyDescent="0.25">
      <c r="A151" s="4" t="s">
        <v>113</v>
      </c>
      <c r="B151" s="13" t="s">
        <v>498</v>
      </c>
      <c r="C151" s="13" t="s">
        <v>284</v>
      </c>
      <c r="D151" s="148" t="s">
        <v>423</v>
      </c>
      <c r="E151" s="149"/>
      <c r="F151" s="13" t="s">
        <v>471</v>
      </c>
      <c r="G151" s="80">
        <v>3</v>
      </c>
      <c r="H151" s="59">
        <v>0</v>
      </c>
      <c r="I151" s="6"/>
    </row>
    <row r="152" spans="1:9" x14ac:dyDescent="0.25">
      <c r="A152" s="4" t="s">
        <v>114</v>
      </c>
      <c r="B152" s="13" t="s">
        <v>498</v>
      </c>
      <c r="C152" s="13" t="s">
        <v>285</v>
      </c>
      <c r="D152" s="148" t="s">
        <v>402</v>
      </c>
      <c r="E152" s="149"/>
      <c r="F152" s="13" t="s">
        <v>471</v>
      </c>
      <c r="G152" s="80">
        <v>1</v>
      </c>
      <c r="H152" s="59">
        <v>0</v>
      </c>
      <c r="I152" s="6"/>
    </row>
    <row r="153" spans="1:9" x14ac:dyDescent="0.25">
      <c r="A153" s="4" t="s">
        <v>115</v>
      </c>
      <c r="B153" s="13" t="s">
        <v>498</v>
      </c>
      <c r="C153" s="13" t="s">
        <v>286</v>
      </c>
      <c r="D153" s="148" t="s">
        <v>431</v>
      </c>
      <c r="E153" s="149"/>
      <c r="F153" s="13" t="s">
        <v>471</v>
      </c>
      <c r="G153" s="80">
        <v>1</v>
      </c>
      <c r="H153" s="59">
        <v>0</v>
      </c>
      <c r="I153" s="6"/>
    </row>
    <row r="154" spans="1:9" x14ac:dyDescent="0.25">
      <c r="A154" s="4" t="s">
        <v>116</v>
      </c>
      <c r="B154" s="13" t="s">
        <v>498</v>
      </c>
      <c r="C154" s="13" t="s">
        <v>287</v>
      </c>
      <c r="D154" s="148" t="s">
        <v>432</v>
      </c>
      <c r="E154" s="149"/>
      <c r="F154" s="13" t="s">
        <v>471</v>
      </c>
      <c r="G154" s="80">
        <v>1</v>
      </c>
      <c r="H154" s="59">
        <v>0</v>
      </c>
      <c r="I154" s="6"/>
    </row>
    <row r="155" spans="1:9" x14ac:dyDescent="0.25">
      <c r="A155" s="4" t="s">
        <v>117</v>
      </c>
      <c r="B155" s="13" t="s">
        <v>498</v>
      </c>
      <c r="C155" s="13" t="s">
        <v>288</v>
      </c>
      <c r="D155" s="148" t="s">
        <v>407</v>
      </c>
      <c r="E155" s="149"/>
      <c r="F155" s="13" t="s">
        <v>471</v>
      </c>
      <c r="G155" s="80">
        <v>1</v>
      </c>
      <c r="H155" s="59">
        <v>0</v>
      </c>
      <c r="I155" s="6"/>
    </row>
    <row r="156" spans="1:9" x14ac:dyDescent="0.25">
      <c r="A156" s="4" t="s">
        <v>118</v>
      </c>
      <c r="B156" s="13" t="s">
        <v>498</v>
      </c>
      <c r="C156" s="13" t="s">
        <v>289</v>
      </c>
      <c r="D156" s="148" t="s">
        <v>409</v>
      </c>
      <c r="E156" s="149"/>
      <c r="F156" s="13" t="s">
        <v>471</v>
      </c>
      <c r="G156" s="80">
        <v>70</v>
      </c>
      <c r="H156" s="59">
        <v>0</v>
      </c>
      <c r="I156" s="6"/>
    </row>
    <row r="157" spans="1:9" x14ac:dyDescent="0.25">
      <c r="A157" s="4" t="s">
        <v>119</v>
      </c>
      <c r="B157" s="13" t="s">
        <v>498</v>
      </c>
      <c r="C157" s="13" t="s">
        <v>290</v>
      </c>
      <c r="D157" s="148" t="s">
        <v>411</v>
      </c>
      <c r="E157" s="149"/>
      <c r="F157" s="13" t="s">
        <v>471</v>
      </c>
      <c r="G157" s="80">
        <v>3</v>
      </c>
      <c r="H157" s="59">
        <v>0</v>
      </c>
      <c r="I157" s="6"/>
    </row>
    <row r="158" spans="1:9" x14ac:dyDescent="0.25">
      <c r="A158" s="4" t="s">
        <v>120</v>
      </c>
      <c r="B158" s="13" t="s">
        <v>498</v>
      </c>
      <c r="C158" s="13" t="s">
        <v>291</v>
      </c>
      <c r="D158" s="148" t="s">
        <v>413</v>
      </c>
      <c r="E158" s="149"/>
      <c r="F158" s="13" t="s">
        <v>471</v>
      </c>
      <c r="G158" s="80">
        <v>175</v>
      </c>
      <c r="H158" s="59">
        <v>0</v>
      </c>
      <c r="I158" s="6"/>
    </row>
    <row r="159" spans="1:9" x14ac:dyDescent="0.25">
      <c r="A159" s="4" t="s">
        <v>121</v>
      </c>
      <c r="B159" s="13" t="s">
        <v>498</v>
      </c>
      <c r="C159" s="13" t="s">
        <v>292</v>
      </c>
      <c r="D159" s="148" t="s">
        <v>414</v>
      </c>
      <c r="E159" s="149"/>
      <c r="F159" s="13" t="s">
        <v>471</v>
      </c>
      <c r="G159" s="80">
        <v>1</v>
      </c>
      <c r="H159" s="59">
        <v>0</v>
      </c>
      <c r="I159" s="6"/>
    </row>
    <row r="160" spans="1:9" x14ac:dyDescent="0.25">
      <c r="A160" s="4" t="s">
        <v>122</v>
      </c>
      <c r="B160" s="13" t="s">
        <v>498</v>
      </c>
      <c r="C160" s="13" t="s">
        <v>293</v>
      </c>
      <c r="D160" s="148" t="s">
        <v>415</v>
      </c>
      <c r="E160" s="149"/>
      <c r="F160" s="13" t="s">
        <v>471</v>
      </c>
      <c r="G160" s="80">
        <v>1</v>
      </c>
      <c r="H160" s="59">
        <v>0</v>
      </c>
      <c r="I160" s="6"/>
    </row>
    <row r="161" spans="1:9" x14ac:dyDescent="0.25">
      <c r="A161" s="4" t="s">
        <v>123</v>
      </c>
      <c r="B161" s="13" t="s">
        <v>498</v>
      </c>
      <c r="C161" s="13" t="s">
        <v>294</v>
      </c>
      <c r="D161" s="148" t="s">
        <v>416</v>
      </c>
      <c r="E161" s="149"/>
      <c r="F161" s="13" t="s">
        <v>471</v>
      </c>
      <c r="G161" s="80">
        <v>1</v>
      </c>
      <c r="H161" s="59">
        <v>0</v>
      </c>
      <c r="I161" s="6"/>
    </row>
    <row r="162" spans="1:9" x14ac:dyDescent="0.25">
      <c r="A162" s="4" t="s">
        <v>124</v>
      </c>
      <c r="B162" s="13" t="s">
        <v>498</v>
      </c>
      <c r="C162" s="13" t="s">
        <v>296</v>
      </c>
      <c r="D162" s="148" t="s">
        <v>390</v>
      </c>
      <c r="E162" s="149"/>
      <c r="F162" s="13" t="s">
        <v>471</v>
      </c>
      <c r="G162" s="80">
        <v>1</v>
      </c>
      <c r="H162" s="59">
        <v>0</v>
      </c>
      <c r="I162" s="6"/>
    </row>
    <row r="163" spans="1:9" x14ac:dyDescent="0.25">
      <c r="A163" s="4" t="s">
        <v>125</v>
      </c>
      <c r="B163" s="13" t="s">
        <v>498</v>
      </c>
      <c r="C163" s="13" t="s">
        <v>297</v>
      </c>
      <c r="D163" s="148" t="s">
        <v>421</v>
      </c>
      <c r="E163" s="149"/>
      <c r="F163" s="13" t="s">
        <v>471</v>
      </c>
      <c r="G163" s="80">
        <v>1</v>
      </c>
      <c r="H163" s="59">
        <v>0</v>
      </c>
      <c r="I163" s="6"/>
    </row>
    <row r="164" spans="1:9" x14ac:dyDescent="0.25">
      <c r="A164" s="4" t="s">
        <v>126</v>
      </c>
      <c r="B164" s="13" t="s">
        <v>498</v>
      </c>
      <c r="C164" s="13" t="s">
        <v>298</v>
      </c>
      <c r="D164" s="148" t="s">
        <v>402</v>
      </c>
      <c r="E164" s="149"/>
      <c r="F164" s="13" t="s">
        <v>471</v>
      </c>
      <c r="G164" s="80">
        <v>1</v>
      </c>
      <c r="H164" s="59">
        <v>0</v>
      </c>
      <c r="I164" s="6"/>
    </row>
    <row r="165" spans="1:9" x14ac:dyDescent="0.25">
      <c r="A165" s="4" t="s">
        <v>127</v>
      </c>
      <c r="B165" s="13" t="s">
        <v>498</v>
      </c>
      <c r="C165" s="13" t="s">
        <v>299</v>
      </c>
      <c r="D165" s="148" t="s">
        <v>409</v>
      </c>
      <c r="E165" s="149"/>
      <c r="F165" s="13" t="s">
        <v>471</v>
      </c>
      <c r="G165" s="80">
        <v>6</v>
      </c>
      <c r="H165" s="59">
        <v>0</v>
      </c>
      <c r="I165" s="6"/>
    </row>
    <row r="166" spans="1:9" x14ac:dyDescent="0.25">
      <c r="A166" s="4" t="s">
        <v>128</v>
      </c>
      <c r="B166" s="13" t="s">
        <v>498</v>
      </c>
      <c r="C166" s="13" t="s">
        <v>300</v>
      </c>
      <c r="D166" s="148" t="s">
        <v>413</v>
      </c>
      <c r="E166" s="149"/>
      <c r="F166" s="13" t="s">
        <v>471</v>
      </c>
      <c r="G166" s="80">
        <v>10</v>
      </c>
      <c r="H166" s="59">
        <v>0</v>
      </c>
      <c r="I166" s="6"/>
    </row>
    <row r="167" spans="1:9" x14ac:dyDescent="0.25">
      <c r="A167" s="4" t="s">
        <v>129</v>
      </c>
      <c r="B167" s="13" t="s">
        <v>498</v>
      </c>
      <c r="C167" s="13" t="s">
        <v>301</v>
      </c>
      <c r="D167" s="148" t="s">
        <v>414</v>
      </c>
      <c r="E167" s="149"/>
      <c r="F167" s="13" t="s">
        <v>471</v>
      </c>
      <c r="G167" s="80">
        <v>1</v>
      </c>
      <c r="H167" s="59">
        <v>0</v>
      </c>
      <c r="I167" s="6"/>
    </row>
    <row r="168" spans="1:9" x14ac:dyDescent="0.25">
      <c r="A168" s="4" t="s">
        <v>130</v>
      </c>
      <c r="B168" s="13" t="s">
        <v>498</v>
      </c>
      <c r="C168" s="13" t="s">
        <v>302</v>
      </c>
      <c r="D168" s="148" t="s">
        <v>415</v>
      </c>
      <c r="E168" s="149"/>
      <c r="F168" s="13" t="s">
        <v>471</v>
      </c>
      <c r="G168" s="80">
        <v>1</v>
      </c>
      <c r="H168" s="59">
        <v>0</v>
      </c>
      <c r="I168" s="6"/>
    </row>
    <row r="169" spans="1:9" x14ac:dyDescent="0.25">
      <c r="A169" s="4" t="s">
        <v>131</v>
      </c>
      <c r="B169" s="13" t="s">
        <v>498</v>
      </c>
      <c r="C169" s="13" t="s">
        <v>304</v>
      </c>
      <c r="D169" s="148" t="s">
        <v>435</v>
      </c>
      <c r="E169" s="149"/>
      <c r="F169" s="13" t="s">
        <v>471</v>
      </c>
      <c r="G169" s="80">
        <v>1</v>
      </c>
      <c r="H169" s="59">
        <v>0</v>
      </c>
      <c r="I169" s="6"/>
    </row>
    <row r="170" spans="1:9" x14ac:dyDescent="0.25">
      <c r="A170" s="4" t="s">
        <v>132</v>
      </c>
      <c r="B170" s="13" t="s">
        <v>498</v>
      </c>
      <c r="C170" s="13" t="s">
        <v>305</v>
      </c>
      <c r="D170" s="148" t="s">
        <v>419</v>
      </c>
      <c r="E170" s="149"/>
      <c r="F170" s="13" t="s">
        <v>471</v>
      </c>
      <c r="G170" s="80">
        <v>1</v>
      </c>
      <c r="H170" s="59">
        <v>0</v>
      </c>
      <c r="I170" s="6"/>
    </row>
    <row r="171" spans="1:9" x14ac:dyDescent="0.25">
      <c r="A171" s="4" t="s">
        <v>133</v>
      </c>
      <c r="B171" s="13" t="s">
        <v>498</v>
      </c>
      <c r="C171" s="13" t="s">
        <v>306</v>
      </c>
      <c r="D171" s="148" t="s">
        <v>420</v>
      </c>
      <c r="E171" s="149"/>
      <c r="F171" s="13" t="s">
        <v>471</v>
      </c>
      <c r="G171" s="80">
        <v>1</v>
      </c>
      <c r="H171" s="59">
        <v>0</v>
      </c>
      <c r="I171" s="6"/>
    </row>
    <row r="172" spans="1:9" x14ac:dyDescent="0.25">
      <c r="A172" s="4" t="s">
        <v>134</v>
      </c>
      <c r="B172" s="13" t="s">
        <v>498</v>
      </c>
      <c r="C172" s="13" t="s">
        <v>307</v>
      </c>
      <c r="D172" s="148" t="s">
        <v>390</v>
      </c>
      <c r="E172" s="149"/>
      <c r="F172" s="13" t="s">
        <v>471</v>
      </c>
      <c r="G172" s="80">
        <v>1</v>
      </c>
      <c r="H172" s="59">
        <v>0</v>
      </c>
      <c r="I172" s="6"/>
    </row>
    <row r="173" spans="1:9" x14ac:dyDescent="0.25">
      <c r="A173" s="4" t="s">
        <v>135</v>
      </c>
      <c r="B173" s="13" t="s">
        <v>498</v>
      </c>
      <c r="C173" s="13" t="s">
        <v>308</v>
      </c>
      <c r="D173" s="148" t="s">
        <v>421</v>
      </c>
      <c r="E173" s="149"/>
      <c r="F173" s="13" t="s">
        <v>471</v>
      </c>
      <c r="G173" s="80">
        <v>4</v>
      </c>
      <c r="H173" s="59">
        <v>0</v>
      </c>
      <c r="I173" s="6"/>
    </row>
    <row r="174" spans="1:9" x14ac:dyDescent="0.25">
      <c r="A174" s="4" t="s">
        <v>136</v>
      </c>
      <c r="B174" s="13" t="s">
        <v>498</v>
      </c>
      <c r="C174" s="13" t="s">
        <v>309</v>
      </c>
      <c r="D174" s="148" t="s">
        <v>394</v>
      </c>
      <c r="E174" s="149"/>
      <c r="F174" s="13" t="s">
        <v>471</v>
      </c>
      <c r="G174" s="80">
        <v>6</v>
      </c>
      <c r="H174" s="59">
        <v>0</v>
      </c>
      <c r="I174" s="6"/>
    </row>
    <row r="175" spans="1:9" x14ac:dyDescent="0.25">
      <c r="A175" s="4" t="s">
        <v>137</v>
      </c>
      <c r="B175" s="13" t="s">
        <v>498</v>
      </c>
      <c r="C175" s="13" t="s">
        <v>310</v>
      </c>
      <c r="D175" s="148" t="s">
        <v>401</v>
      </c>
      <c r="E175" s="149"/>
      <c r="F175" s="13" t="s">
        <v>471</v>
      </c>
      <c r="G175" s="80">
        <v>1</v>
      </c>
      <c r="H175" s="59">
        <v>0</v>
      </c>
      <c r="I175" s="6"/>
    </row>
    <row r="176" spans="1:9" x14ac:dyDescent="0.25">
      <c r="A176" s="4" t="s">
        <v>138</v>
      </c>
      <c r="B176" s="13" t="s">
        <v>498</v>
      </c>
      <c r="C176" s="13" t="s">
        <v>311</v>
      </c>
      <c r="D176" s="148" t="s">
        <v>402</v>
      </c>
      <c r="E176" s="149"/>
      <c r="F176" s="13" t="s">
        <v>471</v>
      </c>
      <c r="G176" s="80">
        <v>1</v>
      </c>
      <c r="H176" s="59">
        <v>0</v>
      </c>
      <c r="I176" s="6"/>
    </row>
    <row r="177" spans="1:9" x14ac:dyDescent="0.25">
      <c r="A177" s="4" t="s">
        <v>139</v>
      </c>
      <c r="B177" s="13" t="s">
        <v>498</v>
      </c>
      <c r="C177" s="13" t="s">
        <v>312</v>
      </c>
      <c r="D177" s="148" t="s">
        <v>407</v>
      </c>
      <c r="E177" s="149"/>
      <c r="F177" s="13" t="s">
        <v>471</v>
      </c>
      <c r="G177" s="80">
        <v>0.5</v>
      </c>
      <c r="H177" s="59">
        <v>0</v>
      </c>
      <c r="I177" s="6"/>
    </row>
    <row r="178" spans="1:9" x14ac:dyDescent="0.25">
      <c r="A178" s="4" t="s">
        <v>140</v>
      </c>
      <c r="B178" s="13" t="s">
        <v>498</v>
      </c>
      <c r="C178" s="13" t="s">
        <v>313</v>
      </c>
      <c r="D178" s="148" t="s">
        <v>413</v>
      </c>
      <c r="E178" s="149"/>
      <c r="F178" s="13" t="s">
        <v>471</v>
      </c>
      <c r="G178" s="80">
        <v>40</v>
      </c>
      <c r="H178" s="59">
        <v>0</v>
      </c>
      <c r="I178" s="6"/>
    </row>
    <row r="179" spans="1:9" x14ac:dyDescent="0.25">
      <c r="A179" s="4" t="s">
        <v>141</v>
      </c>
      <c r="B179" s="13" t="s">
        <v>498</v>
      </c>
      <c r="C179" s="13" t="s">
        <v>314</v>
      </c>
      <c r="D179" s="148" t="s">
        <v>414</v>
      </c>
      <c r="E179" s="149"/>
      <c r="F179" s="13" t="s">
        <v>471</v>
      </c>
      <c r="G179" s="80">
        <v>1</v>
      </c>
      <c r="H179" s="59">
        <v>0</v>
      </c>
      <c r="I179" s="6"/>
    </row>
    <row r="180" spans="1:9" x14ac:dyDescent="0.25">
      <c r="A180" s="4" t="s">
        <v>142</v>
      </c>
      <c r="B180" s="13" t="s">
        <v>498</v>
      </c>
      <c r="C180" s="13" t="s">
        <v>315</v>
      </c>
      <c r="D180" s="148" t="s">
        <v>415</v>
      </c>
      <c r="E180" s="149"/>
      <c r="F180" s="13" t="s">
        <v>471</v>
      </c>
      <c r="G180" s="80">
        <v>1</v>
      </c>
      <c r="H180" s="59">
        <v>0</v>
      </c>
      <c r="I180" s="6"/>
    </row>
    <row r="181" spans="1:9" x14ac:dyDescent="0.25">
      <c r="A181" s="4" t="s">
        <v>143</v>
      </c>
      <c r="B181" s="13" t="s">
        <v>498</v>
      </c>
      <c r="C181" s="13" t="s">
        <v>316</v>
      </c>
      <c r="D181" s="148" t="s">
        <v>416</v>
      </c>
      <c r="E181" s="149"/>
      <c r="F181" s="13" t="s">
        <v>471</v>
      </c>
      <c r="G181" s="80">
        <v>1</v>
      </c>
      <c r="H181" s="59">
        <v>0</v>
      </c>
      <c r="I181" s="6"/>
    </row>
    <row r="182" spans="1:9" x14ac:dyDescent="0.25">
      <c r="A182" s="44" t="s">
        <v>144</v>
      </c>
      <c r="B182" s="17" t="s">
        <v>498</v>
      </c>
      <c r="C182" s="17" t="s">
        <v>318</v>
      </c>
      <c r="D182" s="128" t="s">
        <v>437</v>
      </c>
      <c r="E182" s="149"/>
      <c r="F182" s="17" t="s">
        <v>471</v>
      </c>
      <c r="G182" s="85">
        <v>1</v>
      </c>
      <c r="H182" s="86">
        <v>0</v>
      </c>
      <c r="I182" s="6"/>
    </row>
    <row r="183" spans="1:9" x14ac:dyDescent="0.25">
      <c r="A183" s="44" t="s">
        <v>145</v>
      </c>
      <c r="B183" s="17" t="s">
        <v>498</v>
      </c>
      <c r="C183" s="17" t="s">
        <v>319</v>
      </c>
      <c r="D183" s="128" t="s">
        <v>438</v>
      </c>
      <c r="E183" s="149"/>
      <c r="F183" s="17" t="s">
        <v>471</v>
      </c>
      <c r="G183" s="85">
        <v>1</v>
      </c>
      <c r="H183" s="86">
        <v>0</v>
      </c>
      <c r="I183" s="6"/>
    </row>
    <row r="184" spans="1:9" x14ac:dyDescent="0.25">
      <c r="A184" s="44" t="s">
        <v>146</v>
      </c>
      <c r="B184" s="17" t="s">
        <v>498</v>
      </c>
      <c r="C184" s="17" t="s">
        <v>320</v>
      </c>
      <c r="D184" s="128" t="s">
        <v>439</v>
      </c>
      <c r="E184" s="149"/>
      <c r="F184" s="17" t="s">
        <v>471</v>
      </c>
      <c r="G184" s="85">
        <v>1</v>
      </c>
      <c r="H184" s="86">
        <v>0</v>
      </c>
      <c r="I184" s="6"/>
    </row>
    <row r="185" spans="1:9" x14ac:dyDescent="0.25">
      <c r="A185" s="44" t="s">
        <v>147</v>
      </c>
      <c r="B185" s="17" t="s">
        <v>498</v>
      </c>
      <c r="C185" s="17" t="s">
        <v>321</v>
      </c>
      <c r="D185" s="128" t="s">
        <v>440</v>
      </c>
      <c r="E185" s="149"/>
      <c r="F185" s="17" t="s">
        <v>471</v>
      </c>
      <c r="G185" s="85">
        <v>1</v>
      </c>
      <c r="H185" s="86">
        <v>0</v>
      </c>
      <c r="I185" s="6"/>
    </row>
    <row r="186" spans="1:9" x14ac:dyDescent="0.25">
      <c r="A186" s="44" t="s">
        <v>148</v>
      </c>
      <c r="B186" s="17" t="s">
        <v>498</v>
      </c>
      <c r="C186" s="17" t="s">
        <v>322</v>
      </c>
      <c r="D186" s="128" t="s">
        <v>441</v>
      </c>
      <c r="E186" s="149"/>
      <c r="F186" s="17" t="s">
        <v>471</v>
      </c>
      <c r="G186" s="85">
        <v>1</v>
      </c>
      <c r="H186" s="86">
        <v>0</v>
      </c>
      <c r="I186" s="6"/>
    </row>
    <row r="187" spans="1:9" x14ac:dyDescent="0.25">
      <c r="A187" s="44" t="s">
        <v>149</v>
      </c>
      <c r="B187" s="17" t="s">
        <v>498</v>
      </c>
      <c r="C187" s="17" t="s">
        <v>323</v>
      </c>
      <c r="D187" s="128" t="s">
        <v>442</v>
      </c>
      <c r="E187" s="149"/>
      <c r="F187" s="17" t="s">
        <v>471</v>
      </c>
      <c r="G187" s="85">
        <v>1</v>
      </c>
      <c r="H187" s="86">
        <v>0</v>
      </c>
      <c r="I187" s="6"/>
    </row>
    <row r="188" spans="1:9" x14ac:dyDescent="0.25">
      <c r="A188" s="44" t="s">
        <v>150</v>
      </c>
      <c r="B188" s="17" t="s">
        <v>498</v>
      </c>
      <c r="C188" s="17" t="s">
        <v>324</v>
      </c>
      <c r="D188" s="128" t="s">
        <v>443</v>
      </c>
      <c r="E188" s="149"/>
      <c r="F188" s="17" t="s">
        <v>471</v>
      </c>
      <c r="G188" s="85">
        <v>1</v>
      </c>
      <c r="H188" s="86">
        <v>0</v>
      </c>
      <c r="I188" s="6"/>
    </row>
    <row r="189" spans="1:9" x14ac:dyDescent="0.25">
      <c r="A189" s="44" t="s">
        <v>151</v>
      </c>
      <c r="B189" s="17" t="s">
        <v>498</v>
      </c>
      <c r="C189" s="17" t="s">
        <v>326</v>
      </c>
      <c r="D189" s="128" t="s">
        <v>445</v>
      </c>
      <c r="E189" s="149"/>
      <c r="F189" s="17" t="s">
        <v>472</v>
      </c>
      <c r="G189" s="85">
        <v>635</v>
      </c>
      <c r="H189" s="86">
        <v>0</v>
      </c>
      <c r="I189" s="6"/>
    </row>
    <row r="190" spans="1:9" x14ac:dyDescent="0.25">
      <c r="A190" s="44" t="s">
        <v>152</v>
      </c>
      <c r="B190" s="17" t="s">
        <v>498</v>
      </c>
      <c r="C190" s="17" t="s">
        <v>328</v>
      </c>
      <c r="D190" s="128" t="s">
        <v>414</v>
      </c>
      <c r="E190" s="149"/>
      <c r="F190" s="17" t="s">
        <v>471</v>
      </c>
      <c r="G190" s="85">
        <v>1</v>
      </c>
      <c r="H190" s="86">
        <v>0</v>
      </c>
      <c r="I190" s="6"/>
    </row>
    <row r="191" spans="1:9" x14ac:dyDescent="0.25">
      <c r="A191" s="44" t="s">
        <v>153</v>
      </c>
      <c r="B191" s="17" t="s">
        <v>498</v>
      </c>
      <c r="C191" s="17" t="s">
        <v>329</v>
      </c>
      <c r="D191" s="128" t="s">
        <v>437</v>
      </c>
      <c r="E191" s="149"/>
      <c r="F191" s="17" t="s">
        <v>471</v>
      </c>
      <c r="G191" s="85">
        <v>1</v>
      </c>
      <c r="H191" s="86">
        <v>0</v>
      </c>
      <c r="I191" s="6"/>
    </row>
    <row r="192" spans="1:9" x14ac:dyDescent="0.25">
      <c r="A192" s="44" t="s">
        <v>154</v>
      </c>
      <c r="B192" s="17" t="s">
        <v>498</v>
      </c>
      <c r="C192" s="17" t="s">
        <v>330</v>
      </c>
      <c r="D192" s="128" t="s">
        <v>447</v>
      </c>
      <c r="E192" s="149"/>
      <c r="F192" s="17" t="s">
        <v>471</v>
      </c>
      <c r="G192" s="85">
        <v>1</v>
      </c>
      <c r="H192" s="86">
        <v>0</v>
      </c>
      <c r="I192" s="6"/>
    </row>
    <row r="193" spans="1:9" x14ac:dyDescent="0.25">
      <c r="A193" s="44" t="s">
        <v>155</v>
      </c>
      <c r="B193" s="17" t="s">
        <v>498</v>
      </c>
      <c r="C193" s="17" t="s">
        <v>331</v>
      </c>
      <c r="D193" s="128" t="s">
        <v>448</v>
      </c>
      <c r="E193" s="149"/>
      <c r="F193" s="17" t="s">
        <v>471</v>
      </c>
      <c r="G193" s="85">
        <v>1</v>
      </c>
      <c r="H193" s="86">
        <v>0</v>
      </c>
      <c r="I193" s="6"/>
    </row>
    <row r="194" spans="1:9" x14ac:dyDescent="0.25">
      <c r="A194" s="44" t="s">
        <v>156</v>
      </c>
      <c r="B194" s="17" t="s">
        <v>498</v>
      </c>
      <c r="C194" s="17" t="s">
        <v>332</v>
      </c>
      <c r="D194" s="128" t="s">
        <v>443</v>
      </c>
      <c r="E194" s="149"/>
      <c r="F194" s="17" t="s">
        <v>471</v>
      </c>
      <c r="G194" s="85">
        <v>1</v>
      </c>
      <c r="H194" s="86">
        <v>0</v>
      </c>
      <c r="I194" s="6"/>
    </row>
    <row r="195" spans="1:9" x14ac:dyDescent="0.25">
      <c r="A195" s="4" t="s">
        <v>157</v>
      </c>
      <c r="B195" s="13" t="s">
        <v>499</v>
      </c>
      <c r="C195" s="13" t="s">
        <v>334</v>
      </c>
      <c r="D195" s="148" t="s">
        <v>451</v>
      </c>
      <c r="E195" s="149"/>
      <c r="F195" s="13" t="s">
        <v>471</v>
      </c>
      <c r="G195" s="80">
        <v>1</v>
      </c>
      <c r="H195" s="59">
        <v>0</v>
      </c>
      <c r="I195" s="6"/>
    </row>
    <row r="196" spans="1:9" x14ac:dyDescent="0.25">
      <c r="A196" s="4" t="s">
        <v>158</v>
      </c>
      <c r="B196" s="13" t="s">
        <v>499</v>
      </c>
      <c r="C196" s="13" t="s">
        <v>335</v>
      </c>
      <c r="D196" s="148" t="s">
        <v>452</v>
      </c>
      <c r="E196" s="149"/>
      <c r="F196" s="13" t="s">
        <v>471</v>
      </c>
      <c r="G196" s="80">
        <v>1</v>
      </c>
      <c r="H196" s="59">
        <v>0</v>
      </c>
      <c r="I196" s="6"/>
    </row>
    <row r="197" spans="1:9" x14ac:dyDescent="0.25">
      <c r="A197" s="4" t="s">
        <v>159</v>
      </c>
      <c r="B197" s="13" t="s">
        <v>499</v>
      </c>
      <c r="C197" s="13" t="s">
        <v>336</v>
      </c>
      <c r="D197" s="148" t="s">
        <v>453</v>
      </c>
      <c r="E197" s="149"/>
      <c r="F197" s="13" t="s">
        <v>471</v>
      </c>
      <c r="G197" s="80">
        <v>1</v>
      </c>
      <c r="H197" s="59">
        <v>0</v>
      </c>
      <c r="I197" s="6"/>
    </row>
    <row r="198" spans="1:9" x14ac:dyDescent="0.25">
      <c r="A198" s="4" t="s">
        <v>160</v>
      </c>
      <c r="B198" s="13" t="s">
        <v>499</v>
      </c>
      <c r="C198" s="13" t="s">
        <v>337</v>
      </c>
      <c r="D198" s="148" t="s">
        <v>454</v>
      </c>
      <c r="E198" s="149"/>
      <c r="F198" s="13" t="s">
        <v>471</v>
      </c>
      <c r="G198" s="80">
        <v>1</v>
      </c>
      <c r="H198" s="59">
        <v>0</v>
      </c>
      <c r="I198" s="6"/>
    </row>
    <row r="199" spans="1:9" x14ac:dyDescent="0.25">
      <c r="A199" s="4" t="s">
        <v>161</v>
      </c>
      <c r="B199" s="13" t="s">
        <v>499</v>
      </c>
      <c r="C199" s="13" t="s">
        <v>338</v>
      </c>
      <c r="D199" s="148" t="s">
        <v>455</v>
      </c>
      <c r="E199" s="149"/>
      <c r="F199" s="13" t="s">
        <v>471</v>
      </c>
      <c r="G199" s="80">
        <v>1</v>
      </c>
      <c r="H199" s="59">
        <v>0</v>
      </c>
      <c r="I199" s="6"/>
    </row>
    <row r="200" spans="1:9" x14ac:dyDescent="0.25">
      <c r="A200" s="4" t="s">
        <v>162</v>
      </c>
      <c r="B200" s="13" t="s">
        <v>499</v>
      </c>
      <c r="C200" s="13" t="s">
        <v>339</v>
      </c>
      <c r="D200" s="148" t="s">
        <v>456</v>
      </c>
      <c r="E200" s="149"/>
      <c r="F200" s="13" t="s">
        <v>471</v>
      </c>
      <c r="G200" s="80">
        <v>1</v>
      </c>
      <c r="H200" s="59">
        <v>0</v>
      </c>
      <c r="I200" s="6"/>
    </row>
    <row r="201" spans="1:9" x14ac:dyDescent="0.25">
      <c r="A201" s="4" t="s">
        <v>163</v>
      </c>
      <c r="B201" s="13" t="s">
        <v>499</v>
      </c>
      <c r="C201" s="13" t="s">
        <v>340</v>
      </c>
      <c r="D201" s="148" t="s">
        <v>457</v>
      </c>
      <c r="E201" s="149"/>
      <c r="F201" s="13" t="s">
        <v>471</v>
      </c>
      <c r="G201" s="80">
        <v>1</v>
      </c>
      <c r="H201" s="59">
        <v>0</v>
      </c>
      <c r="I201" s="6"/>
    </row>
    <row r="202" spans="1:9" x14ac:dyDescent="0.25">
      <c r="A202" s="4" t="s">
        <v>164</v>
      </c>
      <c r="B202" s="13" t="s">
        <v>499</v>
      </c>
      <c r="C202" s="13" t="s">
        <v>341</v>
      </c>
      <c r="D202" s="148" t="s">
        <v>458</v>
      </c>
      <c r="E202" s="149"/>
      <c r="F202" s="13" t="s">
        <v>471</v>
      </c>
      <c r="G202" s="80">
        <v>1</v>
      </c>
      <c r="H202" s="59">
        <v>0</v>
      </c>
      <c r="I202" s="6"/>
    </row>
    <row r="203" spans="1:9" x14ac:dyDescent="0.25">
      <c r="A203" s="4" t="s">
        <v>165</v>
      </c>
      <c r="B203" s="13" t="s">
        <v>499</v>
      </c>
      <c r="C203" s="13" t="s">
        <v>342</v>
      </c>
      <c r="D203" s="148" t="s">
        <v>459</v>
      </c>
      <c r="E203" s="149"/>
      <c r="F203" s="13" t="s">
        <v>471</v>
      </c>
      <c r="G203" s="80">
        <v>1</v>
      </c>
      <c r="H203" s="59">
        <v>0</v>
      </c>
      <c r="I203" s="6"/>
    </row>
    <row r="204" spans="1:9" x14ac:dyDescent="0.25">
      <c r="A204" s="4" t="s">
        <v>166</v>
      </c>
      <c r="B204" s="13" t="s">
        <v>499</v>
      </c>
      <c r="C204" s="13" t="s">
        <v>343</v>
      </c>
      <c r="D204" s="148" t="s">
        <v>460</v>
      </c>
      <c r="E204" s="149"/>
      <c r="F204" s="13" t="s">
        <v>471</v>
      </c>
      <c r="G204" s="80">
        <v>1</v>
      </c>
      <c r="H204" s="59">
        <v>0</v>
      </c>
      <c r="I204" s="6"/>
    </row>
    <row r="205" spans="1:9" x14ac:dyDescent="0.25">
      <c r="A205" s="4" t="s">
        <v>167</v>
      </c>
      <c r="B205" s="13" t="s">
        <v>499</v>
      </c>
      <c r="C205" s="13" t="s">
        <v>344</v>
      </c>
      <c r="D205" s="148" t="s">
        <v>461</v>
      </c>
      <c r="E205" s="149"/>
      <c r="F205" s="13" t="s">
        <v>471</v>
      </c>
      <c r="G205" s="80">
        <v>1</v>
      </c>
      <c r="H205" s="59">
        <v>0</v>
      </c>
      <c r="I205" s="6"/>
    </row>
    <row r="206" spans="1:9" x14ac:dyDescent="0.25">
      <c r="A206" s="7" t="s">
        <v>168</v>
      </c>
      <c r="B206" s="16" t="s">
        <v>499</v>
      </c>
      <c r="C206" s="16" t="s">
        <v>345</v>
      </c>
      <c r="D206" s="150" t="s">
        <v>462</v>
      </c>
      <c r="E206" s="151"/>
      <c r="F206" s="16" t="s">
        <v>471</v>
      </c>
      <c r="G206" s="84">
        <v>1</v>
      </c>
      <c r="H206" s="61">
        <v>0</v>
      </c>
      <c r="I206" s="6"/>
    </row>
    <row r="207" spans="1:9" x14ac:dyDescent="0.25">
      <c r="A207" s="8"/>
      <c r="B207" s="8"/>
      <c r="C207" s="8"/>
      <c r="D207" s="8"/>
      <c r="E207" s="8"/>
      <c r="F207" s="8"/>
      <c r="G207" s="8"/>
      <c r="H207" s="8"/>
    </row>
    <row r="208" spans="1:9" ht="11.25" customHeight="1" x14ac:dyDescent="0.25">
      <c r="A208" s="9" t="s">
        <v>169</v>
      </c>
    </row>
    <row r="209" spans="1:7" x14ac:dyDescent="0.25">
      <c r="A209" s="104"/>
      <c r="B209" s="105"/>
      <c r="C209" s="105"/>
      <c r="D209" s="105"/>
      <c r="E209" s="105"/>
      <c r="F209" s="105"/>
      <c r="G209" s="105"/>
    </row>
  </sheetData>
  <mergeCells count="215">
    <mergeCell ref="A1:H1"/>
    <mergeCell ref="A2:B3"/>
    <mergeCell ref="C2:D3"/>
    <mergeCell ref="E2:E3"/>
    <mergeCell ref="F2:H3"/>
    <mergeCell ref="A4:B5"/>
    <mergeCell ref="C4:D5"/>
    <mergeCell ref="E4:E5"/>
    <mergeCell ref="F4:H5"/>
    <mergeCell ref="D10:E10"/>
    <mergeCell ref="D11:E11"/>
    <mergeCell ref="E12:F12"/>
    <mergeCell ref="D13:E13"/>
    <mergeCell ref="E14:F14"/>
    <mergeCell ref="D15:E15"/>
    <mergeCell ref="A6:B7"/>
    <mergeCell ref="C6:D7"/>
    <mergeCell ref="E6:E7"/>
    <mergeCell ref="F6:H7"/>
    <mergeCell ref="A8:B9"/>
    <mergeCell ref="C8:D9"/>
    <mergeCell ref="E8:E9"/>
    <mergeCell ref="F8:H9"/>
    <mergeCell ref="E22:F22"/>
    <mergeCell ref="D23:E23"/>
    <mergeCell ref="E24:F24"/>
    <mergeCell ref="D25:E25"/>
    <mergeCell ref="E26:F26"/>
    <mergeCell ref="D27:E27"/>
    <mergeCell ref="E16:F16"/>
    <mergeCell ref="D17:E17"/>
    <mergeCell ref="E18:F18"/>
    <mergeCell ref="D19:E19"/>
    <mergeCell ref="E20:F20"/>
    <mergeCell ref="D21:E21"/>
    <mergeCell ref="E34:F34"/>
    <mergeCell ref="E35:F35"/>
    <mergeCell ref="E36:F36"/>
    <mergeCell ref="E37:F37"/>
    <mergeCell ref="D38:E38"/>
    <mergeCell ref="E39:F39"/>
    <mergeCell ref="E28:F28"/>
    <mergeCell ref="D29:E29"/>
    <mergeCell ref="E30:F30"/>
    <mergeCell ref="D31:E31"/>
    <mergeCell ref="E32:F32"/>
    <mergeCell ref="D33:E33"/>
    <mergeCell ref="E46:F46"/>
    <mergeCell ref="E47:F47"/>
    <mergeCell ref="D48:E48"/>
    <mergeCell ref="E49:F49"/>
    <mergeCell ref="D50:E50"/>
    <mergeCell ref="E51:F51"/>
    <mergeCell ref="D40:E40"/>
    <mergeCell ref="E41:F41"/>
    <mergeCell ref="D42:E42"/>
    <mergeCell ref="E43:F43"/>
    <mergeCell ref="E44:F44"/>
    <mergeCell ref="D45:E45"/>
    <mergeCell ref="D58:E58"/>
    <mergeCell ref="E59:F59"/>
    <mergeCell ref="D60:E60"/>
    <mergeCell ref="E61:F61"/>
    <mergeCell ref="D62:E62"/>
    <mergeCell ref="E63:F63"/>
    <mergeCell ref="E52:F52"/>
    <mergeCell ref="D53:E53"/>
    <mergeCell ref="E54:F54"/>
    <mergeCell ref="E55:F55"/>
    <mergeCell ref="D56:E56"/>
    <mergeCell ref="E57:F57"/>
    <mergeCell ref="D70:E70"/>
    <mergeCell ref="E71:F71"/>
    <mergeCell ref="D72:E72"/>
    <mergeCell ref="D73:E73"/>
    <mergeCell ref="D74:E74"/>
    <mergeCell ref="D75:E75"/>
    <mergeCell ref="D64:E64"/>
    <mergeCell ref="E65:F65"/>
    <mergeCell ref="D66:E66"/>
    <mergeCell ref="E67:F67"/>
    <mergeCell ref="D68:E68"/>
    <mergeCell ref="E69:F69"/>
    <mergeCell ref="D82:E82"/>
    <mergeCell ref="D83:E83"/>
    <mergeCell ref="D84:E84"/>
    <mergeCell ref="D85:E85"/>
    <mergeCell ref="D86:E86"/>
    <mergeCell ref="D87:E87"/>
    <mergeCell ref="D76:E76"/>
    <mergeCell ref="D77:E77"/>
    <mergeCell ref="D78:E78"/>
    <mergeCell ref="D79:E79"/>
    <mergeCell ref="D80:E80"/>
    <mergeCell ref="D81:E81"/>
    <mergeCell ref="D94:E94"/>
    <mergeCell ref="D95:E95"/>
    <mergeCell ref="D96:E96"/>
    <mergeCell ref="D97:E97"/>
    <mergeCell ref="D98:E98"/>
    <mergeCell ref="D99:E99"/>
    <mergeCell ref="D88:E88"/>
    <mergeCell ref="D89:E89"/>
    <mergeCell ref="D90:E90"/>
    <mergeCell ref="D91:E91"/>
    <mergeCell ref="D92:E92"/>
    <mergeCell ref="D93:E93"/>
    <mergeCell ref="D106:E106"/>
    <mergeCell ref="D107:E107"/>
    <mergeCell ref="D108:E108"/>
    <mergeCell ref="D109:E109"/>
    <mergeCell ref="D110:E110"/>
    <mergeCell ref="D111:E111"/>
    <mergeCell ref="D100:E100"/>
    <mergeCell ref="D101:E101"/>
    <mergeCell ref="D102:E102"/>
    <mergeCell ref="D103:E103"/>
    <mergeCell ref="D104:E104"/>
    <mergeCell ref="D105:E105"/>
    <mergeCell ref="D118:E118"/>
    <mergeCell ref="D119:E119"/>
    <mergeCell ref="D120:E120"/>
    <mergeCell ref="D121:E121"/>
    <mergeCell ref="D122:E122"/>
    <mergeCell ref="D123:E123"/>
    <mergeCell ref="D112:E112"/>
    <mergeCell ref="D113:E113"/>
    <mergeCell ref="D114:E114"/>
    <mergeCell ref="D115:E115"/>
    <mergeCell ref="D116:E116"/>
    <mergeCell ref="D117:E117"/>
    <mergeCell ref="D130:E130"/>
    <mergeCell ref="D131:E131"/>
    <mergeCell ref="D132:E132"/>
    <mergeCell ref="D133:E133"/>
    <mergeCell ref="D134:E134"/>
    <mergeCell ref="D135:E135"/>
    <mergeCell ref="D124:E124"/>
    <mergeCell ref="D125:E125"/>
    <mergeCell ref="D126:E126"/>
    <mergeCell ref="D127:E127"/>
    <mergeCell ref="D128:E128"/>
    <mergeCell ref="D129:E129"/>
    <mergeCell ref="D142:E142"/>
    <mergeCell ref="D143:E143"/>
    <mergeCell ref="D144:E144"/>
    <mergeCell ref="D145:E145"/>
    <mergeCell ref="D146:E146"/>
    <mergeCell ref="D147:E147"/>
    <mergeCell ref="D136:E136"/>
    <mergeCell ref="D137:E137"/>
    <mergeCell ref="D138:E138"/>
    <mergeCell ref="D139:E139"/>
    <mergeCell ref="D140:E140"/>
    <mergeCell ref="D141:E141"/>
    <mergeCell ref="D154:E154"/>
    <mergeCell ref="D155:E155"/>
    <mergeCell ref="D156:E156"/>
    <mergeCell ref="D157:E157"/>
    <mergeCell ref="D158:E158"/>
    <mergeCell ref="D159:E159"/>
    <mergeCell ref="D148:E148"/>
    <mergeCell ref="D149:E149"/>
    <mergeCell ref="D150:E150"/>
    <mergeCell ref="D151:E151"/>
    <mergeCell ref="D152:E152"/>
    <mergeCell ref="D153:E153"/>
    <mergeCell ref="D166:E166"/>
    <mergeCell ref="D167:E167"/>
    <mergeCell ref="D168:E168"/>
    <mergeCell ref="D169:E169"/>
    <mergeCell ref="D170:E170"/>
    <mergeCell ref="D171:E171"/>
    <mergeCell ref="D160:E160"/>
    <mergeCell ref="D161:E161"/>
    <mergeCell ref="D162:E162"/>
    <mergeCell ref="D163:E163"/>
    <mergeCell ref="D164:E164"/>
    <mergeCell ref="D165:E165"/>
    <mergeCell ref="D178:E178"/>
    <mergeCell ref="D179:E179"/>
    <mergeCell ref="D180:E180"/>
    <mergeCell ref="D181:E181"/>
    <mergeCell ref="D182:E182"/>
    <mergeCell ref="D183:E183"/>
    <mergeCell ref="D172:E172"/>
    <mergeCell ref="D173:E173"/>
    <mergeCell ref="D174:E174"/>
    <mergeCell ref="D175:E175"/>
    <mergeCell ref="D176:E176"/>
    <mergeCell ref="D177:E177"/>
    <mergeCell ref="D190:E190"/>
    <mergeCell ref="D191:E191"/>
    <mergeCell ref="D192:E192"/>
    <mergeCell ref="D193:E193"/>
    <mergeCell ref="D194:E194"/>
    <mergeCell ref="D195:E195"/>
    <mergeCell ref="D184:E184"/>
    <mergeCell ref="D185:E185"/>
    <mergeCell ref="D186:E186"/>
    <mergeCell ref="D187:E187"/>
    <mergeCell ref="D188:E188"/>
    <mergeCell ref="D189:E189"/>
    <mergeCell ref="D202:E202"/>
    <mergeCell ref="D203:E203"/>
    <mergeCell ref="D204:E204"/>
    <mergeCell ref="D205:E205"/>
    <mergeCell ref="D206:E206"/>
    <mergeCell ref="A209:G209"/>
    <mergeCell ref="D196:E196"/>
    <mergeCell ref="D197:E197"/>
    <mergeCell ref="D198:E198"/>
    <mergeCell ref="D199:E199"/>
    <mergeCell ref="D200:E200"/>
    <mergeCell ref="D201:E201"/>
  </mergeCells>
  <pageMargins left="0.39400000000000002" right="0.39400000000000002" top="0.59099999999999997" bottom="0.59099999999999997" header="0.5" footer="0.5"/>
  <pageSetup paperSize="0" fitToHeight="0" orientation="portrait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Krycí list rozpočtu</vt:lpstr>
      <vt:lpstr>Stavební rozpočet - součet</vt:lpstr>
      <vt:lpstr>Stavební rozpočet</vt:lpstr>
      <vt:lpstr>Výkaz výměr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Hefner</dc:creator>
  <cp:lastModifiedBy>Machatý Petr</cp:lastModifiedBy>
  <dcterms:created xsi:type="dcterms:W3CDTF">2021-05-07T09:42:47Z</dcterms:created>
  <dcterms:modified xsi:type="dcterms:W3CDTF">2022-03-18T05:44:06Z</dcterms:modified>
</cp:coreProperties>
</file>