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9040" windowHeight="15990" activeTab="0"/>
  </bookViews>
  <sheets>
    <sheet name="Krycí list" sheetId="2" r:id="rId1"/>
    <sheet name="Příloha č. 4 Zadávací VV" sheetId="1" r:id="rId2"/>
  </sheets>
  <definedNames>
    <definedName name="_xlnm.Print_Area" localSheetId="1">'Příloha č. 4 Zadávací VV'!$B$2:$M$76</definedName>
    <definedName name="_xlnm.Print_Titles" localSheetId="1">'Příloha č. 4 Zadávací VV'!$5:$7</definedName>
  </definedNames>
  <calcPr calcId="191029"/>
  <extLst/>
</workbook>
</file>

<file path=xl/sharedStrings.xml><?xml version="1.0" encoding="utf-8"?>
<sst xmlns="http://schemas.openxmlformats.org/spreadsheetml/2006/main" count="368" uniqueCount="280">
  <si>
    <t>Název položky</t>
  </si>
  <si>
    <t>kus</t>
  </si>
  <si>
    <t>t</t>
  </si>
  <si>
    <t>hod</t>
  </si>
  <si>
    <t>Poznámka položky, technická, technologická specifikace, komentář k položce</t>
  </si>
  <si>
    <t>MJ</t>
  </si>
  <si>
    <t>Ostatní náklady stavby</t>
  </si>
  <si>
    <t>012 10-3000</t>
  </si>
  <si>
    <r>
      <t>m</t>
    </r>
    <r>
      <rPr>
        <vertAlign val="superscript"/>
        <sz val="9"/>
        <rFont val="Calibri"/>
        <family val="2"/>
        <scheme val="minor"/>
      </rPr>
      <t>3</t>
    </r>
  </si>
  <si>
    <t>Výkaz výměr</t>
  </si>
  <si>
    <t>m</t>
  </si>
  <si>
    <r>
      <t>m</t>
    </r>
    <r>
      <rPr>
        <vertAlign val="superscript"/>
        <sz val="9"/>
        <rFont val="Calibri"/>
        <family val="2"/>
        <scheme val="minor"/>
      </rPr>
      <t>2</t>
    </r>
  </si>
  <si>
    <t>Název stavby:</t>
  </si>
  <si>
    <t>Číslo položky</t>
  </si>
  <si>
    <t>Zadavatel:</t>
  </si>
  <si>
    <t>ZADÁVACÍ VÝKAZ VÝMĚR, SPECIFIKACE MATERIÁLU A PRACÍ</t>
  </si>
  <si>
    <t>agreg.</t>
  </si>
  <si>
    <t>944 51-1111</t>
  </si>
  <si>
    <t>944 51-1211</t>
  </si>
  <si>
    <t>944 51-1811</t>
  </si>
  <si>
    <t>Demontáž ochranné sítě z textilie z umělých vláken</t>
  </si>
  <si>
    <t>155 21-1112</t>
  </si>
  <si>
    <t>Očištění  skalních ploch horolezeckou technikou - odstr. keřů a stromů do pr. 10 cm vč. stažení k zemi, odklizení na hromady na vzd. do 50 m nebo naložení na dopravní prostředek</t>
  </si>
  <si>
    <t>155 21-1122</t>
  </si>
  <si>
    <t>Očištění  skalních ploch horolezeckou technikou - očištění ručními nástroji, motykami a páčidly</t>
  </si>
  <si>
    <t>155 21-1311</t>
  </si>
  <si>
    <t>997 00-2511</t>
  </si>
  <si>
    <t>997 00-2519</t>
  </si>
  <si>
    <t>Č.</t>
  </si>
  <si>
    <t>Množství celkem</t>
  </si>
  <si>
    <t>155 21-2116</t>
  </si>
  <si>
    <t>Geodetické práce před výstavbou</t>
  </si>
  <si>
    <t>soubor</t>
  </si>
  <si>
    <t>013 25-4000</t>
  </si>
  <si>
    <t>030 00-1000</t>
  </si>
  <si>
    <t>Vybavení staveniště, přenosné zdroje, zabezpečení staveniště, sociální zařízení, včetně jeho odstranění</t>
  </si>
  <si>
    <t>Demontáž ochranné sítě z textilie z umělých vláken.</t>
  </si>
  <si>
    <t>Pol. č. 2</t>
  </si>
  <si>
    <t>Odstranění volných částí a bloků do mocnosti 0,35 m, průměrně. Realizováno horolezeckým způsobem, pomocí ručního nářadí či lokálně s pneu. kladivy.</t>
  </si>
  <si>
    <t>Nakládání vyzískaného materiálu, který nemá v ceně započtenou nakládku.</t>
  </si>
  <si>
    <t>Vodorovná doprava suti na skládku se složením hrub. urovnáním na vzdálenost 1 km.</t>
  </si>
  <si>
    <t>Jednotná dodávka prací</t>
  </si>
  <si>
    <t>Zaměření a vytýčení inženýrsých sítí, projektovaných ploch a linií stavby.</t>
  </si>
  <si>
    <t>Jednotná dodávka prací, dáno vyhláškou</t>
  </si>
  <si>
    <t>Přesná specifikace materiálů a postupu prací viz vyhl. č. 499/2006 Sb.</t>
  </si>
  <si>
    <t>Realizace vrtů pro kotevní prvky. Vrtání pneumatickými kladivy s výplachem vzduchem.</t>
  </si>
  <si>
    <t>Plocha potřebná k zařízení staveniště.</t>
  </si>
  <si>
    <t>Pokládka ochranných gumových plátů, včetně jejich odstranění po dokončení stavby</t>
  </si>
  <si>
    <t>Ochranné textilní PA sítě výšky min. 3,0 m. Okatost sítí 35 – 100 mm, ø PA šňůrky 3,5 mm.  Za realizaci a taky jejich odstranění je zodpovědný dodavatel sanačních prací.</t>
  </si>
  <si>
    <t>Předpokládaná doba zajištění je 31 dní.</t>
  </si>
  <si>
    <t>Pol. č. 2 x 31 dní</t>
  </si>
  <si>
    <t>Odstranění vegetace, náletů a křovin ze svahu v částečné ploše půdorysně dané obvodem stavby.</t>
  </si>
  <si>
    <t>281 60-1111</t>
  </si>
  <si>
    <t>Injektování aktivovanými směsmi, nízkotlaké vzestupné tlakem do 0,6 Mpa</t>
  </si>
  <si>
    <t>Vrty do skalních stěn prováděné horolezeckou technikou, hloubky do 5 m, přenosnými vrtacími kladivy, průměru do 56 mm, v hornině třídy V a VI</t>
  </si>
  <si>
    <t>012 30-3000</t>
  </si>
  <si>
    <t>Geodetické práce po výstavbě</t>
  </si>
  <si>
    <t>Projektová dokumentace skutečného provedení stavby - DSPS</t>
  </si>
  <si>
    <t>Zaměření skutečného stavu.</t>
  </si>
  <si>
    <t>Gumenné pláty, které budou chránit asfaltový povrch před mechanickým poškozením, případným pádem horniny. Za realizaci a taky jejich odstranění je zodpovědný dodavatel sanačních prací.</t>
  </si>
  <si>
    <t>944 31-1112</t>
  </si>
  <si>
    <t>Montáž ochranného ohrazení trubkového nebo dílcového na vnějších stranách objektů s hl. pádu do 6 m</t>
  </si>
  <si>
    <t>944 31-1211</t>
  </si>
  <si>
    <t>Příplatek za první a každý další den použití ohrazení</t>
  </si>
  <si>
    <t>944 31-1812</t>
  </si>
  <si>
    <t>Demontáž záchytného ohrazení trubkového nebo dílcového na vnějších stranách objektů s hl. pádu do 6 m</t>
  </si>
  <si>
    <t>Montáž ochranné sítě z textilie z umělých vláken, zavěšené na konstrukci lešení</t>
  </si>
  <si>
    <t>Příplatek k ochranné síti za první a ZKD den použití sítě</t>
  </si>
  <si>
    <t>Pol. č. 5 x 31 dní</t>
  </si>
  <si>
    <t>Pol. č. 5</t>
  </si>
  <si>
    <t>Ochranné trubkové ohrazení, které bude instalováno do stávajících bet. svodidel. Na této konstrukci budou pověsene ochranné textilní PA sítě.</t>
  </si>
  <si>
    <t>Demontáž ochranného trubkového ohrazení.</t>
  </si>
  <si>
    <t>Poplatek za uložení odpadu ze sypaniny na skládce (skládkovné)</t>
  </si>
  <si>
    <t>789 32-1120</t>
  </si>
  <si>
    <t>155 21-3112</t>
  </si>
  <si>
    <t>Trny z oceli prováděné horolezeckou technikou, bez oka z celozávitové oceli pro uchycení sítí, zainjektované cem. maltou, délky do 3 m, průměru přes 20 do 26 mm</t>
  </si>
  <si>
    <t>Předpokládaná vzdálenost odvozu materiálu na skládku je 20 km.</t>
  </si>
  <si>
    <t>Zákonný poplatek za skládkovné stavebního odpadu.</t>
  </si>
  <si>
    <t>Zhotovení nátěru ocelových konstrukcí třídy I, jednosložkového vrchního, tloušťky do 40 μm</t>
  </si>
  <si>
    <t>Nátěr kotevních prvků kompozitní pryskyřicí na bázi polymerů, barva dle skal. podkladu. Hustota 1,1421 g/cm³, obsah celkového org. uhlíku 0,336 kg/kg.</t>
  </si>
  <si>
    <t>112 15-1113</t>
  </si>
  <si>
    <t>Směrové kácení stromů s odřezáním kmene a s odvětvením, průměru kmene přes 300 do 400 mm</t>
  </si>
  <si>
    <t>Kotevní tyče ø 25 mm, dl. min. 2,0 m pro systémové a nesystémové kotvení sítí. Základní rastr kotvení je 3 x 2 m (podélně x svisle). Kotevní tyč je dodána včetně příslušenství (podložka 200 x 200 x 10 mm a matka).</t>
  </si>
  <si>
    <t>Sanace skal. masivu u ul. Pastýřská v Liberci, na p. p. č. 534, 566, 567/2, 568/1, 568/2, 568/3 v k. ú. Liberec</t>
  </si>
  <si>
    <t>statutární město Liberec, nám. Dr. E. Beneše 1/1, Liberec I - Staré Město, 460 59 Liberec</t>
  </si>
  <si>
    <t>Přípravné a přidružené práce a dočasné zajištění staveniště</t>
  </si>
  <si>
    <t>Odstranění vegetace, očištění, odtěžení a obnova aku. prostoru</t>
  </si>
  <si>
    <t>Odkopávky a prokopávky nezapažené s přehozením výkopku na vzd. do 3 m nebo s naložením na dopravní prostředek v hornině tř. 3 přes 100 do 1000 m³</t>
  </si>
  <si>
    <t>Odtěžení nestabilních hornin ze skalních stěn horolezeckou technikou s použitím pneumatického nářadí s přehozením na vzdálenost do 3 m nebo s naložením na dopravní prostředek</t>
  </si>
  <si>
    <t>911 38-1146</t>
  </si>
  <si>
    <t>Silniční svodidlo betonové, oboustranné, průběžné, délky 4 m, výšky 1,0 m</t>
  </si>
  <si>
    <t>911 38-1153</t>
  </si>
  <si>
    <t>Silniční svodidlo betonové, oboustranné, koncové, délky 4 m, výšky 1,0 m</t>
  </si>
  <si>
    <t xml:space="preserve">Lokální kotvení skalních bloků </t>
  </si>
  <si>
    <t>Plombování a kamenné podezdívky</t>
  </si>
  <si>
    <t>Oprava stávajících kamenných zídek</t>
  </si>
  <si>
    <t>Přesuny hmot</t>
  </si>
  <si>
    <t>041 50-3000</t>
  </si>
  <si>
    <t>Geotechnický dozor stavby</t>
  </si>
  <si>
    <t>Šířka 5 m x délka 8 m</t>
  </si>
  <si>
    <t>Kontrola provádění prací a přímá koordinace postupu a reakce na geotechnické podmínky stavby. Zodpovědná osoba splňující kvalifikační předpoklady geotechnického dozoru.</t>
  </si>
  <si>
    <t>Dozor geotechnika zhotovitele k provádění prací v rozsahu 4 dní x 8 hodin</t>
  </si>
  <si>
    <t>Vodorovné přemístění výkopku nebo sypaniny stavebním kolečkem, s naložením a vyprázdněním kolečka na hromady nebo do dopravního prostředku na vzd. do 10 m, z horniny tř. 5 až 7</t>
  </si>
  <si>
    <t>Příplatek k ceně za vodorovné přemístění stavebním kolečkem, ZKD 10 m</t>
  </si>
  <si>
    <t>997 00-2611</t>
  </si>
  <si>
    <t>Nakládání suti a vybouraných hmot na dopravní prostředek, pro vodorovné přemístění</t>
  </si>
  <si>
    <t>Vodorovné přemístění suti a vybourání hmot bez naložení, se složením a hrub. urovnáním na vzd. do 1 km</t>
  </si>
  <si>
    <t>Příplatek k ceně za vodorovné přemístění suti vybouraných hmot, ZKD 1 km přes 1 km</t>
  </si>
  <si>
    <t>Ruční rozebrání kamenných konstrukcí, zděných na sucho, s přebráním a očistěním vyzískaného kamene</t>
  </si>
  <si>
    <t>327 21-2122</t>
  </si>
  <si>
    <r>
      <t>Zdivo nadzákladové opěrných zdí a valů z lomového kamene štípaného nebo ruč. vybíraného, na sucho, z pravidelných kamenů, obj. jednoho kusu kamene přes 0,02 m</t>
    </r>
    <r>
      <rPr>
        <vertAlign val="superscript"/>
        <sz val="9"/>
        <rFont val="Calibri"/>
        <family val="2"/>
        <scheme val="minor"/>
      </rPr>
      <t>3</t>
    </r>
  </si>
  <si>
    <t>327 21-4122</t>
  </si>
  <si>
    <r>
      <t>Zdění zdiva nadzákladového opěrných zdí a valů z lomového kamene štípaného nebo ruč. vybíraného, na sucho, z pravidelných kamenů, obj. jednoho kusu kamene přes 0,02 m</t>
    </r>
    <r>
      <rPr>
        <vertAlign val="superscript"/>
        <sz val="9"/>
        <rFont val="Calibri"/>
        <family val="2"/>
        <scheme val="minor"/>
      </rPr>
      <t>3</t>
    </r>
  </si>
  <si>
    <t>327 21-2911</t>
  </si>
  <si>
    <t>Příplatek k cenám za lícování zdiva, jednostranné</t>
  </si>
  <si>
    <t>Hloubení zapažených i nezapaž. jam ručním nebo pneu. nářadím, s urovnáním dna do předeps. profilu a spádu, s přehoz. výkopku na vzd. do 3 m nebo s nalož. na dopr. prostředek, v horninách tř. 4, nesoudržných</t>
  </si>
  <si>
    <t>Příplatek k cenám hloubených vykopávek za lepivost horniny tř. 4</t>
  </si>
  <si>
    <t>275 31-1127</t>
  </si>
  <si>
    <t>Základové patky a bloky z betonu třídy C25/30, včetně dodání a uložení betonu do připravené konstrukce</t>
  </si>
  <si>
    <t>327 21-2112</t>
  </si>
  <si>
    <r>
      <t>Zdivo nadzákladové opěrných zdí a valů z lomového kamene štípaného nebo ruč. vybíraného, na sucho, z nepravidelných kamenů, obj. jednoho kusu kamene přes 0,02 m</t>
    </r>
    <r>
      <rPr>
        <vertAlign val="superscript"/>
        <sz val="9"/>
        <rFont val="Calibri"/>
        <family val="2"/>
        <scheme val="minor"/>
      </rPr>
      <t>3</t>
    </r>
  </si>
  <si>
    <t>327 21-4112</t>
  </si>
  <si>
    <r>
      <t>Zdění zdiva nadzákladového opěrných zdí a valů z lomového kamene štípaného nebo ruč. vybíraného, na sucho, z nepravidelných kamenů, obj. jednoho kusu kamene přes 0,02 m</t>
    </r>
    <r>
      <rPr>
        <vertAlign val="superscript"/>
        <sz val="9"/>
        <rFont val="Calibri"/>
        <family val="2"/>
        <scheme val="minor"/>
      </rPr>
      <t>3</t>
    </r>
  </si>
  <si>
    <t>327 21-1223</t>
  </si>
  <si>
    <r>
      <t>Zdivo nadzákladové opěrných zdí a valů z lomového kamene štípaného nebo ruč. vybíraného, na maltu, z pravidelných kamenů (na vazbu), obj. jednoho kusu kamene přes 0,02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, šířka spáry přes 10 do 20 mm</t>
    </r>
  </si>
  <si>
    <t>327 21-3223</t>
  </si>
  <si>
    <r>
      <t>Zdění zdiva nadzákladového opěrných zdí a valů z lomového kamene štípaného nebo ruč. vybíraného, na maltu, z pravidelných kamenů (na vazbu), obj. jednoho kusu kamene přes 0,02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, šířka spáry přes 10 do 20 mm</t>
    </r>
  </si>
  <si>
    <t>Vrty do skalních stěn prováděné horolezeckou technikou hloubky do 5 m přenosnými vrtacími kladivy průměru do 56 mm, v hornině třídy V a VI</t>
  </si>
  <si>
    <t>153 81-2121</t>
  </si>
  <si>
    <t>Trny z betonářské oceli včetně zainjektování, pr. přes 20 do 26 mm, délky přes 0,4 do 3 m</t>
  </si>
  <si>
    <t>628 63-1211</t>
  </si>
  <si>
    <t>Spárování zdiva opěrných zdí a valů, cementovou maltou, hloubky spárování do 30 mm, zdiva z lomového kamene, včetně spárovacích hmot</t>
  </si>
  <si>
    <t>Dl. sanovaného úseku 244 m</t>
  </si>
  <si>
    <t>Dl. úseku, kde bude prováděno odtěžování 30 m x šířka 2 m</t>
  </si>
  <si>
    <t>Dl. sanovaného úseku 244 m x výška 4 m</t>
  </si>
  <si>
    <t>Z důvodu zachování kompaktnosti skalní horniny masivu nebude prováděno mechanické odstraňování kořenů, ale bude použito chemického (herbicidního) prostředku. Každý kořen bude ručním způsobem odborně ošetřen.</t>
  </si>
  <si>
    <t>Půdorys. pl. skal. svahu pro odstranění náletu 1 767,1 m² x koef. sklonu 1,56 x koef. členitosti 1,2 x 60 % reálné pl. porostlé náletem</t>
  </si>
  <si>
    <t>75 % z půdorys. pl. skal. svahu pro očištění 161,4 m² x koef. sklonu 4,81 x koef. členitosti 1,2 x mocnost 0,2 m</t>
  </si>
  <si>
    <t>Dolamování určených bloků v rozsahu určeném projektantem, řízené odtěžení nestabilních bloků nad 0,3 m³ pomocí ruč. nářadí či lokálně s pneu. kladivy a odstranění starého zdiva a rozvolněné horniny kolem vstupů sklípků a dutin.</t>
  </si>
  <si>
    <t>Odtěžení bloků v kritických místech v rozsahu 1,9 + 2,6 m³ + dstranění starého zdiva a rozvolněné horniny kolem vstupů sklípků 5,7 m³</t>
  </si>
  <si>
    <t>(Půdorys. pl. 622,8 m² x průměrná výška napadávky horniny, či osypového kužele 1,2 m) x 0,5</t>
  </si>
  <si>
    <t>Vyčištění akumulačního prostoru od stávajících napadávek zvětralé horniny a organických zbytků. Realizováno pomocí ručního nářadí v kombinaci s těžkou mechanizací. Odtěžené hmoty budou v podobě suti odvezeny na skládku odpadů.</t>
  </si>
  <si>
    <t>Každá zídka bude začínat a končit náběhovým, tzv. koncovým dílem, rovněž délky 4 m. Celkem bude použito 6 koncových kusů.</t>
  </si>
  <si>
    <t>Betonové zídky budou provedeny z dílců profilu New Jersey (oboustranných) o rozměru jednoho kusu 1 x 0,7 x 4 m (v x š x dl). Celkem bude použito 23 průběžných kusů.</t>
  </si>
  <si>
    <t>Počečet navržených bet. zábran 3 ks x 2 ks koncové x délka jednoho kusu 4 m</t>
  </si>
  <si>
    <t>Realizace kotevní zálivky ve skalní stěně, aktivovanými směsmi s ruční přípravou a aktivací ve skalní stěně.</t>
  </si>
  <si>
    <t>Odborný odhad geotechnika dle členitosti skalní stěny a četnosti, velikosti a šířky puklin: 6 kusů</t>
  </si>
  <si>
    <t>Dvě kamenné, nestabilní zídky, kterých zdivo je již v pokročilém stupni zvětrání a částečně i chybí. Budou postupně, ručně rozebrány a vyzískané kamenivo bude očištěno a vytříděno od již nepoužitelného zdiva.</t>
  </si>
  <si>
    <t>Zídky rozměru přibližně 16 x 1,6 x 0,5 m a 7 x 1,5 x 0,5 m (dl x v x tl)</t>
  </si>
  <si>
    <t>Kamenný materiál, který bude určen k zpětnému použití, bude doplněn novým kamenivem. Bude použit dovezený kámen, z pravidelných kamenů, který bude opracován do formátu max. 0,2 x 0,3 x 0,3 m. Specifikace, viz TZ.</t>
  </si>
  <si>
    <t>Príplatek za jednostranné lícování zdiva.</t>
  </si>
  <si>
    <t>Vodorovná, vnitrostaveništní doprava (odvoz a dovoz) kamenného zdiva stavebním kolečkem z mezideponie, přímo k místu zdění nové konstrukce, respektive odvoz vyzískaného zdiva ručním rozebráním stávajících zídek.</t>
  </si>
  <si>
    <t>Předpokládaná vzdálenost odvozu a dovozu materiálu stavebním kolečkem je 40 m.</t>
  </si>
  <si>
    <t>(Zdivo zídky dl. 16 m bude nahrazeno z 35 % jejího původ. objemu) + (100 % zdiva zídky dl. 7 m)</t>
  </si>
  <si>
    <t>Znovuvyzdění kamenných zídek bude provedeno ručním způsobem a na sucho, s jednostranným lícováním zdiva.</t>
  </si>
  <si>
    <t>Spárování čelních ploch podezdívek. Vytvořené drenážní prostupy zvětšením rozestupu mezi jednotlivými bloky kamene budou bez příslušného vyspárování.</t>
  </si>
  <si>
    <t>Pol. č. 23</t>
  </si>
  <si>
    <r>
      <t>Obj. výkopů pro založení vyzdívek a pilířů: ((0,65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+ 0,75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+ 0,6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+ 2,5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+ 0,75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+ 1,35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) + (počet relev. dutin 5 x 3 pilíře na dutinu x výkop pro pilíř 0,18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)) x koef. zohledňující vyčištění dna dutin 3,5</t>
    </r>
  </si>
  <si>
    <r>
      <t>Obj. základů pro založení vyzdívek a pilířů: (0,65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+ 0,25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+ 0,2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+ 0,63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+ 0,25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+ 0,45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) + (počet relev. dutin 6 x 3 x pilíře na dutinu x základ pro pilíř 0,13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)</t>
    </r>
  </si>
  <si>
    <t>Rozměr dutiny dle zaměření 4 x 3 x 2,3 m (š x hl x v) + 30 % pro nerovnosti stěn a stropů</t>
  </si>
  <si>
    <r>
      <t>(Vyzd. 2,34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+ 3 x pil. 0,45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(vyzd. 1,9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+ 3 x pil. 0,45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(vyzd. 0,72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+ 3 x pil. 0,45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(vyzd. 2,88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(vyzd. 0,75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+ 3 x pil. 0,38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(vyzd. 1,62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+ 3 x pil. 0,45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+ 30 % pro nerovnosti stěn a stropů</t>
    </r>
  </si>
  <si>
    <t>Plocha všech vyzděných vstupů (4,68 m² + 1,8 m² + 1,44 m² + 5,75 m² + 1,5 m² + 3,24 m²) + 30 % pro výplně nerovností</t>
  </si>
  <si>
    <r>
      <t>Objem všech vyzdívek vstupů (2,34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+ 0,9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+ 0,72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+ 2,88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+ 0,75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+ 1,62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 + 30 % pro nerovnosti stěn a stropů</t>
    </r>
  </si>
  <si>
    <t>Založení všech pilířů a vyzdívek bude na upraveném horninovém masivu. Ve výjimečných případech, kdy by založení bylo nevyhovující, lze po konzultaci s geotechnikem provést založení na betonovém základě.</t>
  </si>
  <si>
    <t>Příplatek za lepivost nesoudržné horniny při hloubení jam.</t>
  </si>
  <si>
    <t>Vyčištění dna všech sklípků a dutin, a stejně tak hloubení jam pro založení betonových základů, bude provedeno ručním nebo pneumatickým nářadím a s urovnáním dna. Odtěžené hmoty budou odvezeny na skládku odpadů v podobě stavební suti.</t>
  </si>
  <si>
    <t>Vyzdívky všech vstupů budou po obvodu doplněny trny z betonářské oceli min. ø 25 mm, délky min. 0,8 m.</t>
  </si>
  <si>
    <t>Zdění pilířů a vyzdívek bude prováděno na maltu M25 XF3 s přísadou zvyšující přilnavost směsi k materiálu kamene. Ve vyzdívkách budou vytvořeny drenážní prostupy zvětšením rozestupu mezi jednotlivými bloky kamene bez příslušného vyspárování.</t>
  </si>
  <si>
    <t>Zdění, respektive vyskládání vnitřních prostor dutin s nestabilním stropem, bude provedeno na sucho, ručním způsobem.</t>
  </si>
  <si>
    <r>
      <t>Bude použit dovezený kámen, z nepravidelných kamenů, který bude opracován do formátu max. 0,2 x 0,3 x 0,3 m o objemu jednoho kusu přes 0,02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 Technické parametry, viz TZ.</t>
    </r>
  </si>
  <si>
    <r>
      <t>Bude použit dovezený kámen, z pravidelných kamenů, který bude opracován do formátu max. 0,2 x 0,3 x 0,3 m o objemu jednoho kusu přes 0,02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 Technické parametry, viz TZ.</t>
    </r>
  </si>
  <si>
    <t>184 10-2114</t>
  </si>
  <si>
    <t>Výsadba stromů s balem do předem vyhloubené jamky se zalitím, v rovině nebo na svahu do 1:5, při průměru balu přes 400 do 500 mm</t>
  </si>
  <si>
    <t>184 10-2114 R</t>
  </si>
  <si>
    <t>184 21-5133</t>
  </si>
  <si>
    <t>Ukotvení dřeviny kůly, třemi kůly, délky přes 2 do 3 m</t>
  </si>
  <si>
    <t>184 21-5133 R</t>
  </si>
  <si>
    <t>Dřevěné kůly se špicí, bez impregnace, průměru 60 mm, délky do 3 m</t>
  </si>
  <si>
    <t>184 80-1121</t>
  </si>
  <si>
    <t>Ošetření vysazených dřevin, solitérních, v rovině nebo na svahu do 1:5</t>
  </si>
  <si>
    <t>184 81-3121</t>
  </si>
  <si>
    <t>Ochrana dřevin před okusem zvěří, mechanicky, v rovině nebo na svahu do 1:5, pletivem, výšky do 2 m</t>
  </si>
  <si>
    <t>184 81-8111</t>
  </si>
  <si>
    <t>Vyvětvení a tvarový ořez dřevin s úpravou koruny při výšce stromu do 3 m</t>
  </si>
  <si>
    <t>185 80-4312</t>
  </si>
  <si>
    <r>
      <t>Zalití rostlin vodou, plochy záhonů jednotlivě přes 20 m</t>
    </r>
    <r>
      <rPr>
        <vertAlign val="superscript"/>
        <sz val="9"/>
        <rFont val="Calibri"/>
        <family val="2"/>
        <scheme val="minor"/>
      </rPr>
      <t>2</t>
    </r>
  </si>
  <si>
    <t>185 85-1121</t>
  </si>
  <si>
    <t>Dovoz vody pro zálivku rostlin, na vzdálenost do 1000 m</t>
  </si>
  <si>
    <t>185 85-1129</t>
  </si>
  <si>
    <t>Příplatek k ceně za dalších i započatých 1000 m</t>
  </si>
  <si>
    <t>185 81-1151</t>
  </si>
  <si>
    <r>
      <t>Shrabaní listí ručně nebo strojně, souvislé plochy do 1000 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s pokryvnými rostlinami, v rovině nebo na svahu do 1:5, vě vrstvě do 50 mm</t>
    </r>
  </si>
  <si>
    <t>184 91-1111</t>
  </si>
  <si>
    <t>Znovuuvázání dřeviny jedním úvazkem ke stávajícímu kůlu</t>
  </si>
  <si>
    <t>Náhradní výsadba zeleně</t>
  </si>
  <si>
    <t>Jednorázové ošetření každého kusu stromu po jeho vysazení. Ošetření zahrnuje odplevelení s nakypřením nebo vypletí, odstranění poškozených částí dřeviny s případ. složením odpadu na hromady, naložením, odvozem a složením.</t>
  </si>
  <si>
    <t>V rámci stavby a dle domluvy budou vysazeny 4 kusy nových stromů</t>
  </si>
  <si>
    <t>Pol. č. 41</t>
  </si>
  <si>
    <t>Pol. č. 44 x 5 let</t>
  </si>
  <si>
    <t>Ruční znovuuvázání dřeviny třemi úvazkami 1x rožně, po dobu 5 let.</t>
  </si>
  <si>
    <t>V rámci stavby dojde v katastru Liberec k náhradní výsadbě v počtu čtyř kusů nových stromů. Výsadba bude realizována po provedení všech sanačních prací, a to mimo skalní stěnu, kde má pouze narušující účinek.</t>
  </si>
  <si>
    <t>Po vysazení budou ke každému stromu zaraženy tři dřevěné kůly délky 3 m, včetně ochrany proti poškození kmene v místě vzepření. Zaražením nesmí být poškozen kořenový systém stromu.</t>
  </si>
  <si>
    <t>Mechanická ochrana kmínku, nově vysazených dřevin, před okusem zvěří.  Bude použito pletivo nebo jiný, podobně mechanicky odolný materiál. Výška ochrany bude do 2 m.</t>
  </si>
  <si>
    <t>Dřevěné kůly průměru 60 mm, délky do 3 m. Kůly budou bez impregnace a s jednou špicí.</t>
  </si>
  <si>
    <t>Vyvětvení a tvarový ořez dřevin s úpravou koruny 1x ročně, po dobu 5 let.</t>
  </si>
  <si>
    <t>Zalití nově vysazených dřevin vodou bude 5x do měsíce, v průběhu 6 měsíců po dobu 5 let. Na jeden strom je uvažováno 50 l vody.</t>
  </si>
  <si>
    <t>Dovoz vody pro zálivku rostlin s použitím cisternového vozidla, na vzdálenost do 1000 m.</t>
  </si>
  <si>
    <t>Předpokládaná vzdálenost dovozu vody ze zdroje je 6 km.</t>
  </si>
  <si>
    <t>Shrabaní listí ručně nebo strojně pod každým stromem v uvažované ploše 3,5 x 3,5 m, 1x ročně, po dobu 5 let. Shrabání zahrnuje naložení na dopravní prostrředek, odvoz do 20 km a složení listí.</t>
  </si>
  <si>
    <t>112 15-1112</t>
  </si>
  <si>
    <t>Směrové kácení stromů s odřezáním kmene a s odvětvením, průměru kmene přes 200 do 300 mm</t>
  </si>
  <si>
    <t>112 15-1115</t>
  </si>
  <si>
    <t>Směrové kácení stromů s odřezáním kmene a s odvětvením, průměru kmene přes 500 do 600 mm</t>
  </si>
  <si>
    <t>112 15-1117</t>
  </si>
  <si>
    <t>Směrové kácení stromů s odřezáním kmene a s odvětvením, průměru kmene přes 700 do 800 mm</t>
  </si>
  <si>
    <t>Chemické ošetření pařezů, v rovině nebo na svahu přes 1:2 do 1:1, průměru pařezu do 1 000 mm</t>
  </si>
  <si>
    <t>Mladý listnatý strom, dovezený, výšky do 2,5 m, s obvodem kmínku 140 - 160 mm, ve výšce 1 m</t>
  </si>
  <si>
    <t>V rámci rekognoskace lokality byly vytipovány 4 kusy vzrostlých stromů k odstranění, s obvodem kmene přes 630 do 940 mm</t>
  </si>
  <si>
    <t>Pokácení stromu s obvodem kmene přes 630 do 940 mm v celku, s odřezáním kmene a s odvětvením.</t>
  </si>
  <si>
    <t>V rámci rekognoskace lokality byl vytipován 1 kus vzrostlého stromu k odstranění, s obvodem kmene přes 940 do 1 260 mm</t>
  </si>
  <si>
    <t>V rámci rekognoskace lokality byl vytipován 1 kus vzrostlého stromu k odstranění, s obvodem kmene přes 1 570 do 1 880 mm</t>
  </si>
  <si>
    <t>V rámci rekognoskace lokality byl vytipován 1 kus vzrostlého stromu k odstranění, s obvodem kmene přes 2 200 do 2 510 mm</t>
  </si>
  <si>
    <t>Pokácení stromu s obvodem kmene přes 940 do 1 260 mm v celku, s odřezáním kmene a s odvětvením.</t>
  </si>
  <si>
    <t>Pokácení stromu s obvodem kmene přes 1 570 do 1 880 mm v celku, s odřezáním kmene a s odvětvením.</t>
  </si>
  <si>
    <t>Pokácení stromu s obvodem kmene přes 2 200 do 2 510 mm v celku, s odřezáním kmene a s odvětvením.</t>
  </si>
  <si>
    <t>Odborný předpoklad vyjádřený procenuelně z počtu kusů odstraněných stromů: 100 % z pol. č. (8 + 9 + 10 + 11) + 6 kusů stávajících, samostatných pařezů</t>
  </si>
  <si>
    <t>Délka odborně navržených bet. zábran (44 + 36 + 36 m) - pol. č. 18</t>
  </si>
  <si>
    <t>Pol. č. 20 x dl. vrtu 1,9 m; zaokrouhleno na celé m</t>
  </si>
  <si>
    <t>Pol. č. 19 x 0,15 h/bm vrtu</t>
  </si>
  <si>
    <r>
      <t>Pol. č. 20 x (povrch 1 m tyče 0,079522 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x koef. zohledňující závit 1,3) x délka kotevního prvku 2 m</t>
    </r>
  </si>
  <si>
    <t>Pol. č. 26</t>
  </si>
  <si>
    <t>Pol. č. 28</t>
  </si>
  <si>
    <t>Počet kusů z pol. č. 32 x půlka dl. trnu 0,4 m</t>
  </si>
  <si>
    <t>4 kusy trnů na 0,5 m³ podezdívky: (pol. č. 28 / 0,5 m³ ) x 4; zaokrouhleno na celé m</t>
  </si>
  <si>
    <t>Pol. č. 34</t>
  </si>
  <si>
    <t>Pol. č. 36</t>
  </si>
  <si>
    <t>Dovoz zdiva pro zdění sklípků a dutin (Pol. č. 26 + 28) + odvoz původ. a dovoz nového kamene pro znovuvyzdění zídek (2 x Pol. č. 34)</t>
  </si>
  <si>
    <t>Příplatek za dalších 30 m vzdálenosti: pol. č. 38 x 30 m</t>
  </si>
  <si>
    <t>(Pol. č. 14 + 35) x prům. obj. hmot. 2,3 t/m³</t>
  </si>
  <si>
    <t>((Pol. č. 14 + 15 + 35) x prům. obj. hmot. x 2,3 t/m³) + ((pol. č. 16 + 23) x prům. obj. hmot. x 2 t/m³)</t>
  </si>
  <si>
    <t>Příplatek za dalších 19 km vzdálenosti: pol. č. 41 x 19 km</t>
  </si>
  <si>
    <t>Pol. č. 44</t>
  </si>
  <si>
    <t>Pol. č. 44 x 3 kusy</t>
  </si>
  <si>
    <t>Pol. č. 44 x 50 litrů vody x 5 krát do měsíce x 6 měsíců x 5 let</t>
  </si>
  <si>
    <t>Pol. č. 52</t>
  </si>
  <si>
    <t>Pol. č. 53 x 5 km</t>
  </si>
  <si>
    <r>
      <t>Pol. č. 44 x plocha pod stromem (3,14 x 3,5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 x 5 let</t>
    </r>
  </si>
  <si>
    <t>Pol. č. 47 x 5 let</t>
  </si>
  <si>
    <t>Cena dodávky jednotková</t>
  </si>
  <si>
    <t>Cena montáže jednotková</t>
  </si>
  <si>
    <t>Dodávka celkem</t>
  </si>
  <si>
    <t>Montáž celkem</t>
  </si>
  <si>
    <t>Práce celkem</t>
  </si>
  <si>
    <t>184 85-1113 R</t>
  </si>
  <si>
    <t>kg</t>
  </si>
  <si>
    <t>Pol. č. 44 x 4 ks tablety na strom x hmotn. tablety 0,015 kg x 3 krát</t>
  </si>
  <si>
    <t>Hnojení tabletovým, pomalu rozpustným hnojivem, v rovině nebo na svahu do 1:5</t>
  </si>
  <si>
    <t>Hnojení tabletovým, pomalu rozpustným hnojivem (např. Silvamix forte), ob jeden rok po dobu 5 let. Na jeden strom jsou uvažovány 4 ks tablety o hmotnosti 0,015 kg/kus.</t>
  </si>
  <si>
    <t>Mladý listnatý strom, dovezený, výšky do 2,5 m, s obvodem kmínku 140 - 160 mm, ve výšce 1 m (3 ks hloh obecný, 1 ks štědřenec odvislý)</t>
  </si>
  <si>
    <t>Stavba, název akce:</t>
  </si>
  <si>
    <t>Zadavatel, investor:</t>
  </si>
  <si>
    <t>Část, díl, objekt:</t>
  </si>
  <si>
    <t>-</t>
  </si>
  <si>
    <t>Zpracovatel:</t>
  </si>
  <si>
    <t>Geotechnika Holý</t>
  </si>
  <si>
    <t>Datum:</t>
  </si>
  <si>
    <t>ROZPOČTOVÉ NÁKLADY</t>
  </si>
  <si>
    <t>Hlavní části stavby:</t>
  </si>
  <si>
    <t>Ostatní náklady stavby:</t>
  </si>
  <si>
    <t>Celkem hlavní části stavby:</t>
  </si>
  <si>
    <t>Celkem ostatní části stavby:</t>
  </si>
  <si>
    <t>Základ pro DPH</t>
  </si>
  <si>
    <t>DPH 21%</t>
  </si>
  <si>
    <t>CENA ZA STAVBU CELKEM</t>
  </si>
  <si>
    <t>Vypracoval:</t>
  </si>
  <si>
    <t>Jméno:</t>
  </si>
  <si>
    <t>Ing. Ondřej Holý</t>
  </si>
  <si>
    <t>Podpis, razítko:</t>
  </si>
  <si>
    <t>KRYCÍ LIST ZADÁVACÍHO VÝKAZU VÝMĚR</t>
  </si>
  <si>
    <r>
      <rPr>
        <b/>
        <i/>
        <sz val="10"/>
        <rFont val="Calibri"/>
        <family val="2"/>
      </rPr>
      <t>Počet stránek:</t>
    </r>
    <r>
      <rPr>
        <sz val="10"/>
        <rFont val="Calibri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</si>
</sst>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"/>
    <numFmt numFmtId="166" formatCode="* _-#,##0.00&quot; Kč&quot;;* \-#,##0.00&quot; Kč&quot;;* _-\-??&quot; Kč&quot;;@"/>
    <numFmt numFmtId="167" formatCode="#,##0.0"/>
    <numFmt numFmtId="168" formatCode="#,##0\ &quot;Kč&quot;"/>
    <numFmt numFmtId="169" formatCode="#,##0&quot; 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b/>
      <sz val="9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</font>
    <font>
      <b/>
      <sz val="20"/>
      <color theme="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2DA84C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1" xfId="24" applyFont="1" applyFill="1" applyBorder="1" applyAlignment="1">
      <alignment horizontal="center" vertical="center"/>
      <protection/>
    </xf>
    <xf numFmtId="0" fontId="3" fillId="0" borderId="2" xfId="2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2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7" fillId="0" borderId="1" xfId="24" applyNumberFormat="1" applyFont="1" applyFill="1" applyBorder="1" applyAlignment="1">
      <alignment horizontal="center" vertical="center" wrapText="1"/>
      <protection/>
    </xf>
    <xf numFmtId="0" fontId="3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/>
    <xf numFmtId="0" fontId="3" fillId="0" borderId="3" xfId="24" applyFont="1" applyFill="1" applyBorder="1" applyAlignment="1">
      <alignment horizontal="center" vertical="center"/>
      <protection/>
    </xf>
    <xf numFmtId="0" fontId="3" fillId="0" borderId="1" xfId="22" applyBorder="1" applyAlignment="1">
      <alignment horizontal="left" vertical="center" wrapText="1"/>
      <protection/>
    </xf>
    <xf numFmtId="0" fontId="3" fillId="0" borderId="4" xfId="22" applyBorder="1" applyAlignment="1">
      <alignment horizontal="left" vertical="center" wrapText="1"/>
      <protection/>
    </xf>
    <xf numFmtId="0" fontId="3" fillId="0" borderId="5" xfId="22" applyBorder="1" applyAlignment="1">
      <alignment horizontal="left" vertical="center" wrapText="1"/>
      <protection/>
    </xf>
    <xf numFmtId="49" fontId="13" fillId="2" borderId="6" xfId="22" applyNumberFormat="1" applyFont="1" applyFill="1" applyBorder="1" applyAlignment="1" applyProtection="1">
      <alignment horizontal="center" vertical="center"/>
      <protection locked="0"/>
    </xf>
    <xf numFmtId="49" fontId="13" fillId="2" borderId="7" xfId="22" applyNumberFormat="1" applyFont="1" applyFill="1" applyBorder="1" applyAlignment="1" applyProtection="1">
      <alignment horizontal="center" vertical="center"/>
      <protection locked="0"/>
    </xf>
    <xf numFmtId="49" fontId="13" fillId="2" borderId="8" xfId="22" applyNumberFormat="1" applyFont="1" applyFill="1" applyBorder="1" applyAlignment="1" applyProtection="1">
      <alignment horizontal="center" vertical="center"/>
      <protection locked="0"/>
    </xf>
    <xf numFmtId="0" fontId="3" fillId="0" borderId="3" xfId="24" applyFont="1" applyFill="1" applyBorder="1" applyAlignment="1">
      <alignment horizontal="center" vertical="center" wrapText="1"/>
      <protection/>
    </xf>
    <xf numFmtId="0" fontId="3" fillId="0" borderId="3" xfId="24" applyFont="1" applyFill="1" applyBorder="1" applyAlignment="1">
      <alignment horizontal="left" vertical="center" wrapText="1"/>
      <protection/>
    </xf>
    <xf numFmtId="0" fontId="7" fillId="0" borderId="9" xfId="27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center" vertical="center" wrapText="1"/>
      <protection/>
    </xf>
    <xf numFmtId="0" fontId="3" fillId="0" borderId="1" xfId="24" applyFont="1" applyFill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left" vertical="center" wrapText="1"/>
      <protection/>
    </xf>
    <xf numFmtId="0" fontId="7" fillId="0" borderId="3" xfId="24" applyFont="1" applyFill="1" applyBorder="1" applyAlignment="1">
      <alignment vertical="center" wrapText="1"/>
      <protection/>
    </xf>
    <xf numFmtId="4" fontId="7" fillId="0" borderId="3" xfId="24" applyNumberFormat="1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" vertical="center"/>
      <protection/>
    </xf>
    <xf numFmtId="0" fontId="3" fillId="0" borderId="11" xfId="24" applyNumberFormat="1" applyFont="1" applyFill="1" applyBorder="1" applyAlignment="1" applyProtection="1">
      <alignment vertical="center" wrapText="1"/>
      <protection/>
    </xf>
    <xf numFmtId="0" fontId="3" fillId="0" borderId="5" xfId="25" applyNumberFormat="1" applyFont="1" applyFill="1" applyBorder="1" applyAlignment="1" applyProtection="1">
      <alignment horizontal="left" vertical="center" wrapText="1"/>
      <protection/>
    </xf>
    <xf numFmtId="0" fontId="7" fillId="0" borderId="1" xfId="24" applyFont="1" applyFill="1" applyBorder="1" applyAlignment="1">
      <alignment vertical="center" wrapText="1"/>
      <protection/>
    </xf>
    <xf numFmtId="0" fontId="3" fillId="0" borderId="2" xfId="24" applyFont="1" applyFill="1" applyBorder="1" applyAlignment="1">
      <alignment horizontal="center" vertical="center" wrapText="1"/>
      <protection/>
    </xf>
    <xf numFmtId="165" fontId="3" fillId="0" borderId="2" xfId="24" applyNumberFormat="1" applyFont="1" applyFill="1" applyBorder="1" applyAlignment="1" applyProtection="1">
      <alignment vertical="center" wrapText="1"/>
      <protection/>
    </xf>
    <xf numFmtId="165" fontId="3" fillId="0" borderId="3" xfId="24" applyNumberFormat="1" applyFont="1" applyFill="1" applyBorder="1" applyAlignment="1" applyProtection="1">
      <alignment vertical="center" wrapText="1"/>
      <protection/>
    </xf>
    <xf numFmtId="0" fontId="3" fillId="0" borderId="12" xfId="24" applyFont="1" applyFill="1" applyBorder="1" applyAlignment="1">
      <alignment horizontal="center" vertical="center" wrapText="1"/>
      <protection/>
    </xf>
    <xf numFmtId="165" fontId="3" fillId="0" borderId="1" xfId="24" applyNumberFormat="1" applyFont="1" applyFill="1" applyBorder="1" applyAlignment="1" applyProtection="1">
      <alignment vertical="center" wrapText="1"/>
      <protection/>
    </xf>
    <xf numFmtId="0" fontId="3" fillId="0" borderId="13" xfId="22" applyBorder="1" applyAlignment="1">
      <alignment horizontal="left" vertical="center" wrapText="1"/>
      <protection/>
    </xf>
    <xf numFmtId="0" fontId="3" fillId="0" borderId="14" xfId="22" applyFont="1" applyBorder="1" applyAlignment="1">
      <alignment horizontal="left" vertical="center" wrapText="1"/>
      <protection/>
    </xf>
    <xf numFmtId="165" fontId="3" fillId="0" borderId="3" xfId="24" applyNumberFormat="1" applyFont="1" applyFill="1" applyBorder="1" applyAlignment="1" applyProtection="1">
      <alignment horizontal="left" vertical="center" wrapText="1"/>
      <protection/>
    </xf>
    <xf numFmtId="0" fontId="3" fillId="0" borderId="10" xfId="24" applyFont="1" applyFill="1" applyBorder="1" applyAlignment="1">
      <alignment vertical="center"/>
      <protection/>
    </xf>
    <xf numFmtId="0" fontId="3" fillId="0" borderId="2" xfId="24" applyFont="1" applyFill="1" applyBorder="1" applyAlignment="1">
      <alignment horizontal="center" vertical="center"/>
      <protection/>
    </xf>
    <xf numFmtId="0" fontId="3" fillId="0" borderId="15" xfId="24" applyFont="1" applyFill="1" applyBorder="1" applyAlignment="1">
      <alignment horizontal="center" vertical="center" wrapText="1"/>
      <protection/>
    </xf>
    <xf numFmtId="165" fontId="3" fillId="0" borderId="15" xfId="24" applyNumberFormat="1" applyFont="1" applyFill="1" applyBorder="1" applyAlignment="1" applyProtection="1">
      <alignment vertical="center" wrapText="1"/>
      <protection/>
    </xf>
    <xf numFmtId="0" fontId="3" fillId="0" borderId="15" xfId="24" applyNumberFormat="1" applyFont="1" applyFill="1" applyBorder="1" applyAlignment="1" applyProtection="1">
      <alignment horizontal="center" vertical="center" wrapText="1"/>
      <protection/>
    </xf>
    <xf numFmtId="0" fontId="3" fillId="0" borderId="16" xfId="22" applyBorder="1" applyAlignment="1">
      <alignment horizontal="left" vertical="center" wrapText="1"/>
      <protection/>
    </xf>
    <xf numFmtId="0" fontId="3" fillId="0" borderId="4" xfId="22" applyFont="1" applyBorder="1" applyAlignment="1">
      <alignment horizontal="left" vertical="center" wrapText="1"/>
      <protection/>
    </xf>
    <xf numFmtId="0" fontId="7" fillId="0" borderId="12" xfId="27" applyFont="1" applyFill="1" applyBorder="1" applyAlignment="1">
      <alignment horizontal="center" vertical="center"/>
      <protection/>
    </xf>
    <xf numFmtId="165" fontId="4" fillId="2" borderId="17" xfId="24" applyNumberFormat="1" applyFont="1" applyFill="1" applyBorder="1" applyAlignment="1" applyProtection="1">
      <alignment horizontal="center" vertical="center" wrapText="1"/>
      <protection/>
    </xf>
    <xf numFmtId="0" fontId="3" fillId="0" borderId="18" xfId="24" applyFont="1" applyFill="1" applyBorder="1" applyAlignment="1">
      <alignment horizontal="center" vertical="center" wrapText="1"/>
      <protection/>
    </xf>
    <xf numFmtId="0" fontId="3" fillId="0" borderId="2" xfId="24" applyFont="1" applyFill="1" applyBorder="1" applyAlignment="1">
      <alignment horizontal="left" vertical="center" wrapText="1"/>
      <protection/>
    </xf>
    <xf numFmtId="0" fontId="3" fillId="0" borderId="15" xfId="24" applyFont="1" applyFill="1" applyBorder="1" applyAlignment="1">
      <alignment horizontal="center" vertical="center"/>
      <protection/>
    </xf>
    <xf numFmtId="0" fontId="3" fillId="0" borderId="19" xfId="24" applyFont="1" applyFill="1" applyBorder="1" applyAlignment="1">
      <alignment horizontal="center" vertical="center" wrapText="1"/>
      <protection/>
    </xf>
    <xf numFmtId="0" fontId="7" fillId="0" borderId="20" xfId="27" applyFont="1" applyFill="1" applyBorder="1" applyAlignment="1">
      <alignment horizontal="center" vertical="center"/>
      <protection/>
    </xf>
    <xf numFmtId="0" fontId="3" fillId="0" borderId="10" xfId="24" applyFont="1" applyFill="1" applyBorder="1" applyAlignment="1">
      <alignment vertical="center" wrapText="1"/>
      <protection/>
    </xf>
    <xf numFmtId="0" fontId="3" fillId="0" borderId="14" xfId="22" applyBorder="1" applyAlignment="1">
      <alignment horizontal="left" vertical="center" wrapText="1"/>
      <protection/>
    </xf>
    <xf numFmtId="0" fontId="9" fillId="3" borderId="17" xfId="22" applyFont="1" applyFill="1" applyBorder="1" applyAlignment="1">
      <alignment/>
      <protection/>
    </xf>
    <xf numFmtId="0" fontId="9" fillId="3" borderId="8" xfId="22" applyFont="1" applyFill="1" applyBorder="1" applyAlignment="1">
      <alignment/>
      <protection/>
    </xf>
    <xf numFmtId="0" fontId="7" fillId="0" borderId="21" xfId="27" applyFont="1" applyFill="1" applyBorder="1" applyAlignment="1">
      <alignment horizontal="center" vertical="center"/>
      <protection/>
    </xf>
    <xf numFmtId="0" fontId="3" fillId="0" borderId="10" xfId="24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left" vertical="center" wrapText="1"/>
      <protection/>
    </xf>
    <xf numFmtId="49" fontId="13" fillId="2" borderId="17" xfId="22" applyNumberFormat="1" applyFont="1" applyFill="1" applyBorder="1" applyAlignment="1" applyProtection="1">
      <alignment horizontal="center" vertical="center"/>
      <protection locked="0"/>
    </xf>
    <xf numFmtId="0" fontId="3" fillId="0" borderId="22" xfId="22" applyBorder="1" applyAlignment="1">
      <alignment horizontal="left" vertical="center" wrapText="1"/>
      <protection/>
    </xf>
    <xf numFmtId="0" fontId="3" fillId="0" borderId="23" xfId="22" applyBorder="1" applyAlignment="1">
      <alignment horizontal="left" vertical="center" wrapText="1"/>
      <protection/>
    </xf>
    <xf numFmtId="0" fontId="3" fillId="0" borderId="11" xfId="22" applyBorder="1" applyAlignment="1">
      <alignment horizontal="left" vertical="center" wrapText="1"/>
      <protection/>
    </xf>
    <xf numFmtId="0" fontId="3" fillId="0" borderId="24" xfId="22" applyBorder="1" applyAlignment="1">
      <alignment horizontal="left" vertical="center" wrapText="1"/>
      <protection/>
    </xf>
    <xf numFmtId="165" fontId="3" fillId="0" borderId="1" xfId="24" applyNumberFormat="1" applyFont="1" applyFill="1" applyBorder="1" applyAlignment="1" applyProtection="1">
      <alignment horizontal="left" vertical="center" wrapText="1"/>
      <protection/>
    </xf>
    <xf numFmtId="0" fontId="3" fillId="0" borderId="1" xfId="24" applyFont="1" applyFill="1" applyBorder="1" applyAlignment="1">
      <alignment horizontal="left" vertical="center"/>
      <protection/>
    </xf>
    <xf numFmtId="0" fontId="3" fillId="0" borderId="11" xfId="22" applyFont="1" applyBorder="1" applyAlignment="1">
      <alignment horizontal="left" vertical="center" wrapText="1"/>
      <protection/>
    </xf>
    <xf numFmtId="2" fontId="4" fillId="2" borderId="17" xfId="24" applyNumberFormat="1" applyFont="1" applyFill="1" applyBorder="1" applyAlignment="1" applyProtection="1">
      <alignment vertical="center" wrapText="1"/>
      <protection/>
    </xf>
    <xf numFmtId="165" fontId="3" fillId="0" borderId="2" xfId="24" applyNumberFormat="1" applyFont="1" applyFill="1" applyBorder="1" applyAlignment="1" applyProtection="1">
      <alignment horizontal="center" vertical="center" wrapText="1"/>
      <protection/>
    </xf>
    <xf numFmtId="0" fontId="7" fillId="0" borderId="1" xfId="24" applyFont="1" applyFill="1" applyBorder="1" applyAlignment="1">
      <alignment horizontal="center" vertical="center"/>
      <protection/>
    </xf>
    <xf numFmtId="0" fontId="3" fillId="0" borderId="15" xfId="24" applyFont="1" applyFill="1" applyBorder="1" applyAlignment="1">
      <alignment vertical="center" wrapText="1"/>
      <protection/>
    </xf>
    <xf numFmtId="4" fontId="7" fillId="4" borderId="11" xfId="24" applyNumberFormat="1" applyFont="1" applyFill="1" applyBorder="1" applyAlignment="1" applyProtection="1">
      <alignment vertical="center" wrapText="1"/>
      <protection/>
    </xf>
    <xf numFmtId="0" fontId="3" fillId="0" borderId="25" xfId="24" applyFont="1" applyFill="1" applyBorder="1" applyAlignment="1">
      <alignment horizontal="center" vertical="center"/>
      <protection/>
    </xf>
    <xf numFmtId="0" fontId="3" fillId="0" borderId="25" xfId="24" applyFont="1" applyFill="1" applyBorder="1" applyAlignment="1">
      <alignment vertical="center" wrapText="1"/>
      <protection/>
    </xf>
    <xf numFmtId="167" fontId="3" fillId="0" borderId="25" xfId="24" applyNumberFormat="1" applyFont="1" applyFill="1" applyBorder="1" applyAlignment="1" applyProtection="1">
      <alignment vertical="center" wrapText="1"/>
      <protection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3" fillId="0" borderId="26" xfId="22" applyBorder="1" applyAlignment="1">
      <alignment horizontal="left" vertical="center" wrapText="1"/>
      <protection/>
    </xf>
    <xf numFmtId="0" fontId="3" fillId="0" borderId="1" xfId="27" applyFont="1" applyFill="1" applyBorder="1" applyAlignment="1">
      <alignment horizontal="center" vertical="center" wrapText="1"/>
      <protection/>
    </xf>
    <xf numFmtId="0" fontId="3" fillId="0" borderId="1" xfId="24" applyFont="1" applyFill="1" applyBorder="1" applyAlignment="1">
      <alignment wrapText="1"/>
      <protection/>
    </xf>
    <xf numFmtId="0" fontId="3" fillId="0" borderId="1" xfId="24" applyFont="1" applyFill="1" applyBorder="1" applyAlignment="1">
      <alignment vertical="center" wrapText="1"/>
      <protection/>
    </xf>
    <xf numFmtId="0" fontId="3" fillId="0" borderId="3" xfId="27" applyFont="1" applyFill="1" applyBorder="1" applyAlignment="1">
      <alignment horizontal="center" vertical="center" wrapText="1"/>
      <protection/>
    </xf>
    <xf numFmtId="165" fontId="3" fillId="0" borderId="1" xfId="24" applyNumberFormat="1" applyFont="1" applyFill="1" applyBorder="1" applyAlignment="1" applyProtection="1">
      <alignment horizontal="center" vertical="center" wrapText="1"/>
      <protection/>
    </xf>
    <xf numFmtId="165" fontId="3" fillId="6" borderId="2" xfId="24" applyNumberFormat="1" applyFont="1" applyFill="1" applyBorder="1" applyAlignment="1" applyProtection="1">
      <alignment vertical="center" wrapText="1"/>
      <protection/>
    </xf>
    <xf numFmtId="167" fontId="3" fillId="0" borderId="11" xfId="22" applyNumberFormat="1" applyFont="1" applyBorder="1" applyAlignment="1">
      <alignment horizontal="left" vertical="center" wrapText="1"/>
      <protection/>
    </xf>
    <xf numFmtId="0" fontId="15" fillId="7" borderId="7" xfId="24" applyFont="1" applyFill="1" applyBorder="1" applyAlignment="1">
      <alignment horizontal="left" vertical="center" wrapText="1"/>
      <protection/>
    </xf>
    <xf numFmtId="0" fontId="14" fillId="7" borderId="7" xfId="24" applyFont="1" applyFill="1" applyBorder="1" applyAlignment="1">
      <alignment horizontal="left" vertical="center"/>
      <protection/>
    </xf>
    <xf numFmtId="0" fontId="15" fillId="7" borderId="27" xfId="22" applyFont="1" applyFill="1" applyBorder="1" applyAlignment="1">
      <alignment vertical="center"/>
      <protection/>
    </xf>
    <xf numFmtId="0" fontId="15" fillId="7" borderId="28" xfId="22" applyFont="1" applyFill="1" applyBorder="1" applyAlignment="1">
      <alignment vertical="center"/>
      <protection/>
    </xf>
    <xf numFmtId="0" fontId="15" fillId="7" borderId="7" xfId="22" applyFont="1" applyFill="1" applyBorder="1" applyAlignment="1">
      <alignment vertical="center"/>
      <protection/>
    </xf>
    <xf numFmtId="0" fontId="15" fillId="7" borderId="29" xfId="22" applyFont="1" applyFill="1" applyBorder="1" applyAlignment="1">
      <alignment vertical="center"/>
      <protection/>
    </xf>
    <xf numFmtId="0" fontId="3" fillId="8" borderId="3" xfId="24" applyFont="1" applyFill="1" applyBorder="1" applyAlignment="1">
      <alignment horizontal="center" vertical="center" wrapText="1"/>
      <protection/>
    </xf>
    <xf numFmtId="0" fontId="3" fillId="8" borderId="3" xfId="24" applyFont="1" applyFill="1" applyBorder="1" applyAlignment="1">
      <alignment horizontal="left" vertical="center" wrapText="1"/>
      <protection/>
    </xf>
    <xf numFmtId="0" fontId="3" fillId="8" borderId="3" xfId="24" applyNumberFormat="1" applyFont="1" applyFill="1" applyBorder="1" applyAlignment="1" applyProtection="1">
      <alignment horizontal="center" vertical="center" wrapText="1"/>
      <protection/>
    </xf>
    <xf numFmtId="0" fontId="3" fillId="8" borderId="25" xfId="24" applyFont="1" applyFill="1" applyBorder="1" applyAlignment="1">
      <alignment horizontal="left" vertical="center" wrapText="1"/>
      <protection/>
    </xf>
    <xf numFmtId="0" fontId="3" fillId="8" borderId="1" xfId="24" applyFont="1" applyFill="1" applyBorder="1" applyAlignment="1">
      <alignment horizontal="center" vertical="center" wrapText="1"/>
      <protection/>
    </xf>
    <xf numFmtId="0" fontId="3" fillId="8" borderId="1" xfId="24" applyFont="1" applyFill="1" applyBorder="1" applyAlignment="1">
      <alignment vertical="center"/>
      <protection/>
    </xf>
    <xf numFmtId="0" fontId="3" fillId="8" borderId="1" xfId="24" applyNumberFormat="1" applyFont="1" applyFill="1" applyBorder="1" applyAlignment="1" applyProtection="1">
      <alignment horizontal="center" vertical="center" wrapText="1"/>
      <protection/>
    </xf>
    <xf numFmtId="0" fontId="3" fillId="8" borderId="10" xfId="24" applyFont="1" applyFill="1" applyBorder="1" applyAlignment="1">
      <alignment vertical="center"/>
      <protection/>
    </xf>
    <xf numFmtId="0" fontId="3" fillId="8" borderId="10" xfId="24" applyFont="1" applyFill="1" applyBorder="1" applyAlignment="1">
      <alignment horizontal="center" vertical="center"/>
      <protection/>
    </xf>
    <xf numFmtId="0" fontId="3" fillId="8" borderId="1" xfId="24" applyFont="1" applyFill="1" applyBorder="1" applyAlignment="1">
      <alignment horizontal="center" vertical="center"/>
      <protection/>
    </xf>
    <xf numFmtId="0" fontId="3" fillId="8" borderId="10" xfId="24" applyFont="1" applyFill="1" applyBorder="1" applyAlignment="1">
      <alignment vertical="center" wrapText="1"/>
      <protection/>
    </xf>
    <xf numFmtId="0" fontId="3" fillId="8" borderId="15" xfId="24" applyFont="1" applyFill="1" applyBorder="1" applyAlignment="1">
      <alignment horizontal="center" vertical="center"/>
      <protection/>
    </xf>
    <xf numFmtId="165" fontId="4" fillId="2" borderId="8" xfId="24" applyNumberFormat="1" applyFont="1" applyFill="1" applyBorder="1" applyAlignment="1" applyProtection="1">
      <alignment horizontal="center" vertical="center" wrapText="1"/>
      <protection/>
    </xf>
    <xf numFmtId="0" fontId="3" fillId="0" borderId="30" xfId="22" applyBorder="1" applyAlignment="1">
      <alignment horizontal="left" vertical="center" wrapText="1"/>
      <protection/>
    </xf>
    <xf numFmtId="0" fontId="3" fillId="0" borderId="5" xfId="22" applyFont="1" applyBorder="1" applyAlignment="1">
      <alignment horizontal="left" vertical="center" wrapText="1"/>
      <protection/>
    </xf>
    <xf numFmtId="0" fontId="3" fillId="0" borderId="13" xfId="24" applyFont="1" applyFill="1" applyBorder="1" applyAlignment="1">
      <alignment horizontal="left" vertical="center" wrapText="1"/>
      <protection/>
    </xf>
    <xf numFmtId="0" fontId="3" fillId="0" borderId="3" xfId="22" applyBorder="1" applyAlignment="1">
      <alignment horizontal="left" vertical="center" wrapText="1"/>
      <protection/>
    </xf>
    <xf numFmtId="0" fontId="7" fillId="0" borderId="19" xfId="27" applyFont="1" applyFill="1" applyBorder="1" applyAlignment="1">
      <alignment horizontal="center" vertical="center"/>
      <protection/>
    </xf>
    <xf numFmtId="165" fontId="3" fillId="0" borderId="2" xfId="24" applyNumberFormat="1" applyFont="1" applyFill="1" applyBorder="1" applyAlignment="1" applyProtection="1">
      <alignment horizontal="left" vertical="center" wrapText="1"/>
      <protection/>
    </xf>
    <xf numFmtId="0" fontId="7" fillId="0" borderId="31" xfId="27" applyFont="1" applyFill="1" applyBorder="1" applyAlignment="1">
      <alignment horizontal="center" vertical="center"/>
      <protection/>
    </xf>
    <xf numFmtId="44" fontId="0" fillId="0" borderId="0" xfId="0" applyNumberFormat="1"/>
    <xf numFmtId="44" fontId="15" fillId="7" borderId="27" xfId="22" applyNumberFormat="1" applyFont="1" applyFill="1" applyBorder="1" applyAlignment="1">
      <alignment vertical="center"/>
      <protection/>
    </xf>
    <xf numFmtId="44" fontId="15" fillId="7" borderId="7" xfId="22" applyNumberFormat="1" applyFont="1" applyFill="1" applyBorder="1" applyAlignment="1">
      <alignment vertical="center"/>
      <protection/>
    </xf>
    <xf numFmtId="44" fontId="3" fillId="0" borderId="22" xfId="24" applyNumberFormat="1" applyFont="1" applyFill="1" applyBorder="1" applyAlignment="1" applyProtection="1">
      <alignment vertical="center" wrapText="1"/>
      <protection/>
    </xf>
    <xf numFmtId="44" fontId="3" fillId="0" borderId="23" xfId="24" applyNumberFormat="1" applyFont="1" applyFill="1" applyBorder="1" applyAlignment="1" applyProtection="1">
      <alignment vertical="center" wrapText="1"/>
      <protection/>
    </xf>
    <xf numFmtId="44" fontId="3" fillId="0" borderId="11" xfId="24" applyNumberFormat="1" applyFont="1" applyFill="1" applyBorder="1" applyAlignment="1" applyProtection="1">
      <alignment vertical="center" wrapText="1"/>
      <protection/>
    </xf>
    <xf numFmtId="44" fontId="3" fillId="0" borderId="24" xfId="24" applyNumberFormat="1" applyFont="1" applyFill="1" applyBorder="1" applyAlignment="1" applyProtection="1">
      <alignment vertical="center" wrapText="1"/>
      <protection/>
    </xf>
    <xf numFmtId="44" fontId="3" fillId="0" borderId="10" xfId="24" applyNumberFormat="1" applyFont="1" applyFill="1" applyBorder="1" applyAlignment="1" applyProtection="1">
      <alignment vertical="center" wrapText="1"/>
      <protection/>
    </xf>
    <xf numFmtId="44" fontId="3" fillId="0" borderId="1" xfId="24" applyNumberFormat="1" applyFont="1" applyFill="1" applyBorder="1" applyAlignment="1" applyProtection="1">
      <alignment vertical="center" wrapText="1"/>
      <protection/>
    </xf>
    <xf numFmtId="44" fontId="3" fillId="0" borderId="3" xfId="24" applyNumberFormat="1" applyFont="1" applyFill="1" applyBorder="1" applyAlignment="1" applyProtection="1">
      <alignment vertical="center" wrapText="1"/>
      <protection/>
    </xf>
    <xf numFmtId="0" fontId="3" fillId="0" borderId="10" xfId="22" applyBorder="1" applyAlignment="1">
      <alignment horizontal="left" vertical="center" wrapText="1"/>
      <protection/>
    </xf>
    <xf numFmtId="44" fontId="3" fillId="0" borderId="15" xfId="24" applyNumberFormat="1" applyFont="1" applyFill="1" applyBorder="1" applyAlignment="1" applyProtection="1">
      <alignment vertical="center" wrapText="1"/>
      <protection/>
    </xf>
    <xf numFmtId="44" fontId="3" fillId="0" borderId="26" xfId="24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 hidden="1"/>
    </xf>
    <xf numFmtId="0" fontId="15" fillId="7" borderId="27" xfId="22" applyFont="1" applyFill="1" applyBorder="1" applyAlignment="1" applyProtection="1">
      <alignment vertical="center"/>
      <protection hidden="1"/>
    </xf>
    <xf numFmtId="0" fontId="15" fillId="7" borderId="7" xfId="22" applyFont="1" applyFill="1" applyBorder="1" applyAlignment="1" applyProtection="1">
      <alignment vertical="center"/>
      <protection hidden="1"/>
    </xf>
    <xf numFmtId="167" fontId="3" fillId="0" borderId="3" xfId="24" applyNumberFormat="1" applyFont="1" applyFill="1" applyBorder="1" applyAlignment="1" applyProtection="1">
      <alignment vertical="center" wrapText="1"/>
      <protection hidden="1"/>
    </xf>
    <xf numFmtId="167" fontId="3" fillId="0" borderId="1" xfId="24" applyNumberFormat="1" applyFont="1" applyFill="1" applyBorder="1" applyAlignment="1" applyProtection="1">
      <alignment vertical="center" wrapText="1"/>
      <protection hidden="1"/>
    </xf>
    <xf numFmtId="167" fontId="3" fillId="0" borderId="10" xfId="24" applyNumberFormat="1" applyFont="1" applyFill="1" applyBorder="1" applyAlignment="1" applyProtection="1">
      <alignment vertical="center" wrapText="1"/>
      <protection hidden="1"/>
    </xf>
    <xf numFmtId="167" fontId="7" fillId="0" borderId="2" xfId="27" applyNumberFormat="1" applyFont="1" applyFill="1" applyBorder="1" applyAlignment="1" applyProtection="1">
      <alignment vertical="center" wrapText="1"/>
      <protection hidden="1"/>
    </xf>
    <xf numFmtId="167" fontId="7" fillId="0" borderId="1" xfId="27" applyNumberFormat="1" applyFont="1" applyFill="1" applyBorder="1" applyAlignment="1" applyProtection="1">
      <alignment vertical="center" wrapText="1"/>
      <protection hidden="1"/>
    </xf>
    <xf numFmtId="167" fontId="7" fillId="0" borderId="3" xfId="27" applyNumberFormat="1" applyFont="1" applyFill="1" applyBorder="1" applyAlignment="1" applyProtection="1">
      <alignment vertical="center" wrapText="1"/>
      <protection hidden="1"/>
    </xf>
    <xf numFmtId="167" fontId="3" fillId="0" borderId="15" xfId="24" applyNumberFormat="1" applyFont="1" applyFill="1" applyBorder="1" applyAlignment="1" applyProtection="1">
      <alignment vertical="center" wrapText="1"/>
      <protection hidden="1"/>
    </xf>
    <xf numFmtId="167" fontId="3" fillId="0" borderId="2" xfId="24" applyNumberFormat="1" applyFont="1" applyFill="1" applyBorder="1" applyAlignment="1" applyProtection="1">
      <alignment vertical="center" wrapText="1"/>
      <protection hidden="1"/>
    </xf>
    <xf numFmtId="167" fontId="3" fillId="0" borderId="1" xfId="24" applyNumberFormat="1" applyFont="1" applyFill="1" applyBorder="1" applyAlignment="1" applyProtection="1">
      <alignment horizontal="right" vertical="center" wrapText="1"/>
      <protection hidden="1"/>
    </xf>
    <xf numFmtId="167" fontId="3" fillId="0" borderId="25" xfId="24" applyNumberFormat="1" applyFont="1" applyFill="1" applyBorder="1" applyAlignment="1" applyProtection="1">
      <alignment vertical="center" wrapText="1"/>
      <protection hidden="1"/>
    </xf>
    <xf numFmtId="4" fontId="7" fillId="8" borderId="32" xfId="27" applyNumberFormat="1" applyFont="1" applyFill="1" applyBorder="1" applyAlignment="1" applyProtection="1">
      <alignment vertical="center" wrapText="1"/>
      <protection hidden="1"/>
    </xf>
    <xf numFmtId="4" fontId="3" fillId="8" borderId="33" xfId="24" applyNumberFormat="1" applyFont="1" applyFill="1" applyBorder="1" applyAlignment="1" applyProtection="1">
      <alignment vertical="center" wrapText="1"/>
      <protection hidden="1"/>
    </xf>
    <xf numFmtId="4" fontId="3" fillId="8" borderId="34" xfId="24" applyNumberFormat="1" applyFont="1" applyFill="1" applyBorder="1" applyAlignment="1" applyProtection="1">
      <alignment vertical="center" wrapText="1"/>
      <protection hidden="1"/>
    </xf>
    <xf numFmtId="167" fontId="7" fillId="5" borderId="1" xfId="0" applyNumberFormat="1" applyFont="1" applyFill="1" applyBorder="1" applyAlignment="1" applyProtection="1">
      <alignment vertical="center" wrapText="1"/>
      <protection hidden="1"/>
    </xf>
    <xf numFmtId="167" fontId="7" fillId="0" borderId="15" xfId="27" applyNumberFormat="1" applyFont="1" applyFill="1" applyBorder="1" applyAlignment="1" applyProtection="1">
      <alignment vertical="center" wrapText="1"/>
      <protection hidden="1"/>
    </xf>
    <xf numFmtId="44" fontId="3" fillId="0" borderId="34" xfId="24" applyNumberFormat="1" applyFont="1" applyFill="1" applyBorder="1" applyAlignment="1" applyProtection="1">
      <alignment vertical="center" wrapText="1"/>
      <protection/>
    </xf>
    <xf numFmtId="44" fontId="3" fillId="0" borderId="30" xfId="24" applyNumberFormat="1" applyFont="1" applyFill="1" applyBorder="1" applyAlignment="1" applyProtection="1">
      <alignment vertical="center" wrapText="1"/>
      <protection/>
    </xf>
    <xf numFmtId="44" fontId="7" fillId="0" borderId="32" xfId="27" applyNumberFormat="1" applyFont="1" applyFill="1" applyBorder="1" applyAlignment="1" applyProtection="1">
      <alignment vertical="center" wrapText="1"/>
      <protection/>
    </xf>
    <xf numFmtId="44" fontId="3" fillId="9" borderId="23" xfId="24" applyNumberFormat="1" applyFont="1" applyFill="1" applyBorder="1" applyAlignment="1" applyProtection="1">
      <alignment vertical="center" wrapText="1"/>
      <protection locked="0"/>
    </xf>
    <xf numFmtId="44" fontId="3" fillId="9" borderId="11" xfId="24" applyNumberFormat="1" applyFont="1" applyFill="1" applyBorder="1" applyAlignment="1" applyProtection="1">
      <alignment vertical="center" wrapText="1"/>
      <protection locked="0"/>
    </xf>
    <xf numFmtId="44" fontId="3" fillId="9" borderId="24" xfId="24" applyNumberFormat="1" applyFont="1" applyFill="1" applyBorder="1" applyAlignment="1" applyProtection="1">
      <alignment vertical="center" wrapText="1"/>
      <protection locked="0"/>
    </xf>
    <xf numFmtId="44" fontId="7" fillId="9" borderId="23" xfId="27" applyNumberFormat="1" applyFont="1" applyFill="1" applyBorder="1" applyAlignment="1" applyProtection="1">
      <alignment vertical="center" wrapText="1"/>
      <protection locked="0"/>
    </xf>
    <xf numFmtId="44" fontId="7" fillId="9" borderId="11" xfId="27" applyNumberFormat="1" applyFont="1" applyFill="1" applyBorder="1" applyAlignment="1" applyProtection="1">
      <alignment vertical="center" wrapText="1"/>
      <protection locked="0"/>
    </xf>
    <xf numFmtId="44" fontId="3" fillId="9" borderId="1" xfId="24" applyNumberFormat="1" applyFont="1" applyFill="1" applyBorder="1" applyAlignment="1" applyProtection="1">
      <alignment horizontal="right" vertical="center" wrapText="1"/>
      <protection locked="0"/>
    </xf>
    <xf numFmtId="44" fontId="3" fillId="9" borderId="10" xfId="24" applyNumberFormat="1" applyFont="1" applyFill="1" applyBorder="1" applyAlignment="1" applyProtection="1">
      <alignment vertical="center" wrapText="1"/>
      <protection locked="0"/>
    </xf>
    <xf numFmtId="44" fontId="3" fillId="9" borderId="25" xfId="24" applyNumberFormat="1" applyFont="1" applyFill="1" applyBorder="1" applyAlignment="1" applyProtection="1">
      <alignment vertical="center" wrapText="1"/>
      <protection locked="0"/>
    </xf>
    <xf numFmtId="44" fontId="3" fillId="9" borderId="1" xfId="24" applyNumberFormat="1" applyFont="1" applyFill="1" applyBorder="1" applyAlignment="1" applyProtection="1">
      <alignment vertical="center" wrapText="1"/>
      <protection locked="0"/>
    </xf>
    <xf numFmtId="44" fontId="3" fillId="9" borderId="22" xfId="24" applyNumberFormat="1" applyFont="1" applyFill="1" applyBorder="1" applyAlignment="1" applyProtection="1">
      <alignment vertical="center" wrapText="1"/>
      <protection locked="0"/>
    </xf>
    <xf numFmtId="44" fontId="3" fillId="9" borderId="3" xfId="24" applyNumberFormat="1" applyFont="1" applyFill="1" applyBorder="1" applyAlignment="1" applyProtection="1">
      <alignment vertical="center" wrapText="1"/>
      <protection locked="0"/>
    </xf>
    <xf numFmtId="44" fontId="16" fillId="9" borderId="32" xfId="27" applyNumberFormat="1" applyFont="1" applyFill="1" applyBorder="1" applyAlignment="1" applyProtection="1">
      <alignment vertical="center" wrapText="1"/>
      <protection locked="0"/>
    </xf>
    <xf numFmtId="44" fontId="3" fillId="9" borderId="30" xfId="24" applyNumberFormat="1" applyFont="1" applyFill="1" applyBorder="1" applyAlignment="1" applyProtection="1">
      <alignment vertical="center" wrapText="1"/>
      <protection locked="0"/>
    </xf>
    <xf numFmtId="44" fontId="7" fillId="9" borderId="32" xfId="27" applyNumberFormat="1" applyFont="1" applyFill="1" applyBorder="1" applyAlignment="1" applyProtection="1">
      <alignment vertical="center" wrapText="1"/>
      <protection locked="0"/>
    </xf>
    <xf numFmtId="44" fontId="3" fillId="9" borderId="33" xfId="24" applyNumberFormat="1" applyFont="1" applyFill="1" applyBorder="1" applyAlignment="1" applyProtection="1">
      <alignment vertical="center" wrapText="1"/>
      <protection locked="0"/>
    </xf>
    <xf numFmtId="44" fontId="3" fillId="9" borderId="34" xfId="24" applyNumberFormat="1" applyFont="1" applyFill="1" applyBorder="1" applyAlignment="1" applyProtection="1">
      <alignment vertical="center" wrapText="1"/>
      <protection locked="0"/>
    </xf>
    <xf numFmtId="44" fontId="7" fillId="9" borderId="22" xfId="27" applyNumberFormat="1" applyFont="1" applyFill="1" applyBorder="1" applyAlignment="1" applyProtection="1">
      <alignment vertical="center" wrapText="1"/>
      <protection locked="0"/>
    </xf>
    <xf numFmtId="44" fontId="7" fillId="10" borderId="1" xfId="0" applyNumberFormat="1" applyFont="1" applyFill="1" applyBorder="1" applyAlignment="1" applyProtection="1">
      <alignment vertical="center" wrapText="1"/>
      <protection locked="0"/>
    </xf>
    <xf numFmtId="44" fontId="7" fillId="9" borderId="26" xfId="27" applyNumberFormat="1" applyFont="1" applyFill="1" applyBorder="1" applyAlignment="1" applyProtection="1">
      <alignment vertical="center" wrapText="1"/>
      <protection locked="0"/>
    </xf>
    <xf numFmtId="0" fontId="18" fillId="8" borderId="35" xfId="24" applyFont="1" applyFill="1" applyBorder="1" applyAlignment="1">
      <alignment horizontal="right" vertical="center"/>
      <protection/>
    </xf>
    <xf numFmtId="0" fontId="19" fillId="8" borderId="36" xfId="24" applyFont="1" applyFill="1" applyBorder="1" applyAlignment="1">
      <alignment vertical="center"/>
      <protection/>
    </xf>
    <xf numFmtId="0" fontId="19" fillId="8" borderId="6" xfId="24" applyFont="1" applyFill="1" applyBorder="1" applyAlignment="1">
      <alignment vertical="center"/>
      <protection/>
    </xf>
    <xf numFmtId="0" fontId="19" fillId="8" borderId="7" xfId="24" applyFont="1" applyFill="1" applyBorder="1" applyAlignment="1">
      <alignment vertical="center"/>
      <protection/>
    </xf>
    <xf numFmtId="0" fontId="19" fillId="8" borderId="29" xfId="24" applyFont="1" applyFill="1" applyBorder="1" applyAlignment="1">
      <alignment vertical="center"/>
      <protection/>
    </xf>
    <xf numFmtId="0" fontId="21" fillId="8" borderId="17" xfId="24" applyFont="1" applyFill="1" applyBorder="1" applyAlignment="1">
      <alignment vertical="center"/>
      <protection/>
    </xf>
    <xf numFmtId="0" fontId="21" fillId="8" borderId="8" xfId="24" applyFont="1" applyFill="1" applyBorder="1" applyAlignment="1">
      <alignment vertical="center"/>
      <protection/>
    </xf>
    <xf numFmtId="0" fontId="21" fillId="8" borderId="37" xfId="24" applyFont="1" applyFill="1" applyBorder="1" applyAlignment="1">
      <alignment vertical="center"/>
      <protection/>
    </xf>
    <xf numFmtId="0" fontId="19" fillId="8" borderId="35" xfId="24" applyFont="1" applyFill="1" applyBorder="1" applyAlignment="1">
      <alignment horizontal="left" vertical="center" wrapText="1"/>
      <protection/>
    </xf>
    <xf numFmtId="168" fontId="19" fillId="8" borderId="0" xfId="24" applyNumberFormat="1" applyFont="1" applyFill="1" applyAlignment="1">
      <alignment vertical="center"/>
      <protection/>
    </xf>
    <xf numFmtId="0" fontId="19" fillId="8" borderId="35" xfId="24" applyFont="1" applyFill="1" applyBorder="1" applyAlignment="1">
      <alignment vertical="center" wrapText="1"/>
      <protection/>
    </xf>
    <xf numFmtId="168" fontId="19" fillId="8" borderId="36" xfId="24" applyNumberFormat="1" applyFont="1" applyFill="1" applyBorder="1" applyAlignment="1">
      <alignment vertical="center"/>
      <protection/>
    </xf>
    <xf numFmtId="0" fontId="18" fillId="8" borderId="17" xfId="24" applyFont="1" applyFill="1" applyBorder="1" applyAlignment="1">
      <alignment vertical="center"/>
      <protection/>
    </xf>
    <xf numFmtId="168" fontId="20" fillId="8" borderId="37" xfId="24" applyNumberFormat="1" applyFont="1" applyFill="1" applyBorder="1" applyAlignment="1">
      <alignment vertical="center"/>
      <protection/>
    </xf>
    <xf numFmtId="0" fontId="19" fillId="8" borderId="38" xfId="24" applyFont="1" applyFill="1" applyBorder="1" applyAlignment="1">
      <alignment vertical="center"/>
      <protection/>
    </xf>
    <xf numFmtId="0" fontId="19" fillId="8" borderId="28" xfId="24" applyFont="1" applyFill="1" applyBorder="1" applyAlignment="1">
      <alignment vertical="center"/>
      <protection/>
    </xf>
    <xf numFmtId="0" fontId="18" fillId="8" borderId="39" xfId="24" applyFont="1" applyFill="1" applyBorder="1" applyAlignment="1">
      <alignment vertical="center"/>
      <protection/>
    </xf>
    <xf numFmtId="169" fontId="20" fillId="8" borderId="40" xfId="24" applyNumberFormat="1" applyFont="1" applyFill="1" applyBorder="1" applyAlignment="1">
      <alignment horizontal="right" vertical="center"/>
      <protection/>
    </xf>
    <xf numFmtId="0" fontId="18" fillId="8" borderId="41" xfId="24" applyFont="1" applyFill="1" applyBorder="1" applyAlignment="1">
      <alignment vertical="center"/>
      <protection/>
    </xf>
    <xf numFmtId="169" fontId="20" fillId="8" borderId="42" xfId="24" applyNumberFormat="1" applyFont="1" applyFill="1" applyBorder="1" applyAlignment="1">
      <alignment horizontal="right" vertical="center"/>
      <protection/>
    </xf>
    <xf numFmtId="0" fontId="19" fillId="8" borderId="6" xfId="24" applyFont="1" applyFill="1" applyBorder="1">
      <alignment/>
      <protection/>
    </xf>
    <xf numFmtId="0" fontId="19" fillId="8" borderId="29" xfId="24" applyFont="1" applyFill="1" applyBorder="1">
      <alignment/>
      <protection/>
    </xf>
    <xf numFmtId="169" fontId="21" fillId="8" borderId="8" xfId="24" applyNumberFormat="1" applyFont="1" applyFill="1" applyBorder="1" applyAlignment="1">
      <alignment horizontal="right" vertical="center"/>
      <protection/>
    </xf>
    <xf numFmtId="0" fontId="18" fillId="8" borderId="38" xfId="24" applyFont="1" applyFill="1" applyBorder="1" applyAlignment="1">
      <alignment vertical="center"/>
      <protection/>
    </xf>
    <xf numFmtId="0" fontId="20" fillId="8" borderId="28" xfId="24" applyFont="1" applyFill="1" applyBorder="1" applyAlignment="1">
      <alignment vertical="center"/>
      <protection/>
    </xf>
    <xf numFmtId="0" fontId="22" fillId="8" borderId="35" xfId="24" applyFont="1" applyFill="1" applyBorder="1" applyAlignment="1">
      <alignment vertical="center"/>
      <protection/>
    </xf>
    <xf numFmtId="0" fontId="19" fillId="8" borderId="36" xfId="24" applyFont="1" applyFill="1" applyBorder="1">
      <alignment/>
      <protection/>
    </xf>
    <xf numFmtId="14" fontId="19" fillId="8" borderId="36" xfId="24" applyNumberFormat="1" applyFont="1" applyFill="1" applyBorder="1" applyAlignment="1">
      <alignment horizontal="left" vertical="center"/>
      <protection/>
    </xf>
    <xf numFmtId="0" fontId="22" fillId="8" borderId="6" xfId="24" applyFont="1" applyFill="1" applyBorder="1" applyAlignment="1">
      <alignment vertical="center"/>
      <protection/>
    </xf>
    <xf numFmtId="0" fontId="17" fillId="11" borderId="17" xfId="24" applyFont="1" applyFill="1" applyBorder="1" applyAlignment="1">
      <alignment vertical="center"/>
      <protection/>
    </xf>
    <xf numFmtId="0" fontId="19" fillId="8" borderId="27" xfId="24" applyFont="1" applyFill="1" applyBorder="1" applyAlignment="1">
      <alignment vertical="center"/>
      <protection/>
    </xf>
    <xf numFmtId="14" fontId="19" fillId="8" borderId="0" xfId="24" applyNumberFormat="1" applyFont="1" applyFill="1" applyBorder="1" applyAlignment="1">
      <alignment horizontal="left" vertical="center"/>
      <protection/>
    </xf>
    <xf numFmtId="0" fontId="20" fillId="8" borderId="0" xfId="24" applyFont="1" applyFill="1" applyBorder="1" applyAlignment="1">
      <alignment vertical="center"/>
      <protection/>
    </xf>
    <xf numFmtId="49" fontId="19" fillId="8" borderId="35" xfId="24" applyNumberFormat="1" applyFont="1" applyFill="1" applyBorder="1" applyAlignment="1">
      <alignment horizontal="left" vertical="center" wrapText="1"/>
      <protection/>
    </xf>
    <xf numFmtId="49" fontId="0" fillId="0" borderId="0" xfId="0" applyNumberFormat="1"/>
    <xf numFmtId="0" fontId="7" fillId="8" borderId="0" xfId="24" applyFont="1" applyFill="1" applyAlignment="1">
      <alignment horizontal="center" vertical="center"/>
      <protection/>
    </xf>
    <xf numFmtId="0" fontId="7" fillId="8" borderId="36" xfId="24" applyFont="1" applyFill="1" applyBorder="1" applyAlignment="1">
      <alignment horizontal="center" vertical="center"/>
      <protection/>
    </xf>
    <xf numFmtId="0" fontId="7" fillId="8" borderId="6" xfId="24" applyFont="1" applyFill="1" applyBorder="1" applyAlignment="1">
      <alignment horizontal="center" vertical="center"/>
      <protection/>
    </xf>
    <xf numFmtId="0" fontId="7" fillId="8" borderId="29" xfId="24" applyFont="1" applyFill="1" applyBorder="1" applyAlignment="1">
      <alignment horizontal="center" vertical="center"/>
      <protection/>
    </xf>
    <xf numFmtId="0" fontId="9" fillId="11" borderId="8" xfId="24" applyFont="1" applyFill="1" applyBorder="1" applyAlignment="1">
      <alignment horizontal="left" vertical="center"/>
      <protection/>
    </xf>
    <xf numFmtId="0" fontId="9" fillId="11" borderId="37" xfId="24" applyFont="1" applyFill="1" applyBorder="1" applyAlignment="1">
      <alignment horizontal="left" vertical="center"/>
      <protection/>
    </xf>
    <xf numFmtId="0" fontId="19" fillId="8" borderId="0" xfId="24" applyFont="1" applyFill="1" applyBorder="1" applyAlignment="1">
      <alignment horizontal="left" vertical="center" wrapText="1"/>
      <protection/>
    </xf>
    <xf numFmtId="0" fontId="19" fillId="8" borderId="36" xfId="24" applyFont="1" applyFill="1" applyBorder="1" applyAlignment="1">
      <alignment horizontal="left" vertical="center" wrapText="1"/>
      <protection/>
    </xf>
    <xf numFmtId="0" fontId="19" fillId="8" borderId="0" xfId="24" applyFont="1" applyFill="1" applyBorder="1" applyAlignment="1">
      <alignment horizontal="left" vertical="center"/>
      <protection/>
    </xf>
    <xf numFmtId="0" fontId="19" fillId="8" borderId="36" xfId="24" applyFont="1" applyFill="1" applyBorder="1" applyAlignment="1">
      <alignment horizontal="left" vertical="center"/>
      <protection/>
    </xf>
    <xf numFmtId="0" fontId="18" fillId="8" borderId="41" xfId="24" applyFont="1" applyFill="1" applyBorder="1" applyAlignment="1">
      <alignment horizontal="left" vertical="center"/>
      <protection/>
    </xf>
    <xf numFmtId="0" fontId="18" fillId="8" borderId="43" xfId="24" applyFont="1" applyFill="1" applyBorder="1" applyAlignment="1">
      <alignment horizontal="left" vertical="center"/>
      <protection/>
    </xf>
    <xf numFmtId="0" fontId="18" fillId="8" borderId="44" xfId="24" applyFont="1" applyFill="1" applyBorder="1" applyAlignment="1">
      <alignment horizontal="left" vertical="center"/>
      <protection/>
    </xf>
    <xf numFmtId="0" fontId="18" fillId="8" borderId="45" xfId="24" applyFont="1" applyFill="1" applyBorder="1" applyAlignment="1">
      <alignment horizontal="left" vertical="center"/>
      <protection/>
    </xf>
    <xf numFmtId="49" fontId="4" fillId="2" borderId="17" xfId="22" applyNumberFormat="1" applyFont="1" applyFill="1" applyBorder="1" applyAlignment="1" applyProtection="1">
      <alignment horizontal="left" vertical="center"/>
      <protection locked="0"/>
    </xf>
    <xf numFmtId="49" fontId="4" fillId="2" borderId="8" xfId="22" applyNumberFormat="1" applyFont="1" applyFill="1" applyBorder="1" applyAlignment="1" applyProtection="1">
      <alignment horizontal="left" vertical="center"/>
      <protection locked="0"/>
    </xf>
    <xf numFmtId="49" fontId="4" fillId="2" borderId="37" xfId="22" applyNumberFormat="1" applyFont="1" applyFill="1" applyBorder="1" applyAlignment="1" applyProtection="1">
      <alignment horizontal="left" vertical="center"/>
      <protection locked="0"/>
    </xf>
    <xf numFmtId="0" fontId="10" fillId="0" borderId="2" xfId="22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15" xfId="22" applyFont="1" applyFill="1" applyBorder="1" applyAlignment="1">
      <alignment horizontal="center" vertical="center" wrapText="1"/>
      <protection/>
    </xf>
    <xf numFmtId="165" fontId="4" fillId="2" borderId="8" xfId="24" applyNumberFormat="1" applyFont="1" applyFill="1" applyBorder="1" applyAlignment="1" applyProtection="1">
      <alignment horizontal="left" vertical="center" wrapText="1"/>
      <protection/>
    </xf>
    <xf numFmtId="165" fontId="4" fillId="2" borderId="37" xfId="24" applyNumberFormat="1" applyFont="1" applyFill="1" applyBorder="1" applyAlignment="1" applyProtection="1">
      <alignment horizontal="left" vertical="center" wrapText="1"/>
      <protection/>
    </xf>
    <xf numFmtId="0" fontId="10" fillId="0" borderId="19" xfId="22" applyFont="1" applyFill="1" applyBorder="1" applyAlignment="1">
      <alignment horizontal="center" vertical="center" wrapText="1"/>
      <protection/>
    </xf>
    <xf numFmtId="0" fontId="10" fillId="0" borderId="12" xfId="22" applyFont="1" applyFill="1" applyBorder="1" applyAlignment="1">
      <alignment horizontal="center" vertical="center" wrapText="1"/>
      <protection/>
    </xf>
    <xf numFmtId="0" fontId="10" fillId="0" borderId="18" xfId="22" applyFont="1" applyFill="1" applyBorder="1" applyAlignment="1">
      <alignment horizontal="center" vertical="center" wrapText="1"/>
      <protection/>
    </xf>
    <xf numFmtId="0" fontId="14" fillId="7" borderId="38" xfId="22" applyFont="1" applyFill="1" applyBorder="1" applyAlignment="1">
      <alignment horizontal="right" vertical="center"/>
      <protection/>
    </xf>
    <xf numFmtId="0" fontId="14" fillId="7" borderId="27" xfId="22" applyFont="1" applyFill="1" applyBorder="1" applyAlignment="1">
      <alignment horizontal="right" vertical="center"/>
      <protection/>
    </xf>
    <xf numFmtId="0" fontId="14" fillId="7" borderId="6" xfId="24" applyFont="1" applyFill="1" applyBorder="1" applyAlignment="1">
      <alignment horizontal="right" vertical="center"/>
      <protection/>
    </xf>
    <xf numFmtId="0" fontId="14" fillId="7" borderId="7" xfId="24" applyFont="1" applyFill="1" applyBorder="1" applyAlignment="1">
      <alignment horizontal="right" vertical="center"/>
      <protection/>
    </xf>
    <xf numFmtId="0" fontId="9" fillId="3" borderId="8" xfId="22" applyFont="1" applyFill="1" applyBorder="1" applyAlignment="1">
      <alignment horizontal="left" vertical="center"/>
      <protection/>
    </xf>
    <xf numFmtId="0" fontId="9" fillId="3" borderId="37" xfId="22" applyFont="1" applyFill="1" applyBorder="1" applyAlignment="1">
      <alignment horizontal="left"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15" xfId="22" applyFont="1" applyFill="1" applyBorder="1" applyAlignment="1">
      <alignment horizontal="center" vertical="center"/>
      <protection/>
    </xf>
    <xf numFmtId="0" fontId="10" fillId="0" borderId="4" xfId="22" applyFont="1" applyFill="1" applyBorder="1" applyAlignment="1">
      <alignment horizontal="center" vertical="center" wrapText="1"/>
      <protection/>
    </xf>
    <xf numFmtId="0" fontId="10" fillId="0" borderId="5" xfId="22" applyFont="1" applyFill="1" applyBorder="1" applyAlignment="1">
      <alignment horizontal="center" vertical="center" wrapText="1"/>
      <protection/>
    </xf>
    <xf numFmtId="0" fontId="10" fillId="0" borderId="16" xfId="22" applyFont="1" applyFill="1" applyBorder="1" applyAlignment="1">
      <alignment horizontal="center" vertical="center" wrapText="1"/>
      <protection/>
    </xf>
    <xf numFmtId="0" fontId="10" fillId="0" borderId="2" xfId="22" applyFont="1" applyFill="1" applyBorder="1" applyAlignment="1" applyProtection="1">
      <alignment horizontal="center" vertical="center" wrapText="1"/>
      <protection hidden="1"/>
    </xf>
    <xf numFmtId="0" fontId="10" fillId="0" borderId="1" xfId="22" applyFont="1" applyFill="1" applyBorder="1" applyAlignment="1" applyProtection="1">
      <alignment horizontal="center" vertical="center" wrapText="1"/>
      <protection hidden="1"/>
    </xf>
    <xf numFmtId="0" fontId="10" fillId="0" borderId="15" xfId="22" applyFont="1" applyFill="1" applyBorder="1" applyAlignment="1" applyProtection="1">
      <alignment horizontal="center" vertical="center" wrapText="1"/>
      <protection hidden="1"/>
    </xf>
    <xf numFmtId="0" fontId="15" fillId="7" borderId="27" xfId="24" applyFont="1" applyFill="1" applyBorder="1" applyAlignment="1">
      <alignment horizontal="left" vertical="center" wrapText="1"/>
      <protection/>
    </xf>
    <xf numFmtId="44" fontId="10" fillId="0" borderId="2" xfId="22" applyNumberFormat="1" applyFont="1" applyFill="1" applyBorder="1" applyAlignment="1">
      <alignment horizontal="center" vertical="center" wrapText="1"/>
      <protection/>
    </xf>
    <xf numFmtId="44" fontId="10" fillId="0" borderId="1" xfId="22" applyNumberFormat="1" applyFont="1" applyFill="1" applyBorder="1" applyAlignment="1">
      <alignment horizontal="center" vertical="center" wrapText="1"/>
      <protection/>
    </xf>
    <xf numFmtId="44" fontId="10" fillId="0" borderId="15" xfId="22" applyNumberFormat="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2" xfId="21"/>
    <cellStyle name="normální_POL.XLS" xfId="22"/>
    <cellStyle name="procent 2" xfId="23"/>
    <cellStyle name="Excel Built-in Normal" xfId="24"/>
    <cellStyle name="Excel Built-in Currency" xfId="25"/>
    <cellStyle name="Excel Built-in Normal 2" xfId="26"/>
    <cellStyle name="TableStyleLight1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20</xdr:row>
      <xdr:rowOff>28575</xdr:rowOff>
    </xdr:from>
    <xdr:to>
      <xdr:col>2</xdr:col>
      <xdr:colOff>2171700</xdr:colOff>
      <xdr:row>24</xdr:row>
      <xdr:rowOff>152400</xdr:rowOff>
    </xdr:to>
    <xdr:pic>
      <xdr:nvPicPr>
        <xdr:cNvPr id="2" name="Obrázek 1" descr="Strix_logo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153025"/>
          <a:ext cx="21145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0D89-84D8-48F9-8E37-3C82BEC59FED}">
  <dimension ref="A2:G29"/>
  <sheetViews>
    <sheetView tabSelected="1" zoomScaleSheetLayoutView="90" workbookViewId="0" topLeftCell="A1"/>
  </sheetViews>
  <sheetFormatPr defaultColWidth="9.140625" defaultRowHeight="15"/>
  <cols>
    <col min="1" max="1" width="52.7109375" style="0" customWidth="1"/>
    <col min="2" max="2" width="16.7109375" style="0" customWidth="1"/>
    <col min="3" max="3" width="52.7109375" style="0" customWidth="1"/>
    <col min="4" max="4" width="16.7109375" style="0" customWidth="1"/>
  </cols>
  <sheetData>
    <row r="1" ht="2.1" customHeight="1" thickBot="1"/>
    <row r="2" spans="1:4" ht="27.95" customHeight="1" thickBot="1">
      <c r="A2" s="197"/>
      <c r="B2" s="207" t="s">
        <v>278</v>
      </c>
      <c r="C2" s="207"/>
      <c r="D2" s="208"/>
    </row>
    <row r="3" spans="1:4" ht="9.95" customHeight="1">
      <c r="A3" s="182"/>
      <c r="B3" s="198"/>
      <c r="C3" s="198"/>
      <c r="D3" s="183"/>
    </row>
    <row r="4" spans="1:4" ht="15" customHeight="1">
      <c r="A4" s="168" t="s">
        <v>259</v>
      </c>
      <c r="B4" s="209" t="str">
        <f>'Příloha č. 4 Zadávací VV'!D3</f>
        <v>Sanace skal. masivu u ul. Pastýřská v Liberci, na p. p. č. 534, 566, 567/2, 568/1, 568/2, 568/3 v k. ú. Liberec</v>
      </c>
      <c r="C4" s="209"/>
      <c r="D4" s="210"/>
    </row>
    <row r="5" spans="1:4" ht="15" customHeight="1">
      <c r="A5" s="168" t="s">
        <v>260</v>
      </c>
      <c r="B5" s="211" t="str">
        <f>'Příloha č. 4 Zadávací VV'!D4</f>
        <v>statutární město Liberec, nám. Dr. E. Beneše 1/1, Liberec I - Staré Město, 460 59 Liberec</v>
      </c>
      <c r="C5" s="211"/>
      <c r="D5" s="212"/>
    </row>
    <row r="6" spans="1:4" ht="15" customHeight="1">
      <c r="A6" s="168" t="s">
        <v>261</v>
      </c>
      <c r="B6" s="211" t="s">
        <v>262</v>
      </c>
      <c r="C6" s="211"/>
      <c r="D6" s="212"/>
    </row>
    <row r="7" spans="1:4" ht="15" customHeight="1">
      <c r="A7" s="168" t="s">
        <v>263</v>
      </c>
      <c r="B7" s="211" t="s">
        <v>264</v>
      </c>
      <c r="C7" s="211"/>
      <c r="D7" s="212"/>
    </row>
    <row r="8" spans="1:4" ht="15" customHeight="1">
      <c r="A8" s="168" t="s">
        <v>265</v>
      </c>
      <c r="B8" s="199">
        <f ca="1">NOW()</f>
        <v>44771.50052071759</v>
      </c>
      <c r="C8" s="200" t="s">
        <v>279</v>
      </c>
      <c r="D8" s="169"/>
    </row>
    <row r="9" spans="1:4" ht="9.95" customHeight="1" thickBot="1">
      <c r="A9" s="170"/>
      <c r="B9" s="171"/>
      <c r="C9" s="171"/>
      <c r="D9" s="172"/>
    </row>
    <row r="10" spans="1:4" ht="27.95" customHeight="1" thickBot="1">
      <c r="A10" s="173"/>
      <c r="B10" s="174" t="s">
        <v>266</v>
      </c>
      <c r="C10" s="174"/>
      <c r="D10" s="175"/>
    </row>
    <row r="11" spans="1:4" ht="15">
      <c r="A11" s="213" t="s">
        <v>267</v>
      </c>
      <c r="B11" s="214"/>
      <c r="C11" s="215" t="s">
        <v>268</v>
      </c>
      <c r="D11" s="216"/>
    </row>
    <row r="12" spans="1:7" ht="27.95" customHeight="1">
      <c r="A12" s="201" t="s">
        <v>85</v>
      </c>
      <c r="B12" s="177">
        <f>SUM('Příloha č. 4 Zadávací VV'!K9:K15)</f>
        <v>0</v>
      </c>
      <c r="C12" s="178" t="s">
        <v>31</v>
      </c>
      <c r="D12" s="179">
        <f>'Příloha č. 4 Zadávací VV'!K72</f>
        <v>0</v>
      </c>
      <c r="G12" s="202"/>
    </row>
    <row r="13" spans="1:4" ht="27.95" customHeight="1">
      <c r="A13" s="176" t="s">
        <v>86</v>
      </c>
      <c r="B13" s="177">
        <f>SUM('Příloha č. 4 Zadávací VV'!K17:K27)</f>
        <v>0</v>
      </c>
      <c r="C13" s="178" t="s">
        <v>56</v>
      </c>
      <c r="D13" s="179">
        <f>'Příloha č. 4 Zadávací VV'!K73</f>
        <v>0</v>
      </c>
    </row>
    <row r="14" spans="1:4" ht="27.95" customHeight="1">
      <c r="A14" s="176" t="s">
        <v>93</v>
      </c>
      <c r="B14" s="177">
        <f>SUM('Příloha č. 4 Zadávací VV'!K29:K32)</f>
        <v>0</v>
      </c>
      <c r="C14" s="178" t="s">
        <v>57</v>
      </c>
      <c r="D14" s="179">
        <f>'Příloha č. 4 Zadávací VV'!K74</f>
        <v>0</v>
      </c>
    </row>
    <row r="15" spans="1:4" ht="27.95" customHeight="1">
      <c r="A15" s="176" t="s">
        <v>94</v>
      </c>
      <c r="B15" s="177">
        <f>SUM('Příloha č. 4 Zadávací VV'!K34:K44)</f>
        <v>0</v>
      </c>
      <c r="C15" s="178" t="s">
        <v>98</v>
      </c>
      <c r="D15" s="179">
        <f>'Příloha č. 4 Zadávací VV'!K75</f>
        <v>0</v>
      </c>
    </row>
    <row r="16" spans="1:4" ht="27.95" customHeight="1">
      <c r="A16" s="176" t="s">
        <v>95</v>
      </c>
      <c r="B16" s="177">
        <f>SUM('Příloha č. 4 Zadávací VV'!K46:K49)</f>
        <v>0</v>
      </c>
      <c r="C16" s="178" t="s">
        <v>35</v>
      </c>
      <c r="D16" s="179">
        <f>'Příloha č. 4 Zadávací VV'!K76</f>
        <v>0</v>
      </c>
    </row>
    <row r="17" spans="1:4" ht="27.95" customHeight="1">
      <c r="A17" s="176" t="s">
        <v>96</v>
      </c>
      <c r="B17" s="177">
        <f>SUM('Příloha č. 4 Zadávací VV'!K51:K56)</f>
        <v>0</v>
      </c>
      <c r="C17" s="178"/>
      <c r="D17" s="179"/>
    </row>
    <row r="18" spans="1:4" ht="27.95" customHeight="1">
      <c r="A18" s="176" t="s">
        <v>194</v>
      </c>
      <c r="B18" s="177">
        <f>SUM('Příloha č. 4 Zadávací VV'!K58:K70)</f>
        <v>0</v>
      </c>
      <c r="C18" s="178"/>
      <c r="D18" s="179"/>
    </row>
    <row r="19" spans="1:4" ht="27.95" customHeight="1" thickBot="1">
      <c r="A19" s="176"/>
      <c r="B19" s="177"/>
      <c r="C19" s="178"/>
      <c r="D19" s="179"/>
    </row>
    <row r="20" spans="1:4" ht="15" customHeight="1" thickBot="1">
      <c r="A20" s="180" t="s">
        <v>269</v>
      </c>
      <c r="B20" s="181">
        <f>SUM(B12:B19)</f>
        <v>0</v>
      </c>
      <c r="C20" s="180" t="s">
        <v>270</v>
      </c>
      <c r="D20" s="181">
        <f>SUM(D12:D19)</f>
        <v>0</v>
      </c>
    </row>
    <row r="21" spans="1:4" ht="9.95" customHeight="1">
      <c r="A21" s="182"/>
      <c r="B21" s="183"/>
      <c r="C21" s="203"/>
      <c r="D21" s="204"/>
    </row>
    <row r="22" spans="1:4" ht="15" customHeight="1">
      <c r="A22" s="184" t="s">
        <v>271</v>
      </c>
      <c r="B22" s="185">
        <f>D20+B20</f>
        <v>0</v>
      </c>
      <c r="C22" s="203"/>
      <c r="D22" s="204"/>
    </row>
    <row r="23" spans="1:4" ht="15" customHeight="1">
      <c r="A23" s="186" t="s">
        <v>272</v>
      </c>
      <c r="B23" s="187">
        <f>0.21*B22</f>
        <v>0</v>
      </c>
      <c r="C23" s="203"/>
      <c r="D23" s="204"/>
    </row>
    <row r="24" spans="1:4" ht="9.95" customHeight="1" thickBot="1">
      <c r="A24" s="188"/>
      <c r="B24" s="189"/>
      <c r="C24" s="203"/>
      <c r="D24" s="204"/>
    </row>
    <row r="25" spans="1:4" ht="15" customHeight="1" thickBot="1">
      <c r="A25" s="173" t="s">
        <v>273</v>
      </c>
      <c r="B25" s="190">
        <f>B22+B23</f>
        <v>0</v>
      </c>
      <c r="C25" s="205"/>
      <c r="D25" s="206"/>
    </row>
    <row r="26" spans="1:4" ht="15" customHeight="1">
      <c r="A26" s="191" t="s">
        <v>14</v>
      </c>
      <c r="B26" s="183"/>
      <c r="C26" s="191" t="s">
        <v>274</v>
      </c>
      <c r="D26" s="192"/>
    </row>
    <row r="27" spans="1:4" ht="15" customHeight="1">
      <c r="A27" s="193" t="s">
        <v>275</v>
      </c>
      <c r="B27" s="169"/>
      <c r="C27" s="193" t="s">
        <v>275</v>
      </c>
      <c r="D27" s="194" t="s">
        <v>276</v>
      </c>
    </row>
    <row r="28" spans="1:4" ht="15" customHeight="1">
      <c r="A28" s="193" t="s">
        <v>265</v>
      </c>
      <c r="B28" s="169"/>
      <c r="C28" s="193" t="s">
        <v>265</v>
      </c>
      <c r="D28" s="195">
        <f ca="1">B8</f>
        <v>44771.50052071759</v>
      </c>
    </row>
    <row r="29" spans="1:4" ht="15" customHeight="1" thickBot="1">
      <c r="A29" s="196" t="s">
        <v>277</v>
      </c>
      <c r="B29" s="172"/>
      <c r="C29" s="196" t="s">
        <v>277</v>
      </c>
      <c r="D29" s="172"/>
    </row>
  </sheetData>
  <mergeCells count="8">
    <mergeCell ref="C21:D25"/>
    <mergeCell ref="B2:D2"/>
    <mergeCell ref="B4:D4"/>
    <mergeCell ref="B5:D5"/>
    <mergeCell ref="B6:D6"/>
    <mergeCell ref="B7:D7"/>
    <mergeCell ref="A11:B11"/>
    <mergeCell ref="C11:D11"/>
  </mergeCells>
  <printOptions horizontalCentered="1"/>
  <pageMargins left="0.3937007874015748" right="0.3937007874015748" top="0.7874015748031497" bottom="0.3937007874015748" header="0.1968503937007874" footer="0.1968503937007874"/>
  <pageSetup horizontalDpi="300" verticalDpi="300" orientation="landscape" paperSize="9" r:id="rId2"/>
  <ignoredErrors>
    <ignoredError sqref="C12:C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6"/>
  <sheetViews>
    <sheetView zoomScale="90" zoomScaleNormal="90" zoomScaleSheetLayoutView="70" workbookViewId="0" topLeftCell="A1">
      <selection activeCell="G9" sqref="G9"/>
    </sheetView>
  </sheetViews>
  <sheetFormatPr defaultColWidth="9.140625" defaultRowHeight="15"/>
  <cols>
    <col min="1" max="1" width="3.140625" style="0" customWidth="1"/>
    <col min="2" max="2" width="3.140625" style="2" customWidth="1"/>
    <col min="3" max="3" width="11.7109375" style="0" customWidth="1"/>
    <col min="4" max="4" width="77.7109375" style="1" customWidth="1"/>
    <col min="5" max="5" width="6.7109375" style="0" customWidth="1"/>
    <col min="6" max="6" width="8.7109375" style="128" customWidth="1"/>
    <col min="7" max="7" width="13.140625" style="115" customWidth="1"/>
    <col min="8" max="8" width="18.7109375" style="115" customWidth="1"/>
    <col min="9" max="9" width="12.28125" style="115" customWidth="1"/>
    <col min="10" max="10" width="18.7109375" style="115" customWidth="1"/>
    <col min="11" max="11" width="19.8515625" style="115" customWidth="1"/>
    <col min="12" max="12" width="60.7109375" style="2" customWidth="1"/>
    <col min="13" max="13" width="88.7109375" style="3" customWidth="1"/>
  </cols>
  <sheetData>
    <row r="1" ht="2.1" customHeight="1" thickBot="1"/>
    <row r="2" spans="2:13" ht="30" customHeight="1" thickBot="1">
      <c r="B2" s="58"/>
      <c r="C2" s="59"/>
      <c r="D2" s="232" t="s">
        <v>15</v>
      </c>
      <c r="E2" s="232"/>
      <c r="F2" s="232"/>
      <c r="G2" s="232"/>
      <c r="H2" s="232"/>
      <c r="I2" s="232"/>
      <c r="J2" s="232"/>
      <c r="K2" s="232"/>
      <c r="L2" s="232"/>
      <c r="M2" s="233"/>
    </row>
    <row r="3" spans="2:13" ht="25.5" customHeight="1">
      <c r="B3" s="228" t="s">
        <v>12</v>
      </c>
      <c r="C3" s="229"/>
      <c r="D3" s="243" t="s">
        <v>83</v>
      </c>
      <c r="E3" s="243"/>
      <c r="F3" s="129"/>
      <c r="G3" s="116"/>
      <c r="H3" s="116"/>
      <c r="I3" s="116"/>
      <c r="J3" s="116"/>
      <c r="K3" s="116"/>
      <c r="L3" s="91"/>
      <c r="M3" s="92"/>
    </row>
    <row r="4" spans="2:13" ht="21.75" customHeight="1" thickBot="1">
      <c r="B4" s="230" t="s">
        <v>14</v>
      </c>
      <c r="C4" s="231"/>
      <c r="D4" s="89" t="s">
        <v>84</v>
      </c>
      <c r="E4" s="90"/>
      <c r="F4" s="130"/>
      <c r="G4" s="117"/>
      <c r="H4" s="117"/>
      <c r="I4" s="117"/>
      <c r="J4" s="117"/>
      <c r="K4" s="117"/>
      <c r="L4" s="93"/>
      <c r="M4" s="94"/>
    </row>
    <row r="5" spans="2:13" ht="12" customHeight="1">
      <c r="B5" s="225" t="s">
        <v>28</v>
      </c>
      <c r="C5" s="220" t="s">
        <v>13</v>
      </c>
      <c r="D5" s="220" t="s">
        <v>0</v>
      </c>
      <c r="E5" s="220" t="s">
        <v>5</v>
      </c>
      <c r="F5" s="240" t="s">
        <v>29</v>
      </c>
      <c r="G5" s="244" t="s">
        <v>248</v>
      </c>
      <c r="H5" s="244" t="s">
        <v>250</v>
      </c>
      <c r="I5" s="244" t="s">
        <v>249</v>
      </c>
      <c r="J5" s="244" t="s">
        <v>251</v>
      </c>
      <c r="K5" s="244" t="s">
        <v>252</v>
      </c>
      <c r="L5" s="234" t="s">
        <v>9</v>
      </c>
      <c r="M5" s="237" t="s">
        <v>4</v>
      </c>
    </row>
    <row r="6" spans="2:13" ht="12" customHeight="1">
      <c r="B6" s="226"/>
      <c r="C6" s="221"/>
      <c r="D6" s="221"/>
      <c r="E6" s="221"/>
      <c r="F6" s="241"/>
      <c r="G6" s="245"/>
      <c r="H6" s="245"/>
      <c r="I6" s="245"/>
      <c r="J6" s="245"/>
      <c r="K6" s="245"/>
      <c r="L6" s="235"/>
      <c r="M6" s="238"/>
    </row>
    <row r="7" spans="2:13" ht="12" customHeight="1" thickBot="1">
      <c r="B7" s="227"/>
      <c r="C7" s="222"/>
      <c r="D7" s="222"/>
      <c r="E7" s="222"/>
      <c r="F7" s="242"/>
      <c r="G7" s="246"/>
      <c r="H7" s="246"/>
      <c r="I7" s="246"/>
      <c r="J7" s="246"/>
      <c r="K7" s="246"/>
      <c r="L7" s="236"/>
      <c r="M7" s="239"/>
    </row>
    <row r="8" spans="2:13" s="7" customFormat="1" ht="15" customHeight="1" thickBot="1">
      <c r="B8" s="19"/>
      <c r="C8" s="20"/>
      <c r="D8" s="217" t="s">
        <v>85</v>
      </c>
      <c r="E8" s="218"/>
      <c r="F8" s="218"/>
      <c r="G8" s="218"/>
      <c r="H8" s="218"/>
      <c r="I8" s="218"/>
      <c r="J8" s="218"/>
      <c r="K8" s="218"/>
      <c r="L8" s="218"/>
      <c r="M8" s="219"/>
    </row>
    <row r="9" spans="2:13" s="4" customFormat="1" ht="27.95" customHeight="1">
      <c r="B9" s="24">
        <v>1</v>
      </c>
      <c r="C9" s="22" t="s">
        <v>16</v>
      </c>
      <c r="D9" s="23" t="s">
        <v>47</v>
      </c>
      <c r="E9" s="15" t="s">
        <v>11</v>
      </c>
      <c r="F9" s="131">
        <f>30*2</f>
        <v>60</v>
      </c>
      <c r="G9" s="149"/>
      <c r="H9" s="124">
        <f>F9*G9</f>
        <v>0</v>
      </c>
      <c r="I9" s="149"/>
      <c r="J9" s="124">
        <f>I9*F9</f>
        <v>0</v>
      </c>
      <c r="K9" s="124">
        <f>J9+H9</f>
        <v>0</v>
      </c>
      <c r="L9" s="65" t="s">
        <v>133</v>
      </c>
      <c r="M9" s="39" t="s">
        <v>59</v>
      </c>
    </row>
    <row r="10" spans="2:13" s="4" customFormat="1" ht="27.95" customHeight="1">
      <c r="B10" s="24">
        <v>2</v>
      </c>
      <c r="C10" s="22" t="s">
        <v>60</v>
      </c>
      <c r="D10" s="41" t="s">
        <v>61</v>
      </c>
      <c r="E10" s="15" t="s">
        <v>10</v>
      </c>
      <c r="F10" s="131">
        <f>244</f>
        <v>244</v>
      </c>
      <c r="G10" s="149"/>
      <c r="H10" s="123">
        <f aca="true" t="shared" si="0" ref="H10:H15">F10*G10</f>
        <v>0</v>
      </c>
      <c r="I10" s="149"/>
      <c r="J10" s="123">
        <f aca="true" t="shared" si="1" ref="J10:J15">I10*F10</f>
        <v>0</v>
      </c>
      <c r="K10" s="123">
        <f aca="true" t="shared" si="2" ref="K10:K15">J10+H10</f>
        <v>0</v>
      </c>
      <c r="L10" s="65" t="s">
        <v>132</v>
      </c>
      <c r="M10" s="39" t="s">
        <v>70</v>
      </c>
    </row>
    <row r="11" spans="2:13" s="4" customFormat="1" ht="27.95" customHeight="1">
      <c r="B11" s="24">
        <v>3</v>
      </c>
      <c r="C11" s="25" t="s">
        <v>62</v>
      </c>
      <c r="D11" s="26" t="s">
        <v>63</v>
      </c>
      <c r="E11" s="15" t="s">
        <v>10</v>
      </c>
      <c r="F11" s="131">
        <f>F10*31</f>
        <v>7564</v>
      </c>
      <c r="G11" s="119"/>
      <c r="H11" s="123">
        <f t="shared" si="0"/>
        <v>0</v>
      </c>
      <c r="I11" s="149"/>
      <c r="J11" s="123">
        <f t="shared" si="1"/>
        <v>0</v>
      </c>
      <c r="K11" s="123">
        <f t="shared" si="2"/>
        <v>0</v>
      </c>
      <c r="L11" s="66" t="s">
        <v>50</v>
      </c>
      <c r="M11" s="18" t="s">
        <v>49</v>
      </c>
    </row>
    <row r="12" spans="2:13" s="4" customFormat="1" ht="27.95" customHeight="1">
      <c r="B12" s="24">
        <v>4</v>
      </c>
      <c r="C12" s="25" t="s">
        <v>64</v>
      </c>
      <c r="D12" s="26" t="s">
        <v>65</v>
      </c>
      <c r="E12" s="5" t="s">
        <v>10</v>
      </c>
      <c r="F12" s="132">
        <f>F10</f>
        <v>244</v>
      </c>
      <c r="G12" s="120"/>
      <c r="H12" s="123">
        <f t="shared" si="0"/>
        <v>0</v>
      </c>
      <c r="I12" s="150"/>
      <c r="J12" s="123">
        <f t="shared" si="1"/>
        <v>0</v>
      </c>
      <c r="K12" s="123">
        <f t="shared" si="2"/>
        <v>0</v>
      </c>
      <c r="L12" s="66" t="s">
        <v>37</v>
      </c>
      <c r="M12" s="18" t="s">
        <v>71</v>
      </c>
    </row>
    <row r="13" spans="2:13" s="4" customFormat="1" ht="27.95" customHeight="1">
      <c r="B13" s="24">
        <v>5</v>
      </c>
      <c r="C13" s="22" t="s">
        <v>17</v>
      </c>
      <c r="D13" s="23" t="s">
        <v>66</v>
      </c>
      <c r="E13" s="15" t="s">
        <v>11</v>
      </c>
      <c r="F13" s="132">
        <f>244*4</f>
        <v>976</v>
      </c>
      <c r="G13" s="150"/>
      <c r="H13" s="123">
        <f t="shared" si="0"/>
        <v>0</v>
      </c>
      <c r="I13" s="150"/>
      <c r="J13" s="123">
        <f t="shared" si="1"/>
        <v>0</v>
      </c>
      <c r="K13" s="123">
        <f t="shared" si="2"/>
        <v>0</v>
      </c>
      <c r="L13" s="66" t="s">
        <v>134</v>
      </c>
      <c r="M13" s="18" t="s">
        <v>48</v>
      </c>
    </row>
    <row r="14" spans="2:13" s="4" customFormat="1" ht="27.95" customHeight="1">
      <c r="B14" s="24">
        <v>6</v>
      </c>
      <c r="C14" s="25" t="s">
        <v>18</v>
      </c>
      <c r="D14" s="26" t="s">
        <v>67</v>
      </c>
      <c r="E14" s="5" t="s">
        <v>11</v>
      </c>
      <c r="F14" s="133">
        <f>F13*31</f>
        <v>30256</v>
      </c>
      <c r="G14" s="121"/>
      <c r="H14" s="123">
        <f t="shared" si="0"/>
        <v>0</v>
      </c>
      <c r="I14" s="151"/>
      <c r="J14" s="123">
        <f t="shared" si="1"/>
        <v>0</v>
      </c>
      <c r="K14" s="123">
        <f t="shared" si="2"/>
        <v>0</v>
      </c>
      <c r="L14" s="66" t="s">
        <v>68</v>
      </c>
      <c r="M14" s="18" t="s">
        <v>49</v>
      </c>
    </row>
    <row r="15" spans="2:13" s="4" customFormat="1" ht="27.95" customHeight="1" thickBot="1">
      <c r="B15" s="60">
        <v>7</v>
      </c>
      <c r="C15" s="61" t="s">
        <v>19</v>
      </c>
      <c r="D15" s="62" t="s">
        <v>20</v>
      </c>
      <c r="E15" s="30" t="s">
        <v>11</v>
      </c>
      <c r="F15" s="133">
        <f>F13</f>
        <v>976</v>
      </c>
      <c r="G15" s="121"/>
      <c r="H15" s="122">
        <f t="shared" si="0"/>
        <v>0</v>
      </c>
      <c r="I15" s="151"/>
      <c r="J15" s="122">
        <f t="shared" si="1"/>
        <v>0</v>
      </c>
      <c r="K15" s="122">
        <f t="shared" si="2"/>
        <v>0</v>
      </c>
      <c r="L15" s="67" t="s">
        <v>69</v>
      </c>
      <c r="M15" s="57" t="s">
        <v>36</v>
      </c>
    </row>
    <row r="16" spans="2:13" s="7" customFormat="1" ht="15" customHeight="1" thickBot="1">
      <c r="B16" s="63"/>
      <c r="C16" s="21"/>
      <c r="D16" s="217" t="s">
        <v>86</v>
      </c>
      <c r="E16" s="218"/>
      <c r="F16" s="218"/>
      <c r="G16" s="218"/>
      <c r="H16" s="218"/>
      <c r="I16" s="218"/>
      <c r="J16" s="218"/>
      <c r="K16" s="218"/>
      <c r="L16" s="218"/>
      <c r="M16" s="219"/>
    </row>
    <row r="17" spans="2:13" s="4" customFormat="1" ht="27.95" customHeight="1">
      <c r="B17" s="112">
        <v>8</v>
      </c>
      <c r="C17" s="34" t="s">
        <v>209</v>
      </c>
      <c r="D17" s="113" t="s">
        <v>210</v>
      </c>
      <c r="E17" s="6" t="s">
        <v>1</v>
      </c>
      <c r="F17" s="134">
        <f>4</f>
        <v>4</v>
      </c>
      <c r="G17" s="152"/>
      <c r="H17" s="123">
        <f>F17*G17</f>
        <v>0</v>
      </c>
      <c r="I17" s="118"/>
      <c r="J17" s="123">
        <f>I17*F17</f>
        <v>0</v>
      </c>
      <c r="K17" s="123">
        <f>J17+H17</f>
        <v>0</v>
      </c>
      <c r="L17" s="66" t="s">
        <v>217</v>
      </c>
      <c r="M17" s="18" t="s">
        <v>218</v>
      </c>
    </row>
    <row r="18" spans="2:13" s="4" customFormat="1" ht="27.95" customHeight="1">
      <c r="B18" s="24">
        <v>9</v>
      </c>
      <c r="C18" s="22" t="s">
        <v>80</v>
      </c>
      <c r="D18" s="41" t="s">
        <v>81</v>
      </c>
      <c r="E18" s="9" t="s">
        <v>1</v>
      </c>
      <c r="F18" s="135">
        <f>1</f>
        <v>1</v>
      </c>
      <c r="G18" s="153"/>
      <c r="H18" s="123">
        <f aca="true" t="shared" si="3" ref="H18:H23">F18*G18</f>
        <v>0</v>
      </c>
      <c r="I18" s="119"/>
      <c r="J18" s="123">
        <f aca="true" t="shared" si="4" ref="J18:J23">I18*F18</f>
        <v>0</v>
      </c>
      <c r="K18" s="123">
        <f aca="true" t="shared" si="5" ref="K18:K23">J18+H18</f>
        <v>0</v>
      </c>
      <c r="L18" s="66" t="s">
        <v>219</v>
      </c>
      <c r="M18" s="18" t="s">
        <v>222</v>
      </c>
    </row>
    <row r="19" spans="2:13" s="4" customFormat="1" ht="27.95" customHeight="1">
      <c r="B19" s="24">
        <v>10</v>
      </c>
      <c r="C19" s="22" t="s">
        <v>211</v>
      </c>
      <c r="D19" s="41" t="s">
        <v>212</v>
      </c>
      <c r="E19" s="13" t="s">
        <v>1</v>
      </c>
      <c r="F19" s="135">
        <f>1</f>
        <v>1</v>
      </c>
      <c r="G19" s="153"/>
      <c r="H19" s="123">
        <f t="shared" si="3"/>
        <v>0</v>
      </c>
      <c r="I19" s="119"/>
      <c r="J19" s="123">
        <f t="shared" si="4"/>
        <v>0</v>
      </c>
      <c r="K19" s="123">
        <f t="shared" si="5"/>
        <v>0</v>
      </c>
      <c r="L19" s="66" t="s">
        <v>220</v>
      </c>
      <c r="M19" s="18" t="s">
        <v>223</v>
      </c>
    </row>
    <row r="20" spans="2:13" s="4" customFormat="1" ht="27.95" customHeight="1">
      <c r="B20" s="24">
        <v>11</v>
      </c>
      <c r="C20" s="22" t="s">
        <v>213</v>
      </c>
      <c r="D20" s="41" t="s">
        <v>214</v>
      </c>
      <c r="E20" s="13" t="s">
        <v>1</v>
      </c>
      <c r="F20" s="135">
        <f>1</f>
        <v>1</v>
      </c>
      <c r="G20" s="153"/>
      <c r="H20" s="123">
        <f t="shared" si="3"/>
        <v>0</v>
      </c>
      <c r="I20" s="120"/>
      <c r="J20" s="123">
        <f t="shared" si="4"/>
        <v>0</v>
      </c>
      <c r="K20" s="123">
        <f t="shared" si="5"/>
        <v>0</v>
      </c>
      <c r="L20" s="66" t="s">
        <v>221</v>
      </c>
      <c r="M20" s="18" t="s">
        <v>224</v>
      </c>
    </row>
    <row r="21" spans="2:13" s="4" customFormat="1" ht="27.95" customHeight="1">
      <c r="B21" s="24">
        <v>12</v>
      </c>
      <c r="C21" s="25" t="s">
        <v>16</v>
      </c>
      <c r="D21" s="68" t="s">
        <v>215</v>
      </c>
      <c r="E21" s="13" t="s">
        <v>1</v>
      </c>
      <c r="F21" s="135">
        <f>CEILING((F17+F18+F19+F20)+6,1)</f>
        <v>13</v>
      </c>
      <c r="G21" s="153"/>
      <c r="H21" s="123">
        <f t="shared" si="3"/>
        <v>0</v>
      </c>
      <c r="I21" s="150"/>
      <c r="J21" s="123">
        <f t="shared" si="4"/>
        <v>0</v>
      </c>
      <c r="K21" s="123">
        <f t="shared" si="5"/>
        <v>0</v>
      </c>
      <c r="L21" s="66" t="s">
        <v>225</v>
      </c>
      <c r="M21" s="18" t="s">
        <v>135</v>
      </c>
    </row>
    <row r="22" spans="2:13" s="4" customFormat="1" ht="27.95" customHeight="1">
      <c r="B22" s="24">
        <v>13</v>
      </c>
      <c r="C22" s="25" t="s">
        <v>21</v>
      </c>
      <c r="D22" s="26" t="s">
        <v>22</v>
      </c>
      <c r="E22" s="5" t="s">
        <v>11</v>
      </c>
      <c r="F22" s="136">
        <f>CEILING(((1340.4+426.7)*1.56)*1.2*0.6,1)</f>
        <v>1985</v>
      </c>
      <c r="G22" s="152"/>
      <c r="H22" s="123">
        <f t="shared" si="3"/>
        <v>0</v>
      </c>
      <c r="I22" s="121"/>
      <c r="J22" s="123">
        <f t="shared" si="4"/>
        <v>0</v>
      </c>
      <c r="K22" s="123">
        <f t="shared" si="5"/>
        <v>0</v>
      </c>
      <c r="L22" s="70" t="s">
        <v>136</v>
      </c>
      <c r="M22" s="18" t="s">
        <v>51</v>
      </c>
    </row>
    <row r="23" spans="2:13" s="4" customFormat="1" ht="27.95" customHeight="1">
      <c r="B23" s="24">
        <v>14</v>
      </c>
      <c r="C23" s="5" t="s">
        <v>23</v>
      </c>
      <c r="D23" s="69" t="s">
        <v>24</v>
      </c>
      <c r="E23" s="15" t="s">
        <v>8</v>
      </c>
      <c r="F23" s="132">
        <f>CEILING(((25.7+95.5+12.6+27.6)*4.81*1.2*0.75)*0.2,0.1)</f>
        <v>139.8</v>
      </c>
      <c r="G23" s="150"/>
      <c r="H23" s="123">
        <f t="shared" si="3"/>
        <v>0</v>
      </c>
      <c r="I23" s="121"/>
      <c r="J23" s="123">
        <f t="shared" si="4"/>
        <v>0</v>
      </c>
      <c r="K23" s="123">
        <f t="shared" si="5"/>
        <v>0</v>
      </c>
      <c r="L23" s="66" t="s">
        <v>137</v>
      </c>
      <c r="M23" s="18" t="s">
        <v>38</v>
      </c>
    </row>
    <row r="24" spans="2:13" s="4" customFormat="1" ht="27.95" customHeight="1">
      <c r="B24" s="24">
        <v>15</v>
      </c>
      <c r="C24" s="5" t="s">
        <v>25</v>
      </c>
      <c r="D24" s="26" t="s">
        <v>88</v>
      </c>
      <c r="E24" s="5" t="s">
        <v>8</v>
      </c>
      <c r="F24" s="133">
        <f>CEILING(1.9+2.6+(0.6+0.7+1+1.5+1.1+0.8),0.5)</f>
        <v>10.5</v>
      </c>
      <c r="G24" s="151"/>
      <c r="H24" s="123">
        <f aca="true" t="shared" si="6" ref="H24:H27">F24*G24</f>
        <v>0</v>
      </c>
      <c r="I24" s="121"/>
      <c r="J24" s="123">
        <f aca="true" t="shared" si="7" ref="J24:J27">I24*F24</f>
        <v>0</v>
      </c>
      <c r="K24" s="123">
        <f aca="true" t="shared" si="8" ref="K24:K27">J24+H24</f>
        <v>0</v>
      </c>
      <c r="L24" s="66" t="s">
        <v>139</v>
      </c>
      <c r="M24" s="18" t="s">
        <v>138</v>
      </c>
    </row>
    <row r="25" spans="2:13" s="4" customFormat="1" ht="27.95" customHeight="1">
      <c r="B25" s="24">
        <v>16</v>
      </c>
      <c r="C25" s="25" t="s">
        <v>16</v>
      </c>
      <c r="D25" s="26" t="s">
        <v>87</v>
      </c>
      <c r="E25" s="5" t="s">
        <v>8</v>
      </c>
      <c r="F25" s="132">
        <f>CEILING((((451.3+171.5)*1.2)*0.5),0.1)</f>
        <v>373.70000000000005</v>
      </c>
      <c r="G25" s="150"/>
      <c r="H25" s="123">
        <f t="shared" si="6"/>
        <v>0</v>
      </c>
      <c r="I25" s="121"/>
      <c r="J25" s="123">
        <f t="shared" si="7"/>
        <v>0</v>
      </c>
      <c r="K25" s="123">
        <f t="shared" si="8"/>
        <v>0</v>
      </c>
      <c r="L25" s="66" t="s">
        <v>140</v>
      </c>
      <c r="M25" s="18" t="s">
        <v>141</v>
      </c>
    </row>
    <row r="26" spans="2:13" s="4" customFormat="1" ht="27.95" customHeight="1">
      <c r="B26" s="24">
        <v>17</v>
      </c>
      <c r="C26" s="25" t="s">
        <v>89</v>
      </c>
      <c r="D26" s="26" t="s">
        <v>90</v>
      </c>
      <c r="E26" s="5" t="s">
        <v>10</v>
      </c>
      <c r="F26" s="132">
        <f>(44+36+36)-F27</f>
        <v>92</v>
      </c>
      <c r="G26" s="150"/>
      <c r="H26" s="123">
        <f t="shared" si="6"/>
        <v>0</v>
      </c>
      <c r="I26" s="151"/>
      <c r="J26" s="123">
        <f t="shared" si="7"/>
        <v>0</v>
      </c>
      <c r="K26" s="123">
        <f t="shared" si="8"/>
        <v>0</v>
      </c>
      <c r="L26" s="88" t="s">
        <v>226</v>
      </c>
      <c r="M26" s="18" t="s">
        <v>143</v>
      </c>
    </row>
    <row r="27" spans="2:13" s="4" customFormat="1" ht="27.95" customHeight="1" thickBot="1">
      <c r="B27" s="114">
        <v>18</v>
      </c>
      <c r="C27" s="25" t="s">
        <v>91</v>
      </c>
      <c r="D27" s="26" t="s">
        <v>92</v>
      </c>
      <c r="E27" s="5" t="s">
        <v>10</v>
      </c>
      <c r="F27" s="137">
        <f>3*2*4</f>
        <v>24</v>
      </c>
      <c r="G27" s="151"/>
      <c r="H27" s="123">
        <f t="shared" si="6"/>
        <v>0</v>
      </c>
      <c r="I27" s="151"/>
      <c r="J27" s="123">
        <f t="shared" si="7"/>
        <v>0</v>
      </c>
      <c r="K27" s="123">
        <f t="shared" si="8"/>
        <v>0</v>
      </c>
      <c r="L27" s="67" t="s">
        <v>144</v>
      </c>
      <c r="M27" s="40" t="s">
        <v>142</v>
      </c>
    </row>
    <row r="28" spans="2:13" s="8" customFormat="1" ht="15" customHeight="1" thickBot="1">
      <c r="B28" s="71"/>
      <c r="C28" s="21"/>
      <c r="D28" s="218" t="s">
        <v>93</v>
      </c>
      <c r="E28" s="218"/>
      <c r="F28" s="218"/>
      <c r="G28" s="218"/>
      <c r="H28" s="218"/>
      <c r="I28" s="218"/>
      <c r="J28" s="218"/>
      <c r="K28" s="218"/>
      <c r="L28" s="218"/>
      <c r="M28" s="219"/>
    </row>
    <row r="29" spans="2:13" s="10" customFormat="1" ht="27.95" customHeight="1">
      <c r="B29" s="55">
        <v>19</v>
      </c>
      <c r="C29" s="72" t="s">
        <v>30</v>
      </c>
      <c r="D29" s="35" t="s">
        <v>54</v>
      </c>
      <c r="E29" s="72" t="s">
        <v>10</v>
      </c>
      <c r="F29" s="138">
        <f>CEILING((F30)*1.9,1)</f>
        <v>12</v>
      </c>
      <c r="G29" s="149"/>
      <c r="H29" s="123">
        <f aca="true" t="shared" si="9" ref="H29">F29*G29</f>
        <v>0</v>
      </c>
      <c r="I29" s="121"/>
      <c r="J29" s="123">
        <f aca="true" t="shared" si="10" ref="J29">I29*F29</f>
        <v>0</v>
      </c>
      <c r="K29" s="123">
        <f aca="true" t="shared" si="11" ref="K29">J29+H29</f>
        <v>0</v>
      </c>
      <c r="L29" s="70" t="s">
        <v>227</v>
      </c>
      <c r="M29" s="48" t="s">
        <v>45</v>
      </c>
    </row>
    <row r="30" spans="2:13" s="10" customFormat="1" ht="27.95" customHeight="1">
      <c r="B30" s="55">
        <v>20</v>
      </c>
      <c r="C30" s="73" t="s">
        <v>74</v>
      </c>
      <c r="D30" s="28" t="s">
        <v>75</v>
      </c>
      <c r="E30" s="12" t="s">
        <v>1</v>
      </c>
      <c r="F30" s="139">
        <f>6</f>
        <v>6</v>
      </c>
      <c r="G30" s="154"/>
      <c r="H30" s="123">
        <f aca="true" t="shared" si="12" ref="H30:H32">F30*G30</f>
        <v>0</v>
      </c>
      <c r="I30" s="121"/>
      <c r="J30" s="123">
        <f aca="true" t="shared" si="13" ref="J30:J32">I30*F30</f>
        <v>0</v>
      </c>
      <c r="K30" s="123">
        <f aca="true" t="shared" si="14" ref="K30:K32">J30+H30</f>
        <v>0</v>
      </c>
      <c r="L30" s="27" t="s">
        <v>146</v>
      </c>
      <c r="M30" s="32" t="s">
        <v>82</v>
      </c>
    </row>
    <row r="31" spans="2:13" s="10" customFormat="1" ht="27.95" customHeight="1">
      <c r="B31" s="55">
        <v>21</v>
      </c>
      <c r="C31" s="73" t="s">
        <v>52</v>
      </c>
      <c r="D31" s="28" t="s">
        <v>53</v>
      </c>
      <c r="E31" s="29" t="s">
        <v>3</v>
      </c>
      <c r="F31" s="131">
        <f>CEILING(F29*0.15,0.1)</f>
        <v>1.8</v>
      </c>
      <c r="G31" s="149"/>
      <c r="H31" s="123">
        <f t="shared" si="12"/>
        <v>0</v>
      </c>
      <c r="I31" s="151"/>
      <c r="J31" s="123">
        <f t="shared" si="13"/>
        <v>0</v>
      </c>
      <c r="K31" s="123">
        <f t="shared" si="14"/>
        <v>0</v>
      </c>
      <c r="L31" s="31" t="s">
        <v>228</v>
      </c>
      <c r="M31" s="32" t="s">
        <v>145</v>
      </c>
    </row>
    <row r="32" spans="2:13" s="10" customFormat="1" ht="27.95" customHeight="1" thickBot="1">
      <c r="B32" s="55">
        <v>22</v>
      </c>
      <c r="C32" s="53" t="s">
        <v>73</v>
      </c>
      <c r="D32" s="74" t="s">
        <v>78</v>
      </c>
      <c r="E32" s="53" t="s">
        <v>11</v>
      </c>
      <c r="F32" s="137">
        <f>CEILING((F30)*(0.079522*1.3)*2,0.1)</f>
        <v>1.3</v>
      </c>
      <c r="G32" s="155"/>
      <c r="H32" s="123">
        <f t="shared" si="12"/>
        <v>0</v>
      </c>
      <c r="I32" s="151"/>
      <c r="J32" s="123">
        <f t="shared" si="13"/>
        <v>0</v>
      </c>
      <c r="K32" s="123">
        <f t="shared" si="14"/>
        <v>0</v>
      </c>
      <c r="L32" s="27" t="s">
        <v>229</v>
      </c>
      <c r="M32" s="47" t="s">
        <v>79</v>
      </c>
    </row>
    <row r="33" spans="2:13" s="10" customFormat="1" ht="15" customHeight="1" thickBot="1">
      <c r="B33" s="71"/>
      <c r="C33" s="21"/>
      <c r="D33" s="218" t="s">
        <v>94</v>
      </c>
      <c r="E33" s="218"/>
      <c r="F33" s="218"/>
      <c r="G33" s="218"/>
      <c r="H33" s="218"/>
      <c r="I33" s="218"/>
      <c r="J33" s="218"/>
      <c r="K33" s="218"/>
      <c r="L33" s="218"/>
      <c r="M33" s="219"/>
    </row>
    <row r="34" spans="2:13" s="10" customFormat="1" ht="48" customHeight="1">
      <c r="B34" s="55">
        <v>23</v>
      </c>
      <c r="C34" s="34" t="s">
        <v>16</v>
      </c>
      <c r="D34" s="52" t="s">
        <v>115</v>
      </c>
      <c r="E34" s="43" t="s">
        <v>8</v>
      </c>
      <c r="F34" s="138">
        <f>CEILING(((2.6*0.5*0.5)+(1*0.5*1.5)+(0.8*0.5*1.5)+(2.5*0.5*2)+(1*0.5*1.5)+(1.8*0.5*1.5)+(5*3*(0.5*0.5*0.7)))*3.5,0.5)</f>
        <v>32.5</v>
      </c>
      <c r="G34" s="149"/>
      <c r="H34" s="123">
        <f aca="true" t="shared" si="15" ref="H34">F34*G34</f>
        <v>0</v>
      </c>
      <c r="I34" s="121"/>
      <c r="J34" s="123">
        <f aca="true" t="shared" si="16" ref="J34">I34*F34</f>
        <v>0</v>
      </c>
      <c r="K34" s="123">
        <f aca="true" t="shared" si="17" ref="K34">J34+H34</f>
        <v>0</v>
      </c>
      <c r="L34" s="75" t="s">
        <v>157</v>
      </c>
      <c r="M34" s="32" t="s">
        <v>165</v>
      </c>
    </row>
    <row r="35" spans="2:13" s="10" customFormat="1" ht="27.95" customHeight="1">
      <c r="B35" s="55">
        <v>24</v>
      </c>
      <c r="C35" s="22" t="s">
        <v>16</v>
      </c>
      <c r="D35" s="23" t="s">
        <v>116</v>
      </c>
      <c r="E35" s="5" t="s">
        <v>8</v>
      </c>
      <c r="F35" s="131">
        <f>F34</f>
        <v>32.5</v>
      </c>
      <c r="G35" s="149"/>
      <c r="H35" s="123">
        <f aca="true" t="shared" si="18" ref="H35:H44">F35*G35</f>
        <v>0</v>
      </c>
      <c r="I35" s="121"/>
      <c r="J35" s="123">
        <f aca="true" t="shared" si="19" ref="J35:J44">I35*F35</f>
        <v>0</v>
      </c>
      <c r="K35" s="123">
        <f aca="true" t="shared" si="20" ref="K35:K44">J35+H35</f>
        <v>0</v>
      </c>
      <c r="L35" s="75" t="s">
        <v>156</v>
      </c>
      <c r="M35" s="32" t="s">
        <v>164</v>
      </c>
    </row>
    <row r="36" spans="2:13" s="10" customFormat="1" ht="27.95" customHeight="1">
      <c r="B36" s="49">
        <v>25</v>
      </c>
      <c r="C36" s="25" t="s">
        <v>117</v>
      </c>
      <c r="D36" s="26" t="s">
        <v>118</v>
      </c>
      <c r="E36" s="5" t="s">
        <v>8</v>
      </c>
      <c r="F36" s="132">
        <f>CEILING((2.6*0.5*0.5)+(1*0.5*0.5)+(0.8*0.5*0.5)+(2.5*0.5*0.5)+(1*0.5*0.5)+(1.8*0.5*0.5)+(6*3*(0.5*0.5*0.5)),0.1)</f>
        <v>4.7</v>
      </c>
      <c r="G36" s="150"/>
      <c r="H36" s="123">
        <f t="shared" si="18"/>
        <v>0</v>
      </c>
      <c r="I36" s="151"/>
      <c r="J36" s="123">
        <f t="shared" si="19"/>
        <v>0</v>
      </c>
      <c r="K36" s="123">
        <f t="shared" si="20"/>
        <v>0</v>
      </c>
      <c r="L36" s="75" t="s">
        <v>158</v>
      </c>
      <c r="M36" s="32" t="s">
        <v>163</v>
      </c>
    </row>
    <row r="37" spans="2:13" s="10" customFormat="1" ht="27.95" customHeight="1">
      <c r="B37" s="55">
        <v>26</v>
      </c>
      <c r="C37" s="5" t="s">
        <v>119</v>
      </c>
      <c r="D37" s="84" t="s">
        <v>120</v>
      </c>
      <c r="E37" s="82" t="s">
        <v>8</v>
      </c>
      <c r="F37" s="132">
        <f>CEILING(4*3*2.3*1.3,0.1)</f>
        <v>35.9</v>
      </c>
      <c r="G37" s="150"/>
      <c r="H37" s="123">
        <f t="shared" si="18"/>
        <v>0</v>
      </c>
      <c r="I37" s="121"/>
      <c r="J37" s="123">
        <f t="shared" si="19"/>
        <v>0</v>
      </c>
      <c r="K37" s="123">
        <f t="shared" si="20"/>
        <v>0</v>
      </c>
      <c r="L37" s="75" t="s">
        <v>159</v>
      </c>
      <c r="M37" s="32" t="s">
        <v>169</v>
      </c>
    </row>
    <row r="38" spans="2:13" s="10" customFormat="1" ht="27.95" customHeight="1">
      <c r="B38" s="49">
        <v>27</v>
      </c>
      <c r="C38" s="5" t="s">
        <v>121</v>
      </c>
      <c r="D38" s="84" t="s">
        <v>122</v>
      </c>
      <c r="E38" s="82" t="s">
        <v>8</v>
      </c>
      <c r="F38" s="132">
        <f>F37</f>
        <v>35.9</v>
      </c>
      <c r="G38" s="120"/>
      <c r="H38" s="123">
        <f t="shared" si="18"/>
        <v>0</v>
      </c>
      <c r="I38" s="151"/>
      <c r="J38" s="123">
        <f t="shared" si="19"/>
        <v>0</v>
      </c>
      <c r="K38" s="123">
        <f t="shared" si="20"/>
        <v>0</v>
      </c>
      <c r="L38" s="75" t="s">
        <v>230</v>
      </c>
      <c r="M38" s="32" t="s">
        <v>168</v>
      </c>
    </row>
    <row r="39" spans="2:13" s="10" customFormat="1" ht="48" customHeight="1">
      <c r="B39" s="55">
        <v>28</v>
      </c>
      <c r="C39" s="76" t="s">
        <v>123</v>
      </c>
      <c r="D39" s="77" t="s">
        <v>124</v>
      </c>
      <c r="E39" s="85" t="s">
        <v>8</v>
      </c>
      <c r="F39" s="140">
        <f>CEILING(((2.6*0.5*1.8+3*0.5*0.5*1.8)+(1*0.5*1.8+3*0.5*0.5*1.8)+(0.8*0.5*1.8+3*0.5*0.5*1.8)+(2.5*0.5*2.3)+(1*0.5*1.5+3*0.5*0.5*1.5)+(1.8*0.5*1.8+3*0.5*0.5*1.8))*1.3,0.1)</f>
        <v>20.5</v>
      </c>
      <c r="G39" s="156"/>
      <c r="H39" s="123">
        <f t="shared" si="18"/>
        <v>0</v>
      </c>
      <c r="I39" s="121"/>
      <c r="J39" s="123">
        <f t="shared" si="19"/>
        <v>0</v>
      </c>
      <c r="K39" s="123">
        <f t="shared" si="20"/>
        <v>0</v>
      </c>
      <c r="L39" s="78" t="s">
        <v>160</v>
      </c>
      <c r="M39" s="32" t="s">
        <v>170</v>
      </c>
    </row>
    <row r="40" spans="2:13" s="10" customFormat="1" ht="39.75" customHeight="1">
      <c r="B40" s="55">
        <v>29</v>
      </c>
      <c r="C40" s="5" t="s">
        <v>125</v>
      </c>
      <c r="D40" s="84" t="s">
        <v>126</v>
      </c>
      <c r="E40" s="82" t="s">
        <v>8</v>
      </c>
      <c r="F40" s="132">
        <f>F39</f>
        <v>20.5</v>
      </c>
      <c r="G40" s="120"/>
      <c r="H40" s="123">
        <f t="shared" si="18"/>
        <v>0</v>
      </c>
      <c r="I40" s="151"/>
      <c r="J40" s="123">
        <f t="shared" si="19"/>
        <v>0</v>
      </c>
      <c r="K40" s="123">
        <f t="shared" si="20"/>
        <v>0</v>
      </c>
      <c r="L40" s="75" t="s">
        <v>231</v>
      </c>
      <c r="M40" s="32" t="s">
        <v>167</v>
      </c>
    </row>
    <row r="41" spans="2:13" s="10" customFormat="1" ht="27.95" customHeight="1">
      <c r="B41" s="55">
        <v>30</v>
      </c>
      <c r="C41" s="5" t="s">
        <v>113</v>
      </c>
      <c r="D41" s="84" t="s">
        <v>114</v>
      </c>
      <c r="E41" s="82" t="s">
        <v>8</v>
      </c>
      <c r="F41" s="132">
        <f>CEILING(((2.6*0.5*1.8)+(1*0.5*1.8)+(0.8*0.5*1.8)+(2.5*0.5*2.3)+(1*0.5*1.5)+(1.8*0.5*1.8))*1.3,1)</f>
        <v>12</v>
      </c>
      <c r="G41" s="119"/>
      <c r="H41" s="123">
        <f t="shared" si="18"/>
        <v>0</v>
      </c>
      <c r="I41" s="151"/>
      <c r="J41" s="123">
        <f t="shared" si="19"/>
        <v>0</v>
      </c>
      <c r="K41" s="123">
        <f t="shared" si="20"/>
        <v>0</v>
      </c>
      <c r="L41" s="65" t="s">
        <v>162</v>
      </c>
      <c r="M41" s="18" t="s">
        <v>150</v>
      </c>
    </row>
    <row r="42" spans="2:13" s="10" customFormat="1" ht="27.95" customHeight="1">
      <c r="B42" s="55">
        <v>31</v>
      </c>
      <c r="C42" s="86" t="s">
        <v>30</v>
      </c>
      <c r="D42" s="38" t="s">
        <v>127</v>
      </c>
      <c r="E42" s="86" t="s">
        <v>10</v>
      </c>
      <c r="F42" s="132">
        <f>CEILING(F43*0.4,1)</f>
        <v>66</v>
      </c>
      <c r="G42" s="157"/>
      <c r="H42" s="123">
        <f t="shared" si="18"/>
        <v>0</v>
      </c>
      <c r="I42" s="121"/>
      <c r="J42" s="123">
        <f t="shared" si="19"/>
        <v>0</v>
      </c>
      <c r="K42" s="123">
        <f t="shared" si="20"/>
        <v>0</v>
      </c>
      <c r="L42" s="16" t="s">
        <v>232</v>
      </c>
      <c r="M42" s="18" t="s">
        <v>45</v>
      </c>
    </row>
    <row r="43" spans="2:13" s="10" customFormat="1" ht="27.95" customHeight="1">
      <c r="B43" s="55">
        <v>32</v>
      </c>
      <c r="C43" s="73" t="s">
        <v>128</v>
      </c>
      <c r="D43" s="33" t="s">
        <v>129</v>
      </c>
      <c r="E43" s="12" t="s">
        <v>1</v>
      </c>
      <c r="F43" s="132">
        <f>CEILING((F39/0.5)*4,1)</f>
        <v>164</v>
      </c>
      <c r="G43" s="157"/>
      <c r="H43" s="123">
        <f t="shared" si="18"/>
        <v>0</v>
      </c>
      <c r="I43" s="121"/>
      <c r="J43" s="123">
        <f t="shared" si="19"/>
        <v>0</v>
      </c>
      <c r="K43" s="123">
        <f t="shared" si="20"/>
        <v>0</v>
      </c>
      <c r="L43" s="16" t="s">
        <v>233</v>
      </c>
      <c r="M43" s="18" t="s">
        <v>166</v>
      </c>
    </row>
    <row r="44" spans="2:13" s="10" customFormat="1" ht="27.95" customHeight="1" thickBot="1">
      <c r="B44" s="55">
        <v>33</v>
      </c>
      <c r="C44" s="30" t="s">
        <v>130</v>
      </c>
      <c r="D44" s="56" t="s">
        <v>131</v>
      </c>
      <c r="E44" s="5" t="s">
        <v>11</v>
      </c>
      <c r="F44" s="137">
        <f>CEILING(((2.6*1.8)+(1*1.8)+(0.8*1.8)+(2.5*2.3)+(1*1.5)+(1.8*1.8))*1.3,1)</f>
        <v>24</v>
      </c>
      <c r="G44" s="155"/>
      <c r="H44" s="123">
        <f t="shared" si="18"/>
        <v>0</v>
      </c>
      <c r="I44" s="121"/>
      <c r="J44" s="123">
        <f t="shared" si="19"/>
        <v>0</v>
      </c>
      <c r="K44" s="123">
        <f t="shared" si="20"/>
        <v>0</v>
      </c>
      <c r="L44" s="16" t="s">
        <v>161</v>
      </c>
      <c r="M44" s="18" t="s">
        <v>155</v>
      </c>
    </row>
    <row r="45" spans="2:13" s="11" customFormat="1" ht="15" customHeight="1" thickBot="1">
      <c r="B45" s="71"/>
      <c r="C45" s="21"/>
      <c r="D45" s="218" t="s">
        <v>95</v>
      </c>
      <c r="E45" s="218"/>
      <c r="F45" s="218"/>
      <c r="G45" s="218"/>
      <c r="H45" s="218"/>
      <c r="I45" s="218"/>
      <c r="J45" s="218"/>
      <c r="K45" s="218"/>
      <c r="L45" s="218"/>
      <c r="M45" s="219"/>
    </row>
    <row r="46" spans="2:13" s="11" customFormat="1" ht="27.95" customHeight="1">
      <c r="B46" s="55">
        <v>34</v>
      </c>
      <c r="C46" s="5" t="s">
        <v>16</v>
      </c>
      <c r="D46" s="87" t="s">
        <v>108</v>
      </c>
      <c r="E46" s="82" t="s">
        <v>8</v>
      </c>
      <c r="F46" s="138">
        <f>CEILING((16*1.6*0.5)+(7*1.5*0.5),0.5)</f>
        <v>18.5</v>
      </c>
      <c r="G46" s="158"/>
      <c r="H46" s="123">
        <f aca="true" t="shared" si="21" ref="H46">F46*G46</f>
        <v>0</v>
      </c>
      <c r="I46" s="121"/>
      <c r="J46" s="123">
        <f aca="true" t="shared" si="22" ref="J46">I46*F46</f>
        <v>0</v>
      </c>
      <c r="K46" s="123">
        <f aca="true" t="shared" si="23" ref="K46">J46+H46</f>
        <v>0</v>
      </c>
      <c r="L46" s="64" t="s">
        <v>148</v>
      </c>
      <c r="M46" s="17" t="s">
        <v>147</v>
      </c>
    </row>
    <row r="47" spans="2:13" s="11" customFormat="1" ht="27.95" customHeight="1">
      <c r="B47" s="55">
        <v>35</v>
      </c>
      <c r="C47" s="5" t="s">
        <v>109</v>
      </c>
      <c r="D47" s="83" t="s">
        <v>110</v>
      </c>
      <c r="E47" s="82" t="s">
        <v>8</v>
      </c>
      <c r="F47" s="132">
        <f>CEILING((16*1.6*0.5*0.35)+(7*1.5*0.5*1),0.1)</f>
        <v>9.8</v>
      </c>
      <c r="G47" s="149"/>
      <c r="H47" s="123">
        <f aca="true" t="shared" si="24" ref="H47:H49">F47*G47</f>
        <v>0</v>
      </c>
      <c r="I47" s="121"/>
      <c r="J47" s="123">
        <f aca="true" t="shared" si="25" ref="J47:J49">I47*F47</f>
        <v>0</v>
      </c>
      <c r="K47" s="123">
        <f aca="true" t="shared" si="26" ref="K47:K49">J47+H47</f>
        <v>0</v>
      </c>
      <c r="L47" s="65" t="s">
        <v>153</v>
      </c>
      <c r="M47" s="18" t="s">
        <v>149</v>
      </c>
    </row>
    <row r="48" spans="2:13" s="11" customFormat="1" ht="27.95" customHeight="1">
      <c r="B48" s="55">
        <v>36</v>
      </c>
      <c r="C48" s="5" t="s">
        <v>111</v>
      </c>
      <c r="D48" s="83" t="s">
        <v>112</v>
      </c>
      <c r="E48" s="82" t="s">
        <v>8</v>
      </c>
      <c r="F48" s="132">
        <f>F46</f>
        <v>18.5</v>
      </c>
      <c r="G48" s="119"/>
      <c r="H48" s="123">
        <f t="shared" si="24"/>
        <v>0</v>
      </c>
      <c r="I48" s="151"/>
      <c r="J48" s="123">
        <f t="shared" si="25"/>
        <v>0</v>
      </c>
      <c r="K48" s="123">
        <f t="shared" si="26"/>
        <v>0</v>
      </c>
      <c r="L48" s="65" t="s">
        <v>234</v>
      </c>
      <c r="M48" s="18" t="s">
        <v>154</v>
      </c>
    </row>
    <row r="49" spans="2:13" s="11" customFormat="1" ht="27.95" customHeight="1" thickBot="1">
      <c r="B49" s="55">
        <v>37</v>
      </c>
      <c r="C49" s="5" t="s">
        <v>113</v>
      </c>
      <c r="D49" s="84" t="s">
        <v>114</v>
      </c>
      <c r="E49" s="82" t="s">
        <v>8</v>
      </c>
      <c r="F49" s="137">
        <f>F48</f>
        <v>18.5</v>
      </c>
      <c r="G49" s="147"/>
      <c r="H49" s="123">
        <f t="shared" si="24"/>
        <v>0</v>
      </c>
      <c r="I49" s="151"/>
      <c r="J49" s="123">
        <f t="shared" si="25"/>
        <v>0</v>
      </c>
      <c r="K49" s="123">
        <f t="shared" si="26"/>
        <v>0</v>
      </c>
      <c r="L49" s="65" t="s">
        <v>235</v>
      </c>
      <c r="M49" s="18" t="s">
        <v>150</v>
      </c>
    </row>
    <row r="50" spans="2:13" s="11" customFormat="1" ht="15" customHeight="1" thickBot="1">
      <c r="B50" s="71"/>
      <c r="C50" s="21"/>
      <c r="D50" s="218" t="s">
        <v>96</v>
      </c>
      <c r="E50" s="218"/>
      <c r="F50" s="218"/>
      <c r="G50" s="218"/>
      <c r="H50" s="218"/>
      <c r="I50" s="218"/>
      <c r="J50" s="218"/>
      <c r="K50" s="218"/>
      <c r="L50" s="218"/>
      <c r="M50" s="219"/>
    </row>
    <row r="51" spans="2:13" s="11" customFormat="1" ht="27.95" customHeight="1">
      <c r="B51" s="24">
        <v>38</v>
      </c>
      <c r="C51" s="34" t="s">
        <v>16</v>
      </c>
      <c r="D51" s="26" t="s">
        <v>102</v>
      </c>
      <c r="E51" s="82" t="s">
        <v>8</v>
      </c>
      <c r="F51" s="138">
        <f>CEILING(F37+F39+(2*F46),0.1)</f>
        <v>93.4</v>
      </c>
      <c r="G51" s="158"/>
      <c r="H51" s="123">
        <f aca="true" t="shared" si="27" ref="H51">F51*G51</f>
        <v>0</v>
      </c>
      <c r="I51" s="121"/>
      <c r="J51" s="123">
        <f aca="true" t="shared" si="28" ref="J51">I51*F51</f>
        <v>0</v>
      </c>
      <c r="K51" s="123">
        <f aca="true" t="shared" si="29" ref="K51">J51+H51</f>
        <v>0</v>
      </c>
      <c r="L51" s="64" t="s">
        <v>236</v>
      </c>
      <c r="M51" s="17" t="s">
        <v>151</v>
      </c>
    </row>
    <row r="52" spans="2:13" s="11" customFormat="1" ht="27.95" customHeight="1">
      <c r="B52" s="24">
        <v>39</v>
      </c>
      <c r="C52" s="22" t="s">
        <v>16</v>
      </c>
      <c r="D52" s="26" t="s">
        <v>103</v>
      </c>
      <c r="E52" s="82" t="s">
        <v>8</v>
      </c>
      <c r="F52" s="131">
        <f>F51*30</f>
        <v>2802</v>
      </c>
      <c r="G52" s="149"/>
      <c r="H52" s="123">
        <f aca="true" t="shared" si="30" ref="H52:H56">F52*G52</f>
        <v>0</v>
      </c>
      <c r="I52" s="121"/>
      <c r="J52" s="123">
        <f aca="true" t="shared" si="31" ref="J52:J56">I52*F52</f>
        <v>0</v>
      </c>
      <c r="K52" s="123">
        <f aca="true" t="shared" si="32" ref="K52:K56">J52+H52</f>
        <v>0</v>
      </c>
      <c r="L52" s="66" t="s">
        <v>237</v>
      </c>
      <c r="M52" s="40" t="s">
        <v>152</v>
      </c>
    </row>
    <row r="53" spans="2:13" s="11" customFormat="1" ht="27.95" customHeight="1">
      <c r="B53" s="24">
        <v>40</v>
      </c>
      <c r="C53" s="25" t="s">
        <v>104</v>
      </c>
      <c r="D53" s="23" t="s">
        <v>105</v>
      </c>
      <c r="E53" s="15" t="s">
        <v>2</v>
      </c>
      <c r="F53" s="131">
        <f>CEILING((F23+F47)*2.3,0.1)</f>
        <v>344.1</v>
      </c>
      <c r="G53" s="159"/>
      <c r="H53" s="123">
        <f t="shared" si="30"/>
        <v>0</v>
      </c>
      <c r="I53" s="121"/>
      <c r="J53" s="123">
        <f t="shared" si="31"/>
        <v>0</v>
      </c>
      <c r="K53" s="123">
        <f t="shared" si="32"/>
        <v>0</v>
      </c>
      <c r="L53" s="27" t="s">
        <v>238</v>
      </c>
      <c r="M53" s="18" t="s">
        <v>39</v>
      </c>
    </row>
    <row r="54" spans="2:13" s="11" customFormat="1" ht="27.95" customHeight="1">
      <c r="B54" s="24">
        <v>41</v>
      </c>
      <c r="C54" s="25" t="s">
        <v>26</v>
      </c>
      <c r="D54" s="26" t="s">
        <v>106</v>
      </c>
      <c r="E54" s="5" t="s">
        <v>2</v>
      </c>
      <c r="F54" s="132">
        <f>CEILING(((F23+F24+F47)*2.3)+((F25+F34)*2),0.1)</f>
        <v>1180.7</v>
      </c>
      <c r="G54" s="157"/>
      <c r="H54" s="123">
        <f t="shared" si="30"/>
        <v>0</v>
      </c>
      <c r="I54" s="121"/>
      <c r="J54" s="123">
        <f t="shared" si="31"/>
        <v>0</v>
      </c>
      <c r="K54" s="123">
        <f t="shared" si="32"/>
        <v>0</v>
      </c>
      <c r="L54" s="27" t="s">
        <v>239</v>
      </c>
      <c r="M54" s="18" t="s">
        <v>40</v>
      </c>
    </row>
    <row r="55" spans="2:13" s="11" customFormat="1" ht="27.95" customHeight="1">
      <c r="B55" s="24">
        <v>42</v>
      </c>
      <c r="C55" s="61" t="s">
        <v>27</v>
      </c>
      <c r="D55" s="26" t="s">
        <v>107</v>
      </c>
      <c r="E55" s="5" t="s">
        <v>2</v>
      </c>
      <c r="F55" s="133">
        <f>F54*19</f>
        <v>22433.3</v>
      </c>
      <c r="G55" s="157"/>
      <c r="H55" s="123">
        <f t="shared" si="30"/>
        <v>0</v>
      </c>
      <c r="I55" s="121"/>
      <c r="J55" s="123">
        <f t="shared" si="31"/>
        <v>0</v>
      </c>
      <c r="K55" s="123">
        <f t="shared" si="32"/>
        <v>0</v>
      </c>
      <c r="L55" s="16" t="s">
        <v>240</v>
      </c>
      <c r="M55" s="40" t="s">
        <v>76</v>
      </c>
    </row>
    <row r="56" spans="2:13" s="11" customFormat="1" ht="27.95" customHeight="1" thickBot="1">
      <c r="B56" s="60">
        <v>43</v>
      </c>
      <c r="C56" s="30" t="s">
        <v>16</v>
      </c>
      <c r="D56" s="42" t="s">
        <v>72</v>
      </c>
      <c r="E56" s="30" t="s">
        <v>2</v>
      </c>
      <c r="F56" s="133">
        <f>F54</f>
        <v>1180.7</v>
      </c>
      <c r="G56" s="155"/>
      <c r="H56" s="122">
        <f t="shared" si="30"/>
        <v>0</v>
      </c>
      <c r="I56" s="121"/>
      <c r="J56" s="122">
        <f t="shared" si="31"/>
        <v>0</v>
      </c>
      <c r="K56" s="122">
        <f t="shared" si="32"/>
        <v>0</v>
      </c>
      <c r="L56" s="108" t="s">
        <v>197</v>
      </c>
      <c r="M56" s="40" t="s">
        <v>77</v>
      </c>
    </row>
    <row r="57" spans="2:13" s="11" customFormat="1" ht="15" customHeight="1" thickBot="1">
      <c r="B57" s="71"/>
      <c r="C57" s="107"/>
      <c r="D57" s="223" t="s">
        <v>194</v>
      </c>
      <c r="E57" s="223"/>
      <c r="F57" s="223"/>
      <c r="G57" s="223"/>
      <c r="H57" s="223"/>
      <c r="I57" s="223"/>
      <c r="J57" s="223"/>
      <c r="K57" s="223"/>
      <c r="L57" s="223"/>
      <c r="M57" s="224"/>
    </row>
    <row r="58" spans="2:13" s="11" customFormat="1" ht="27.95" customHeight="1">
      <c r="B58" s="24">
        <v>44</v>
      </c>
      <c r="C58" s="95" t="s">
        <v>171</v>
      </c>
      <c r="D58" s="96" t="s">
        <v>172</v>
      </c>
      <c r="E58" s="97" t="s">
        <v>1</v>
      </c>
      <c r="F58" s="141">
        <f>4</f>
        <v>4</v>
      </c>
      <c r="G58" s="148"/>
      <c r="H58" s="124">
        <f aca="true" t="shared" si="33" ref="H58">F58*G58</f>
        <v>0</v>
      </c>
      <c r="I58" s="161"/>
      <c r="J58" s="124">
        <f aca="true" t="shared" si="34" ref="J58">I58*F58</f>
        <v>0</v>
      </c>
      <c r="K58" s="124">
        <f aca="true" t="shared" si="35" ref="K58">J58+H58</f>
        <v>0</v>
      </c>
      <c r="L58" s="111" t="s">
        <v>196</v>
      </c>
      <c r="M58" s="39" t="s">
        <v>200</v>
      </c>
    </row>
    <row r="59" spans="2:13" s="11" customFormat="1" ht="27.95" customHeight="1">
      <c r="B59" s="49">
        <v>45</v>
      </c>
      <c r="C59" s="95" t="s">
        <v>173</v>
      </c>
      <c r="D59" s="96" t="s">
        <v>216</v>
      </c>
      <c r="E59" s="97" t="s">
        <v>1</v>
      </c>
      <c r="F59" s="141">
        <f>F58</f>
        <v>4</v>
      </c>
      <c r="G59" s="160"/>
      <c r="H59" s="123">
        <f aca="true" t="shared" si="36" ref="H59:H70">F59*G59</f>
        <v>0</v>
      </c>
      <c r="I59" s="121"/>
      <c r="J59" s="123">
        <f aca="true" t="shared" si="37" ref="J59:J70">I59*F59</f>
        <v>0</v>
      </c>
      <c r="K59" s="123">
        <f aca="true" t="shared" si="38" ref="K59:K70">J59+H59</f>
        <v>0</v>
      </c>
      <c r="L59" s="16" t="s">
        <v>241</v>
      </c>
      <c r="M59" s="110" t="s">
        <v>258</v>
      </c>
    </row>
    <row r="60" spans="2:13" s="11" customFormat="1" ht="27.95" customHeight="1">
      <c r="B60" s="49">
        <v>46</v>
      </c>
      <c r="C60" s="95" t="s">
        <v>174</v>
      </c>
      <c r="D60" s="96" t="s">
        <v>175</v>
      </c>
      <c r="E60" s="97" t="s">
        <v>1</v>
      </c>
      <c r="F60" s="141">
        <f>F58</f>
        <v>4</v>
      </c>
      <c r="G60" s="148"/>
      <c r="H60" s="123">
        <f t="shared" si="36"/>
        <v>0</v>
      </c>
      <c r="I60" s="151"/>
      <c r="J60" s="123">
        <f t="shared" si="37"/>
        <v>0</v>
      </c>
      <c r="K60" s="123">
        <f t="shared" si="38"/>
        <v>0</v>
      </c>
      <c r="L60" s="16" t="s">
        <v>241</v>
      </c>
      <c r="M60" s="40" t="s">
        <v>201</v>
      </c>
    </row>
    <row r="61" spans="2:13" s="11" customFormat="1" ht="27.95" customHeight="1">
      <c r="B61" s="49">
        <v>47</v>
      </c>
      <c r="C61" s="95" t="s">
        <v>176</v>
      </c>
      <c r="D61" s="98" t="s">
        <v>177</v>
      </c>
      <c r="E61" s="97" t="s">
        <v>1</v>
      </c>
      <c r="F61" s="141">
        <f>F58*3</f>
        <v>12</v>
      </c>
      <c r="G61" s="162"/>
      <c r="H61" s="123">
        <f t="shared" si="36"/>
        <v>0</v>
      </c>
      <c r="I61" s="121"/>
      <c r="J61" s="123">
        <f t="shared" si="37"/>
        <v>0</v>
      </c>
      <c r="K61" s="123">
        <f t="shared" si="38"/>
        <v>0</v>
      </c>
      <c r="L61" s="16" t="s">
        <v>242</v>
      </c>
      <c r="M61" s="40" t="s">
        <v>203</v>
      </c>
    </row>
    <row r="62" spans="2:13" s="11" customFormat="1" ht="27.95" customHeight="1">
      <c r="B62" s="49">
        <v>48</v>
      </c>
      <c r="C62" s="99" t="s">
        <v>178</v>
      </c>
      <c r="D62" s="100" t="s">
        <v>179</v>
      </c>
      <c r="E62" s="101" t="s">
        <v>1</v>
      </c>
      <c r="F62" s="142">
        <f>F58</f>
        <v>4</v>
      </c>
      <c r="G62" s="163"/>
      <c r="H62" s="123">
        <f t="shared" si="36"/>
        <v>0</v>
      </c>
      <c r="I62" s="121"/>
      <c r="J62" s="123">
        <f t="shared" si="37"/>
        <v>0</v>
      </c>
      <c r="K62" s="123">
        <f t="shared" si="38"/>
        <v>0</v>
      </c>
      <c r="L62" s="16" t="s">
        <v>241</v>
      </c>
      <c r="M62" s="40" t="s">
        <v>195</v>
      </c>
    </row>
    <row r="63" spans="2:13" s="11" customFormat="1" ht="27.95" customHeight="1">
      <c r="B63" s="49">
        <v>49</v>
      </c>
      <c r="C63" s="95" t="s">
        <v>180</v>
      </c>
      <c r="D63" s="96" t="s">
        <v>181</v>
      </c>
      <c r="E63" s="97" t="s">
        <v>1</v>
      </c>
      <c r="F63" s="141">
        <f>F58</f>
        <v>4</v>
      </c>
      <c r="G63" s="162"/>
      <c r="H63" s="123">
        <f t="shared" si="36"/>
        <v>0</v>
      </c>
      <c r="I63" s="151"/>
      <c r="J63" s="123">
        <f t="shared" si="37"/>
        <v>0</v>
      </c>
      <c r="K63" s="123">
        <f t="shared" si="38"/>
        <v>0</v>
      </c>
      <c r="L63" s="16" t="s">
        <v>241</v>
      </c>
      <c r="M63" s="109" t="s">
        <v>202</v>
      </c>
    </row>
    <row r="64" spans="2:13" s="11" customFormat="1" ht="27.95" customHeight="1">
      <c r="B64" s="49">
        <v>50</v>
      </c>
      <c r="C64" s="99" t="s">
        <v>182</v>
      </c>
      <c r="D64" s="102" t="s">
        <v>183</v>
      </c>
      <c r="E64" s="97" t="s">
        <v>1</v>
      </c>
      <c r="F64" s="143">
        <f>F58*5</f>
        <v>20</v>
      </c>
      <c r="G64" s="164"/>
      <c r="H64" s="123">
        <f t="shared" si="36"/>
        <v>0</v>
      </c>
      <c r="I64" s="121"/>
      <c r="J64" s="123">
        <f t="shared" si="37"/>
        <v>0</v>
      </c>
      <c r="K64" s="123">
        <f t="shared" si="38"/>
        <v>0</v>
      </c>
      <c r="L64" s="16" t="s">
        <v>198</v>
      </c>
      <c r="M64" s="40" t="s">
        <v>204</v>
      </c>
    </row>
    <row r="65" spans="2:13" s="11" customFormat="1" ht="27.95" customHeight="1">
      <c r="B65" s="49">
        <v>51</v>
      </c>
      <c r="C65" s="103" t="s">
        <v>253</v>
      </c>
      <c r="D65" s="102" t="s">
        <v>256</v>
      </c>
      <c r="E65" s="104" t="s">
        <v>254</v>
      </c>
      <c r="F65" s="143">
        <f>CEILING(F58*4*0.015*3,1)</f>
        <v>1</v>
      </c>
      <c r="G65" s="164"/>
      <c r="H65" s="123">
        <f t="shared" si="36"/>
        <v>0</v>
      </c>
      <c r="I65" s="151"/>
      <c r="J65" s="123">
        <f t="shared" si="37"/>
        <v>0</v>
      </c>
      <c r="K65" s="123">
        <f t="shared" si="38"/>
        <v>0</v>
      </c>
      <c r="L65" s="16" t="s">
        <v>255</v>
      </c>
      <c r="M65" s="40" t="s">
        <v>257</v>
      </c>
    </row>
    <row r="66" spans="2:13" s="11" customFormat="1" ht="27.95" customHeight="1">
      <c r="B66" s="49">
        <v>52</v>
      </c>
      <c r="C66" s="103" t="s">
        <v>184</v>
      </c>
      <c r="D66" s="102" t="s">
        <v>185</v>
      </c>
      <c r="E66" s="103" t="s">
        <v>8</v>
      </c>
      <c r="F66" s="143">
        <f>CEILING(F58*0.05*(6*5)*5,0.5)</f>
        <v>30</v>
      </c>
      <c r="G66" s="146"/>
      <c r="H66" s="123">
        <f t="shared" si="36"/>
        <v>0</v>
      </c>
      <c r="I66" s="151"/>
      <c r="J66" s="123">
        <f t="shared" si="37"/>
        <v>0</v>
      </c>
      <c r="K66" s="123">
        <f t="shared" si="38"/>
        <v>0</v>
      </c>
      <c r="L66" s="16" t="s">
        <v>243</v>
      </c>
      <c r="M66" s="40" t="s">
        <v>205</v>
      </c>
    </row>
    <row r="67" spans="2:13" s="11" customFormat="1" ht="27.95" customHeight="1">
      <c r="B67" s="49">
        <v>53</v>
      </c>
      <c r="C67" s="103" t="s">
        <v>186</v>
      </c>
      <c r="D67" s="102" t="s">
        <v>187</v>
      </c>
      <c r="E67" s="103" t="s">
        <v>8</v>
      </c>
      <c r="F67" s="143">
        <f>F66</f>
        <v>30</v>
      </c>
      <c r="G67" s="164"/>
      <c r="H67" s="123">
        <f t="shared" si="36"/>
        <v>0</v>
      </c>
      <c r="I67" s="121"/>
      <c r="J67" s="123">
        <f t="shared" si="37"/>
        <v>0</v>
      </c>
      <c r="K67" s="123">
        <f t="shared" si="38"/>
        <v>0</v>
      </c>
      <c r="L67" s="16" t="s">
        <v>244</v>
      </c>
      <c r="M67" s="109" t="s">
        <v>206</v>
      </c>
    </row>
    <row r="68" spans="2:13" s="11" customFormat="1" ht="27.95" customHeight="1">
      <c r="B68" s="49">
        <v>54</v>
      </c>
      <c r="C68" s="103" t="s">
        <v>188</v>
      </c>
      <c r="D68" s="102" t="s">
        <v>189</v>
      </c>
      <c r="E68" s="103" t="s">
        <v>8</v>
      </c>
      <c r="F68" s="143">
        <f>F67*5</f>
        <v>150</v>
      </c>
      <c r="G68" s="164"/>
      <c r="H68" s="123">
        <f t="shared" si="36"/>
        <v>0</v>
      </c>
      <c r="I68" s="121"/>
      <c r="J68" s="123">
        <f t="shared" si="37"/>
        <v>0</v>
      </c>
      <c r="K68" s="123">
        <f t="shared" si="38"/>
        <v>0</v>
      </c>
      <c r="L68" s="16" t="s">
        <v>245</v>
      </c>
      <c r="M68" s="40" t="s">
        <v>207</v>
      </c>
    </row>
    <row r="69" spans="2:13" s="11" customFormat="1" ht="27.95" customHeight="1">
      <c r="B69" s="49">
        <v>55</v>
      </c>
      <c r="C69" s="103" t="s">
        <v>190</v>
      </c>
      <c r="D69" s="105" t="s">
        <v>191</v>
      </c>
      <c r="E69" s="104" t="s">
        <v>11</v>
      </c>
      <c r="F69" s="143">
        <f>CEILING((F58*(PI()*3.5^2))*5,1)</f>
        <v>770</v>
      </c>
      <c r="G69" s="164"/>
      <c r="H69" s="123">
        <f t="shared" si="36"/>
        <v>0</v>
      </c>
      <c r="I69" s="121"/>
      <c r="J69" s="123">
        <f t="shared" si="37"/>
        <v>0</v>
      </c>
      <c r="K69" s="123">
        <f t="shared" si="38"/>
        <v>0</v>
      </c>
      <c r="L69" s="16" t="s">
        <v>246</v>
      </c>
      <c r="M69" s="40" t="s">
        <v>208</v>
      </c>
    </row>
    <row r="70" spans="2:13" s="11" customFormat="1" ht="27.95" customHeight="1" thickBot="1">
      <c r="B70" s="24">
        <v>56</v>
      </c>
      <c r="C70" s="106" t="s">
        <v>192</v>
      </c>
      <c r="D70" s="102" t="s">
        <v>193</v>
      </c>
      <c r="E70" s="103" t="s">
        <v>1</v>
      </c>
      <c r="F70" s="143">
        <f>F61*5</f>
        <v>60</v>
      </c>
      <c r="G70" s="164"/>
      <c r="H70" s="122">
        <f t="shared" si="36"/>
        <v>0</v>
      </c>
      <c r="I70" s="151"/>
      <c r="J70" s="122">
        <f t="shared" si="37"/>
        <v>0</v>
      </c>
      <c r="K70" s="122">
        <f t="shared" si="38"/>
        <v>0</v>
      </c>
      <c r="L70" s="125" t="s">
        <v>247</v>
      </c>
      <c r="M70" s="40" t="s">
        <v>199</v>
      </c>
    </row>
    <row r="71" spans="2:13" ht="15" customHeight="1" thickBot="1">
      <c r="B71" s="50"/>
      <c r="C71" s="20"/>
      <c r="D71" s="217" t="s">
        <v>6</v>
      </c>
      <c r="E71" s="218"/>
      <c r="F71" s="218"/>
      <c r="G71" s="218"/>
      <c r="H71" s="218"/>
      <c r="I71" s="218"/>
      <c r="J71" s="218"/>
      <c r="K71" s="218"/>
      <c r="L71" s="218"/>
      <c r="M71" s="219"/>
    </row>
    <row r="72" spans="2:13" s="14" customFormat="1" ht="27.95" customHeight="1">
      <c r="B72" s="54">
        <v>57</v>
      </c>
      <c r="C72" s="34" t="s">
        <v>7</v>
      </c>
      <c r="D72" s="35" t="s">
        <v>31</v>
      </c>
      <c r="E72" s="6" t="s">
        <v>32</v>
      </c>
      <c r="F72" s="134">
        <f>1</f>
        <v>1</v>
      </c>
      <c r="G72" s="165"/>
      <c r="H72" s="123">
        <f aca="true" t="shared" si="39" ref="H72">F72*G72</f>
        <v>0</v>
      </c>
      <c r="I72" s="121"/>
      <c r="J72" s="123">
        <f aca="true" t="shared" si="40" ref="J72">I72*F72</f>
        <v>0</v>
      </c>
      <c r="K72" s="123">
        <f aca="true" t="shared" si="41" ref="K72">J72+H72</f>
        <v>0</v>
      </c>
      <c r="L72" s="64" t="s">
        <v>41</v>
      </c>
      <c r="M72" s="17" t="s">
        <v>42</v>
      </c>
    </row>
    <row r="73" spans="2:13" s="14" customFormat="1" ht="27.95" customHeight="1">
      <c r="B73" s="37">
        <v>58</v>
      </c>
      <c r="C73" s="25" t="s">
        <v>55</v>
      </c>
      <c r="D73" s="36" t="s">
        <v>56</v>
      </c>
      <c r="E73" s="13" t="s">
        <v>32</v>
      </c>
      <c r="F73" s="136">
        <f>1</f>
        <v>1</v>
      </c>
      <c r="G73" s="152"/>
      <c r="H73" s="123">
        <f aca="true" t="shared" si="42" ref="H73:H76">F73*G73</f>
        <v>0</v>
      </c>
      <c r="I73" s="121"/>
      <c r="J73" s="123">
        <f aca="true" t="shared" si="43" ref="J73:J76">I73*F73</f>
        <v>0</v>
      </c>
      <c r="K73" s="123">
        <f aca="true" t="shared" si="44" ref="K73:K76">J73+H73</f>
        <v>0</v>
      </c>
      <c r="L73" s="65" t="s">
        <v>41</v>
      </c>
      <c r="M73" s="39" t="s">
        <v>58</v>
      </c>
    </row>
    <row r="74" spans="2:13" s="14" customFormat="1" ht="27.95" customHeight="1">
      <c r="B74" s="37">
        <v>59</v>
      </c>
      <c r="C74" s="25" t="s">
        <v>33</v>
      </c>
      <c r="D74" s="38" t="s">
        <v>57</v>
      </c>
      <c r="E74" s="13" t="s">
        <v>32</v>
      </c>
      <c r="F74" s="136">
        <f>1</f>
        <v>1</v>
      </c>
      <c r="G74" s="152"/>
      <c r="H74" s="123">
        <f t="shared" si="42"/>
        <v>0</v>
      </c>
      <c r="I74" s="121"/>
      <c r="J74" s="123">
        <f t="shared" si="43"/>
        <v>0</v>
      </c>
      <c r="K74" s="123">
        <f t="shared" si="44"/>
        <v>0</v>
      </c>
      <c r="L74" s="66" t="s">
        <v>43</v>
      </c>
      <c r="M74" s="18" t="s">
        <v>44</v>
      </c>
    </row>
    <row r="75" spans="2:13" s="14" customFormat="1" ht="27.95" customHeight="1">
      <c r="B75" s="37">
        <v>60</v>
      </c>
      <c r="C75" s="79" t="s">
        <v>97</v>
      </c>
      <c r="D75" s="80" t="s">
        <v>98</v>
      </c>
      <c r="E75" s="79" t="s">
        <v>3</v>
      </c>
      <c r="F75" s="144">
        <f>4*8</f>
        <v>32</v>
      </c>
      <c r="G75" s="166"/>
      <c r="H75" s="123">
        <f t="shared" si="42"/>
        <v>0</v>
      </c>
      <c r="I75" s="121"/>
      <c r="J75" s="123">
        <f t="shared" si="43"/>
        <v>0</v>
      </c>
      <c r="K75" s="123">
        <f t="shared" si="44"/>
        <v>0</v>
      </c>
      <c r="L75" s="16" t="s">
        <v>101</v>
      </c>
      <c r="M75" s="18" t="s">
        <v>100</v>
      </c>
    </row>
    <row r="76" spans="2:13" s="14" customFormat="1" ht="27.95" customHeight="1" thickBot="1">
      <c r="B76" s="51">
        <v>61</v>
      </c>
      <c r="C76" s="44" t="s">
        <v>34</v>
      </c>
      <c r="D76" s="45" t="s">
        <v>35</v>
      </c>
      <c r="E76" s="46" t="s">
        <v>11</v>
      </c>
      <c r="F76" s="145">
        <f>6*15</f>
        <v>90</v>
      </c>
      <c r="G76" s="167"/>
      <c r="H76" s="126">
        <f t="shared" si="42"/>
        <v>0</v>
      </c>
      <c r="I76" s="127"/>
      <c r="J76" s="126">
        <f t="shared" si="43"/>
        <v>0</v>
      </c>
      <c r="K76" s="126">
        <f t="shared" si="44"/>
        <v>0</v>
      </c>
      <c r="L76" s="81" t="s">
        <v>99</v>
      </c>
      <c r="M76" s="47" t="s">
        <v>46</v>
      </c>
    </row>
  </sheetData>
  <sheetProtection algorithmName="SHA-512" hashValue="FKyeYcnlfj/5tJUWRHKZNZsRcpwva5gQJduqRfLoHDm8K3YSHbeONBBUVSS6WD/ZFVNEq40+9AxSDfCrMx2e6g==" saltValue="E/7uXo7+Y1WaF0c5ubS0Rw==" spinCount="100000" sheet="1" objects="1" scenarios="1"/>
  <protectedRanges>
    <protectedRange sqref="E51:E52" name="Oblast1_3_3_1"/>
    <protectedRange sqref="E46:E48" name="Oblast1_3_3_1_2"/>
    <protectedRange sqref="E49" name="Oblast1_3_3_1_1_1"/>
    <protectedRange sqref="E37:E41" name="Oblast1_3_3_1_3"/>
  </protectedRanges>
  <mergeCells count="24">
    <mergeCell ref="B5:B7"/>
    <mergeCell ref="B3:C3"/>
    <mergeCell ref="B4:C4"/>
    <mergeCell ref="D2:M2"/>
    <mergeCell ref="L5:L7"/>
    <mergeCell ref="M5:M7"/>
    <mergeCell ref="E5:E7"/>
    <mergeCell ref="D5:D7"/>
    <mergeCell ref="F5:F7"/>
    <mergeCell ref="D3:E3"/>
    <mergeCell ref="G5:G7"/>
    <mergeCell ref="I5:I7"/>
    <mergeCell ref="H5:H7"/>
    <mergeCell ref="J5:J7"/>
    <mergeCell ref="K5:K7"/>
    <mergeCell ref="D71:M71"/>
    <mergeCell ref="D45:M45"/>
    <mergeCell ref="D28:M28"/>
    <mergeCell ref="D8:M8"/>
    <mergeCell ref="C5:C7"/>
    <mergeCell ref="D16:M16"/>
    <mergeCell ref="D33:M33"/>
    <mergeCell ref="D50:M50"/>
    <mergeCell ref="D57:M57"/>
  </mergeCells>
  <printOptions horizontalCentered="1"/>
  <pageMargins left="0.3937007874015748" right="0.3937007874015748" top="0.7874015748031497" bottom="0.3937007874015748" header="0.1968503937007874" footer="0.1968503937007874"/>
  <pageSetup fitToHeight="0" horizontalDpi="600" verticalDpi="600" orientation="landscape" paperSize="9" scale="41" r:id="rId1"/>
  <ignoredErrors>
    <ignoredError sqref="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SG-GEOPROJEKT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</dc:creator>
  <cp:keywords/>
  <dc:description/>
  <cp:lastModifiedBy>qwert</cp:lastModifiedBy>
  <cp:lastPrinted>2022-07-29T09:58:59Z</cp:lastPrinted>
  <dcterms:created xsi:type="dcterms:W3CDTF">2010-01-10T18:54:55Z</dcterms:created>
  <dcterms:modified xsi:type="dcterms:W3CDTF">2022-07-29T10:01:22Z</dcterms:modified>
  <cp:category/>
  <cp:version/>
  <cp:contentType/>
  <cp:contentStatus/>
</cp:coreProperties>
</file>