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596 ZS U Soudu Liberec\10 - Vyberove rizeni\Jidelna\2024-05-14 SOUPIS PRACI 2 - Uprava dle DI c.2\"/>
    </mc:Choice>
  </mc:AlternateContent>
  <xr:revisionPtr revIDLastSave="0" documentId="13_ncr:1_{B19EDC0C-11C7-4F0A-8D52-845734A293E6}" xr6:coauthVersionLast="47" xr6:coauthVersionMax="47" xr10:uidLastSave="{00000000-0000-0000-0000-000000000000}"/>
  <bookViews>
    <workbookView xWindow="-120" yWindow="-120" windowWidth="29040" windowHeight="17640" tabRatio="958" xr2:uid="{00000000-000D-0000-FFFF-FFFF00000000}"/>
  </bookViews>
  <sheets>
    <sheet name="KL" sheetId="4" r:id="rId1"/>
    <sheet name="VRN" sheetId="5" r:id="rId2"/>
    <sheet name="D.1.1. ASŘ - BOURACÍ PRÁCE" sheetId="34" r:id="rId3"/>
    <sheet name="REKAPITULACE - NS" sheetId="7" r:id="rId4"/>
    <sheet name="D.1.1. ASŘ - NOVÝ STAV" sheetId="6" r:id="rId5"/>
    <sheet name="D.1.1. VÝPIS DVEŘÍ" sheetId="8" r:id="rId6"/>
    <sheet name="D.1.1.c.02 - VÝPIS OKEN" sheetId="9" r:id="rId7"/>
    <sheet name="D.1.1.c.04. VÝPIS TRUHLÁŘ." sheetId="20" r:id="rId8"/>
    <sheet name="D.1.1.c.05. VÝPIS ZÁMEČN. VÝR." sheetId="11" r:id="rId9"/>
    <sheet name="D.1.1.c.06. VÝPIS KLEMP." sheetId="21" r:id="rId10"/>
    <sheet name="D.1.1.c.07 VÝPIS OSTAT." sheetId="10" r:id="rId11"/>
    <sheet name="D.1.4.1. ZTI" sheetId="30" r:id="rId12"/>
    <sheet name="D.1.4.3. VZDUCHOTECHNIKA" sheetId="33" r:id="rId13"/>
    <sheet name="D.1.4.4. VYTÁPENÍ" sheetId="29" r:id="rId14"/>
    <sheet name="D.1.4.2. ODBĚR. PLYN. ZAŘÍZ." sheetId="26" r:id="rId15"/>
    <sheet name="D.1.4.6. MĚŘENÍ A REGULACE" sheetId="14" r:id="rId16"/>
    <sheet name="D.1.4.7. SILNOPROUD" sheetId="32" r:id="rId17"/>
    <sheet name="D.1.4.8. EL. KOMUNIKACE" sheetId="31" r:id="rId18"/>
    <sheet name="REKAPITULACE - POZEMN.KOM.+SADO" sheetId="25" r:id="rId19"/>
    <sheet name="D.1.4.10.2. POZEMNÍ KOMUNIKACE" sheetId="15" r:id="rId20"/>
    <sheet name="SADOVÉ ÚPRAVY" sheetId="23" r:id="rId21"/>
    <sheet name="OPLOCENÍ" sheetId="24" r:id="rId22"/>
    <sheet name="REKAPITULACE - ROZVOD TEPLA" sheetId="19" r:id="rId23"/>
    <sheet name="D.2.2 VENKOVNÍ ROZVOD TEPLA-BP" sheetId="17" r:id="rId24"/>
    <sheet name="D.2.2. VENKOVNÍ ROZVOD TEPLA" sheetId="16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_____obl11" localSheetId="4">#REF!</definedName>
    <definedName name="_____________________obl11" localSheetId="5">#REF!</definedName>
    <definedName name="_____________________obl11" localSheetId="12">#REF!</definedName>
    <definedName name="_____________________obl11" localSheetId="16">#REF!</definedName>
    <definedName name="_____________________obl11" localSheetId="17">#REF!</definedName>
    <definedName name="_____________________obl11" localSheetId="3">#REF!</definedName>
    <definedName name="_____________________obl11" localSheetId="18">#REF!</definedName>
    <definedName name="_____________________obl11" localSheetId="22">#REF!</definedName>
    <definedName name="_____________________obl11">#REF!</definedName>
    <definedName name="_____________________obl12" localSheetId="4">#REF!</definedName>
    <definedName name="_____________________obl12" localSheetId="5">#REF!</definedName>
    <definedName name="_____________________obl12" localSheetId="12">#REF!</definedName>
    <definedName name="_____________________obl12" localSheetId="16">#REF!</definedName>
    <definedName name="_____________________obl12" localSheetId="17">#REF!</definedName>
    <definedName name="_____________________obl12" localSheetId="3">#REF!</definedName>
    <definedName name="_____________________obl12" localSheetId="18">#REF!</definedName>
    <definedName name="_____________________obl12" localSheetId="22">#REF!</definedName>
    <definedName name="_____________________obl12">#REF!</definedName>
    <definedName name="_____________________obl13" localSheetId="4">#REF!</definedName>
    <definedName name="_____________________obl13" localSheetId="5">#REF!</definedName>
    <definedName name="_____________________obl13" localSheetId="12">#REF!</definedName>
    <definedName name="_____________________obl13" localSheetId="16">#REF!</definedName>
    <definedName name="_____________________obl13" localSheetId="17">#REF!</definedName>
    <definedName name="_____________________obl13" localSheetId="3">#REF!</definedName>
    <definedName name="_____________________obl13" localSheetId="18">#REF!</definedName>
    <definedName name="_____________________obl13" localSheetId="2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 localSheetId="11">#REF!</definedName>
    <definedName name="___________________obl11" localSheetId="14">#REF!</definedName>
    <definedName name="___________________obl11" localSheetId="13">#REF!</definedName>
    <definedName name="___________________obl11" localSheetId="1">#REF!</definedName>
    <definedName name="___________________obl11">#REF!</definedName>
    <definedName name="___________________obl12" localSheetId="11">#REF!</definedName>
    <definedName name="___________________obl12" localSheetId="14">#REF!</definedName>
    <definedName name="___________________obl12" localSheetId="13">#REF!</definedName>
    <definedName name="___________________obl12" localSheetId="1">#REF!</definedName>
    <definedName name="___________________obl12">#REF!</definedName>
    <definedName name="___________________obl13" localSheetId="11">#REF!</definedName>
    <definedName name="___________________obl13" localSheetId="14">#REF!</definedName>
    <definedName name="___________________obl13" localSheetId="13">#REF!</definedName>
    <definedName name="___________________obl13" localSheetId="1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 localSheetId="19">#REF!</definedName>
    <definedName name="__________________obl11" localSheetId="23">#REF!</definedName>
    <definedName name="__________________obl11" localSheetId="21">#REF!</definedName>
    <definedName name="__________________obl11">#REF!</definedName>
    <definedName name="__________________obl12" localSheetId="19">#REF!</definedName>
    <definedName name="__________________obl12" localSheetId="23">#REF!</definedName>
    <definedName name="__________________obl12" localSheetId="21">#REF!</definedName>
    <definedName name="__________________obl12">#REF!</definedName>
    <definedName name="__________________obl13" localSheetId="19">#REF!</definedName>
    <definedName name="__________________obl13" localSheetId="23">#REF!</definedName>
    <definedName name="__________________obl13" localSheetId="21">#REF!</definedName>
    <definedName name="__________________obl13">#REF!</definedName>
    <definedName name="__________________obl14" localSheetId="19">#REF!</definedName>
    <definedName name="__________________obl14" localSheetId="23">#REF!</definedName>
    <definedName name="__________________obl14" localSheetId="21">#REF!</definedName>
    <definedName name="__________________obl14">#REF!</definedName>
    <definedName name="__________________obl15" localSheetId="19">#REF!</definedName>
    <definedName name="__________________obl15" localSheetId="23">#REF!</definedName>
    <definedName name="__________________obl15" localSheetId="21">#REF!</definedName>
    <definedName name="__________________obl15">#REF!</definedName>
    <definedName name="__________________obl16" localSheetId="19">#REF!</definedName>
    <definedName name="__________________obl16" localSheetId="23">#REF!</definedName>
    <definedName name="__________________obl16" localSheetId="21">#REF!</definedName>
    <definedName name="__________________obl16">#REF!</definedName>
    <definedName name="__________________obl17" localSheetId="19">#REF!</definedName>
    <definedName name="__________________obl17" localSheetId="23">#REF!</definedName>
    <definedName name="__________________obl17" localSheetId="21">#REF!</definedName>
    <definedName name="__________________obl17">#REF!</definedName>
    <definedName name="__________________obl1710" localSheetId="19">#REF!</definedName>
    <definedName name="__________________obl1710" localSheetId="23">#REF!</definedName>
    <definedName name="__________________obl1710" localSheetId="21">#REF!</definedName>
    <definedName name="__________________obl1710">#REF!</definedName>
    <definedName name="__________________obl1711" localSheetId="19">#REF!</definedName>
    <definedName name="__________________obl1711" localSheetId="23">#REF!</definedName>
    <definedName name="__________________obl1711" localSheetId="21">#REF!</definedName>
    <definedName name="__________________obl1711">#REF!</definedName>
    <definedName name="__________________obl1712" localSheetId="19">#REF!</definedName>
    <definedName name="__________________obl1712" localSheetId="23">#REF!</definedName>
    <definedName name="__________________obl1712" localSheetId="21">#REF!</definedName>
    <definedName name="__________________obl1712">#REF!</definedName>
    <definedName name="__________________obl1713" localSheetId="19">#REF!</definedName>
    <definedName name="__________________obl1713" localSheetId="23">#REF!</definedName>
    <definedName name="__________________obl1713" localSheetId="21">#REF!</definedName>
    <definedName name="__________________obl1713">#REF!</definedName>
    <definedName name="__________________obl1714" localSheetId="19">#REF!</definedName>
    <definedName name="__________________obl1714" localSheetId="23">#REF!</definedName>
    <definedName name="__________________obl1714" localSheetId="21">#REF!</definedName>
    <definedName name="__________________obl1714">#REF!</definedName>
    <definedName name="__________________obl1715" localSheetId="19">#REF!</definedName>
    <definedName name="__________________obl1715" localSheetId="23">#REF!</definedName>
    <definedName name="__________________obl1715" localSheetId="21">#REF!</definedName>
    <definedName name="__________________obl1715">#REF!</definedName>
    <definedName name="__________________obl1716" localSheetId="19">#REF!</definedName>
    <definedName name="__________________obl1716" localSheetId="23">#REF!</definedName>
    <definedName name="__________________obl1716" localSheetId="21">#REF!</definedName>
    <definedName name="__________________obl1716">#REF!</definedName>
    <definedName name="__________________obl1717" localSheetId="19">#REF!</definedName>
    <definedName name="__________________obl1717" localSheetId="23">#REF!</definedName>
    <definedName name="__________________obl1717" localSheetId="21">#REF!</definedName>
    <definedName name="__________________obl1717">#REF!</definedName>
    <definedName name="__________________obl1718" localSheetId="19">#REF!</definedName>
    <definedName name="__________________obl1718" localSheetId="23">#REF!</definedName>
    <definedName name="__________________obl1718" localSheetId="21">#REF!</definedName>
    <definedName name="__________________obl1718">#REF!</definedName>
    <definedName name="__________________obl1719" localSheetId="19">#REF!</definedName>
    <definedName name="__________________obl1719" localSheetId="23">#REF!</definedName>
    <definedName name="__________________obl1719" localSheetId="21">#REF!</definedName>
    <definedName name="__________________obl1719">#REF!</definedName>
    <definedName name="__________________obl173" localSheetId="19">#REF!</definedName>
    <definedName name="__________________obl173" localSheetId="23">#REF!</definedName>
    <definedName name="__________________obl173" localSheetId="21">#REF!</definedName>
    <definedName name="__________________obl173">#REF!</definedName>
    <definedName name="__________________obl174" localSheetId="19">#REF!</definedName>
    <definedName name="__________________obl174" localSheetId="23">#REF!</definedName>
    <definedName name="__________________obl174" localSheetId="21">#REF!</definedName>
    <definedName name="__________________obl174">#REF!</definedName>
    <definedName name="__________________obl175" localSheetId="19">#REF!</definedName>
    <definedName name="__________________obl175" localSheetId="23">#REF!</definedName>
    <definedName name="__________________obl175" localSheetId="21">#REF!</definedName>
    <definedName name="__________________obl175">#REF!</definedName>
    <definedName name="__________________obl176" localSheetId="19">#REF!</definedName>
    <definedName name="__________________obl176" localSheetId="23">#REF!</definedName>
    <definedName name="__________________obl176" localSheetId="21">#REF!</definedName>
    <definedName name="__________________obl176">#REF!</definedName>
    <definedName name="__________________obl177" localSheetId="19">#REF!</definedName>
    <definedName name="__________________obl177" localSheetId="23">#REF!</definedName>
    <definedName name="__________________obl177" localSheetId="21">#REF!</definedName>
    <definedName name="__________________obl177">#REF!</definedName>
    <definedName name="__________________obl178" localSheetId="19">#REF!</definedName>
    <definedName name="__________________obl178" localSheetId="23">#REF!</definedName>
    <definedName name="__________________obl178" localSheetId="21">#REF!</definedName>
    <definedName name="__________________obl178">#REF!</definedName>
    <definedName name="__________________obl179" localSheetId="19">#REF!</definedName>
    <definedName name="__________________obl179" localSheetId="23">#REF!</definedName>
    <definedName name="__________________obl179" localSheetId="21">#REF!</definedName>
    <definedName name="__________________obl179">#REF!</definedName>
    <definedName name="__________________obl18" localSheetId="19">#REF!</definedName>
    <definedName name="__________________obl18" localSheetId="23">#REF!</definedName>
    <definedName name="__________________obl18" localSheetId="21">#REF!</definedName>
    <definedName name="__________________obl18">#REF!</definedName>
    <definedName name="__________________obl181" localSheetId="19">#REF!</definedName>
    <definedName name="__________________obl181" localSheetId="23">#REF!</definedName>
    <definedName name="__________________obl181" localSheetId="21">#REF!</definedName>
    <definedName name="__________________obl181">#REF!</definedName>
    <definedName name="__________________obl1816" localSheetId="19">#REF!</definedName>
    <definedName name="__________________obl1816" localSheetId="23">#REF!</definedName>
    <definedName name="__________________obl1816" localSheetId="21">#REF!</definedName>
    <definedName name="__________________obl1816">#REF!</definedName>
    <definedName name="__________________obl1820" localSheetId="19">#REF!</definedName>
    <definedName name="__________________obl1820" localSheetId="23">#REF!</definedName>
    <definedName name="__________________obl1820" localSheetId="21">#REF!</definedName>
    <definedName name="__________________obl1820">#REF!</definedName>
    <definedName name="__________________obl1821" localSheetId="19">#REF!</definedName>
    <definedName name="__________________obl1821" localSheetId="23">#REF!</definedName>
    <definedName name="__________________obl1821" localSheetId="21">#REF!</definedName>
    <definedName name="__________________obl1821">#REF!</definedName>
    <definedName name="__________________obl1822" localSheetId="19">#REF!</definedName>
    <definedName name="__________________obl1822" localSheetId="23">#REF!</definedName>
    <definedName name="__________________obl1822" localSheetId="21">#REF!</definedName>
    <definedName name="__________________obl1822">#REF!</definedName>
    <definedName name="__________________obl1823" localSheetId="19">#REF!</definedName>
    <definedName name="__________________obl1823" localSheetId="23">#REF!</definedName>
    <definedName name="__________________obl1823" localSheetId="21">#REF!</definedName>
    <definedName name="__________________obl1823">#REF!</definedName>
    <definedName name="__________________obl1824" localSheetId="19">#REF!</definedName>
    <definedName name="__________________obl1824" localSheetId="23">#REF!</definedName>
    <definedName name="__________________obl1824" localSheetId="21">#REF!</definedName>
    <definedName name="__________________obl1824">#REF!</definedName>
    <definedName name="__________________obl1825" localSheetId="19">#REF!</definedName>
    <definedName name="__________________obl1825" localSheetId="23">#REF!</definedName>
    <definedName name="__________________obl1825" localSheetId="21">#REF!</definedName>
    <definedName name="__________________obl1825">#REF!</definedName>
    <definedName name="__________________obl1826" localSheetId="19">#REF!</definedName>
    <definedName name="__________________obl1826" localSheetId="23">#REF!</definedName>
    <definedName name="__________________obl1826" localSheetId="21">#REF!</definedName>
    <definedName name="__________________obl1826">#REF!</definedName>
    <definedName name="__________________obl1827" localSheetId="19">#REF!</definedName>
    <definedName name="__________________obl1827" localSheetId="23">#REF!</definedName>
    <definedName name="__________________obl1827" localSheetId="21">#REF!</definedName>
    <definedName name="__________________obl1827">#REF!</definedName>
    <definedName name="__________________obl1828" localSheetId="19">#REF!</definedName>
    <definedName name="__________________obl1828" localSheetId="23">#REF!</definedName>
    <definedName name="__________________obl1828" localSheetId="21">#REF!</definedName>
    <definedName name="__________________obl1828">#REF!</definedName>
    <definedName name="__________________obl1829" localSheetId="19">#REF!</definedName>
    <definedName name="__________________obl1829" localSheetId="23">#REF!</definedName>
    <definedName name="__________________obl1829" localSheetId="21">#REF!</definedName>
    <definedName name="__________________obl1829">#REF!</definedName>
    <definedName name="__________________obl183" localSheetId="19">#REF!</definedName>
    <definedName name="__________________obl183" localSheetId="23">#REF!</definedName>
    <definedName name="__________________obl183" localSheetId="21">#REF!</definedName>
    <definedName name="__________________obl183">#REF!</definedName>
    <definedName name="__________________obl1831" localSheetId="19">#REF!</definedName>
    <definedName name="__________________obl1831" localSheetId="23">#REF!</definedName>
    <definedName name="__________________obl1831" localSheetId="21">#REF!</definedName>
    <definedName name="__________________obl1831">#REF!</definedName>
    <definedName name="__________________obl1832" localSheetId="19">#REF!</definedName>
    <definedName name="__________________obl1832" localSheetId="23">#REF!</definedName>
    <definedName name="__________________obl1832" localSheetId="21">#REF!</definedName>
    <definedName name="__________________obl1832">#REF!</definedName>
    <definedName name="__________________obl184" localSheetId="19">#REF!</definedName>
    <definedName name="__________________obl184" localSheetId="23">#REF!</definedName>
    <definedName name="__________________obl184" localSheetId="21">#REF!</definedName>
    <definedName name="__________________obl184">#REF!</definedName>
    <definedName name="__________________obl185" localSheetId="19">#REF!</definedName>
    <definedName name="__________________obl185" localSheetId="23">#REF!</definedName>
    <definedName name="__________________obl185" localSheetId="21">#REF!</definedName>
    <definedName name="__________________obl185">#REF!</definedName>
    <definedName name="__________________obl186" localSheetId="19">#REF!</definedName>
    <definedName name="__________________obl186" localSheetId="23">#REF!</definedName>
    <definedName name="__________________obl186" localSheetId="21">#REF!</definedName>
    <definedName name="__________________obl186">#REF!</definedName>
    <definedName name="__________________obl187" localSheetId="19">#REF!</definedName>
    <definedName name="__________________obl187" localSheetId="23">#REF!</definedName>
    <definedName name="__________________obl187" localSheetId="21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 localSheetId="19">#REF!</definedName>
    <definedName name="________________obl11" localSheetId="23">#REF!</definedName>
    <definedName name="________________obl11" localSheetId="21">#REF!</definedName>
    <definedName name="________________obl11">#REF!</definedName>
    <definedName name="________________obl12" localSheetId="19">#REF!</definedName>
    <definedName name="________________obl12" localSheetId="23">#REF!</definedName>
    <definedName name="________________obl12" localSheetId="21">#REF!</definedName>
    <definedName name="________________obl12">#REF!</definedName>
    <definedName name="________________obl13" localSheetId="19">#REF!</definedName>
    <definedName name="________________obl13" localSheetId="23">#REF!</definedName>
    <definedName name="________________obl13" localSheetId="21">#REF!</definedName>
    <definedName name="________________obl13">#REF!</definedName>
    <definedName name="________________obl14" localSheetId="19">#REF!</definedName>
    <definedName name="________________obl14" localSheetId="23">#REF!</definedName>
    <definedName name="________________obl14" localSheetId="21">#REF!</definedName>
    <definedName name="________________obl14">#REF!</definedName>
    <definedName name="________________obl15" localSheetId="19">#REF!</definedName>
    <definedName name="________________obl15" localSheetId="23">#REF!</definedName>
    <definedName name="________________obl15" localSheetId="21">#REF!</definedName>
    <definedName name="________________obl15">#REF!</definedName>
    <definedName name="________________obl16" localSheetId="19">#REF!</definedName>
    <definedName name="________________obl16" localSheetId="23">#REF!</definedName>
    <definedName name="________________obl16" localSheetId="21">#REF!</definedName>
    <definedName name="________________obl16">#REF!</definedName>
    <definedName name="________________obl17" localSheetId="19">#REF!</definedName>
    <definedName name="________________obl17" localSheetId="23">#REF!</definedName>
    <definedName name="________________obl17" localSheetId="21">#REF!</definedName>
    <definedName name="________________obl17">#REF!</definedName>
    <definedName name="________________obl1710" localSheetId="19">#REF!</definedName>
    <definedName name="________________obl1710" localSheetId="23">#REF!</definedName>
    <definedName name="________________obl1710" localSheetId="21">#REF!</definedName>
    <definedName name="________________obl1710">#REF!</definedName>
    <definedName name="________________obl1711" localSheetId="19">#REF!</definedName>
    <definedName name="________________obl1711" localSheetId="23">#REF!</definedName>
    <definedName name="________________obl1711" localSheetId="21">#REF!</definedName>
    <definedName name="________________obl1711">#REF!</definedName>
    <definedName name="________________obl1712" localSheetId="19">#REF!</definedName>
    <definedName name="________________obl1712" localSheetId="23">#REF!</definedName>
    <definedName name="________________obl1712" localSheetId="21">#REF!</definedName>
    <definedName name="________________obl1712">#REF!</definedName>
    <definedName name="________________obl1713" localSheetId="19">#REF!</definedName>
    <definedName name="________________obl1713" localSheetId="23">#REF!</definedName>
    <definedName name="________________obl1713" localSheetId="21">#REF!</definedName>
    <definedName name="________________obl1713">#REF!</definedName>
    <definedName name="________________obl1714" localSheetId="19">#REF!</definedName>
    <definedName name="________________obl1714" localSheetId="23">#REF!</definedName>
    <definedName name="________________obl1714" localSheetId="21">#REF!</definedName>
    <definedName name="________________obl1714">#REF!</definedName>
    <definedName name="________________obl1715" localSheetId="19">#REF!</definedName>
    <definedName name="________________obl1715" localSheetId="23">#REF!</definedName>
    <definedName name="________________obl1715" localSheetId="21">#REF!</definedName>
    <definedName name="________________obl1715">#REF!</definedName>
    <definedName name="________________obl1716" localSheetId="19">#REF!</definedName>
    <definedName name="________________obl1716" localSheetId="23">#REF!</definedName>
    <definedName name="________________obl1716" localSheetId="21">#REF!</definedName>
    <definedName name="________________obl1716">#REF!</definedName>
    <definedName name="________________obl1717" localSheetId="19">#REF!</definedName>
    <definedName name="________________obl1717" localSheetId="23">#REF!</definedName>
    <definedName name="________________obl1717" localSheetId="21">#REF!</definedName>
    <definedName name="________________obl1717">#REF!</definedName>
    <definedName name="________________obl1718" localSheetId="19">#REF!</definedName>
    <definedName name="________________obl1718" localSheetId="23">#REF!</definedName>
    <definedName name="________________obl1718" localSheetId="21">#REF!</definedName>
    <definedName name="________________obl1718">#REF!</definedName>
    <definedName name="________________obl1719" localSheetId="19">#REF!</definedName>
    <definedName name="________________obl1719" localSheetId="23">#REF!</definedName>
    <definedName name="________________obl1719" localSheetId="21">#REF!</definedName>
    <definedName name="________________obl1719">#REF!</definedName>
    <definedName name="________________obl173" localSheetId="19">#REF!</definedName>
    <definedName name="________________obl173" localSheetId="23">#REF!</definedName>
    <definedName name="________________obl173" localSheetId="21">#REF!</definedName>
    <definedName name="________________obl173">#REF!</definedName>
    <definedName name="________________obl174" localSheetId="19">#REF!</definedName>
    <definedName name="________________obl174" localSheetId="23">#REF!</definedName>
    <definedName name="________________obl174" localSheetId="21">#REF!</definedName>
    <definedName name="________________obl174">#REF!</definedName>
    <definedName name="________________obl175" localSheetId="19">#REF!</definedName>
    <definedName name="________________obl175" localSheetId="23">#REF!</definedName>
    <definedName name="________________obl175" localSheetId="21">#REF!</definedName>
    <definedName name="________________obl175">#REF!</definedName>
    <definedName name="________________obl176" localSheetId="19">#REF!</definedName>
    <definedName name="________________obl176" localSheetId="23">#REF!</definedName>
    <definedName name="________________obl176" localSheetId="21">#REF!</definedName>
    <definedName name="________________obl176">#REF!</definedName>
    <definedName name="________________obl177" localSheetId="19">#REF!</definedName>
    <definedName name="________________obl177" localSheetId="23">#REF!</definedName>
    <definedName name="________________obl177" localSheetId="21">#REF!</definedName>
    <definedName name="________________obl177">#REF!</definedName>
    <definedName name="________________obl178" localSheetId="19">#REF!</definedName>
    <definedName name="________________obl178" localSheetId="23">#REF!</definedName>
    <definedName name="________________obl178" localSheetId="21">#REF!</definedName>
    <definedName name="________________obl178">#REF!</definedName>
    <definedName name="________________obl179" localSheetId="19">#REF!</definedName>
    <definedName name="________________obl179" localSheetId="23">#REF!</definedName>
    <definedName name="________________obl179" localSheetId="21">#REF!</definedName>
    <definedName name="________________obl179">#REF!</definedName>
    <definedName name="________________obl18" localSheetId="19">#REF!</definedName>
    <definedName name="________________obl18" localSheetId="23">#REF!</definedName>
    <definedName name="________________obl18" localSheetId="21">#REF!</definedName>
    <definedName name="________________obl18">#REF!</definedName>
    <definedName name="________________obl181" localSheetId="19">#REF!</definedName>
    <definedName name="________________obl181" localSheetId="23">#REF!</definedName>
    <definedName name="________________obl181" localSheetId="21">#REF!</definedName>
    <definedName name="________________obl181">#REF!</definedName>
    <definedName name="________________obl1816" localSheetId="19">#REF!</definedName>
    <definedName name="________________obl1816" localSheetId="23">#REF!</definedName>
    <definedName name="________________obl1816" localSheetId="21">#REF!</definedName>
    <definedName name="________________obl1816">#REF!</definedName>
    <definedName name="________________obl1820" localSheetId="19">#REF!</definedName>
    <definedName name="________________obl1820" localSheetId="23">#REF!</definedName>
    <definedName name="________________obl1820" localSheetId="21">#REF!</definedName>
    <definedName name="________________obl1820">#REF!</definedName>
    <definedName name="________________obl1821" localSheetId="19">#REF!</definedName>
    <definedName name="________________obl1821" localSheetId="23">#REF!</definedName>
    <definedName name="________________obl1821" localSheetId="21">#REF!</definedName>
    <definedName name="________________obl1821">#REF!</definedName>
    <definedName name="________________obl1822" localSheetId="19">#REF!</definedName>
    <definedName name="________________obl1822" localSheetId="23">#REF!</definedName>
    <definedName name="________________obl1822" localSheetId="21">#REF!</definedName>
    <definedName name="________________obl1822">#REF!</definedName>
    <definedName name="________________obl1823" localSheetId="19">#REF!</definedName>
    <definedName name="________________obl1823" localSheetId="23">#REF!</definedName>
    <definedName name="________________obl1823" localSheetId="21">#REF!</definedName>
    <definedName name="________________obl1823">#REF!</definedName>
    <definedName name="________________obl1824" localSheetId="19">#REF!</definedName>
    <definedName name="________________obl1824" localSheetId="23">#REF!</definedName>
    <definedName name="________________obl1824" localSheetId="21">#REF!</definedName>
    <definedName name="________________obl1824">#REF!</definedName>
    <definedName name="________________obl1825" localSheetId="19">#REF!</definedName>
    <definedName name="________________obl1825" localSheetId="23">#REF!</definedName>
    <definedName name="________________obl1825" localSheetId="21">#REF!</definedName>
    <definedName name="________________obl1825">#REF!</definedName>
    <definedName name="________________obl1826" localSheetId="19">#REF!</definedName>
    <definedName name="________________obl1826" localSheetId="23">#REF!</definedName>
    <definedName name="________________obl1826" localSheetId="21">#REF!</definedName>
    <definedName name="________________obl1826">#REF!</definedName>
    <definedName name="________________obl1827" localSheetId="19">#REF!</definedName>
    <definedName name="________________obl1827" localSheetId="23">#REF!</definedName>
    <definedName name="________________obl1827" localSheetId="21">#REF!</definedName>
    <definedName name="________________obl1827">#REF!</definedName>
    <definedName name="________________obl1828" localSheetId="19">#REF!</definedName>
    <definedName name="________________obl1828" localSheetId="23">#REF!</definedName>
    <definedName name="________________obl1828" localSheetId="21">#REF!</definedName>
    <definedName name="________________obl1828">#REF!</definedName>
    <definedName name="________________obl1829" localSheetId="19">#REF!</definedName>
    <definedName name="________________obl1829" localSheetId="23">#REF!</definedName>
    <definedName name="________________obl1829" localSheetId="21">#REF!</definedName>
    <definedName name="________________obl1829">#REF!</definedName>
    <definedName name="________________obl183" localSheetId="19">#REF!</definedName>
    <definedName name="________________obl183" localSheetId="23">#REF!</definedName>
    <definedName name="________________obl183" localSheetId="21">#REF!</definedName>
    <definedName name="________________obl183">#REF!</definedName>
    <definedName name="________________obl1831" localSheetId="19">#REF!</definedName>
    <definedName name="________________obl1831" localSheetId="23">#REF!</definedName>
    <definedName name="________________obl1831" localSheetId="21">#REF!</definedName>
    <definedName name="________________obl1831">#REF!</definedName>
    <definedName name="________________obl1832" localSheetId="19">#REF!</definedName>
    <definedName name="________________obl1832" localSheetId="23">#REF!</definedName>
    <definedName name="________________obl1832" localSheetId="21">#REF!</definedName>
    <definedName name="________________obl1832">#REF!</definedName>
    <definedName name="________________obl184" localSheetId="19">#REF!</definedName>
    <definedName name="________________obl184" localSheetId="23">#REF!</definedName>
    <definedName name="________________obl184" localSheetId="21">#REF!</definedName>
    <definedName name="________________obl184">#REF!</definedName>
    <definedName name="________________obl185" localSheetId="19">#REF!</definedName>
    <definedName name="________________obl185" localSheetId="23">#REF!</definedName>
    <definedName name="________________obl185" localSheetId="21">#REF!</definedName>
    <definedName name="________________obl185">#REF!</definedName>
    <definedName name="________________obl186" localSheetId="19">#REF!</definedName>
    <definedName name="________________obl186" localSheetId="23">#REF!</definedName>
    <definedName name="________________obl186" localSheetId="21">#REF!</definedName>
    <definedName name="________________obl186">#REF!</definedName>
    <definedName name="________________obl187" localSheetId="19">#REF!</definedName>
    <definedName name="________________obl187" localSheetId="23">#REF!</definedName>
    <definedName name="________________obl187" localSheetId="21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 localSheetId="19">#REF!</definedName>
    <definedName name="______________obl11" localSheetId="23">#REF!</definedName>
    <definedName name="______________obl11" localSheetId="21">#REF!</definedName>
    <definedName name="______________obl11">#REF!</definedName>
    <definedName name="______________obl12" localSheetId="19">#REF!</definedName>
    <definedName name="______________obl12" localSheetId="23">#REF!</definedName>
    <definedName name="______________obl12" localSheetId="21">#REF!</definedName>
    <definedName name="______________obl12">#REF!</definedName>
    <definedName name="______________obl13" localSheetId="19">#REF!</definedName>
    <definedName name="______________obl13" localSheetId="23">#REF!</definedName>
    <definedName name="______________obl13" localSheetId="21">#REF!</definedName>
    <definedName name="______________obl13">#REF!</definedName>
    <definedName name="______________obl14" localSheetId="19">#REF!</definedName>
    <definedName name="______________obl14" localSheetId="23">#REF!</definedName>
    <definedName name="______________obl14" localSheetId="21">#REF!</definedName>
    <definedName name="______________obl14">#REF!</definedName>
    <definedName name="______________obl15" localSheetId="19">#REF!</definedName>
    <definedName name="______________obl15" localSheetId="23">#REF!</definedName>
    <definedName name="______________obl15" localSheetId="21">#REF!</definedName>
    <definedName name="______________obl15">#REF!</definedName>
    <definedName name="______________obl16" localSheetId="19">#REF!</definedName>
    <definedName name="______________obl16" localSheetId="23">#REF!</definedName>
    <definedName name="______________obl16" localSheetId="21">#REF!</definedName>
    <definedName name="______________obl16">#REF!</definedName>
    <definedName name="______________obl17" localSheetId="19">#REF!</definedName>
    <definedName name="______________obl17" localSheetId="23">#REF!</definedName>
    <definedName name="______________obl17" localSheetId="21">#REF!</definedName>
    <definedName name="______________obl17">#REF!</definedName>
    <definedName name="______________obl1710" localSheetId="19">#REF!</definedName>
    <definedName name="______________obl1710" localSheetId="23">#REF!</definedName>
    <definedName name="______________obl1710" localSheetId="21">#REF!</definedName>
    <definedName name="______________obl1710">#REF!</definedName>
    <definedName name="______________obl1711" localSheetId="19">#REF!</definedName>
    <definedName name="______________obl1711" localSheetId="23">#REF!</definedName>
    <definedName name="______________obl1711" localSheetId="21">#REF!</definedName>
    <definedName name="______________obl1711">#REF!</definedName>
    <definedName name="______________obl1712" localSheetId="19">#REF!</definedName>
    <definedName name="______________obl1712" localSheetId="23">#REF!</definedName>
    <definedName name="______________obl1712" localSheetId="21">#REF!</definedName>
    <definedName name="______________obl1712">#REF!</definedName>
    <definedName name="______________obl1713" localSheetId="19">#REF!</definedName>
    <definedName name="______________obl1713" localSheetId="23">#REF!</definedName>
    <definedName name="______________obl1713" localSheetId="21">#REF!</definedName>
    <definedName name="______________obl1713">#REF!</definedName>
    <definedName name="______________obl1714" localSheetId="19">#REF!</definedName>
    <definedName name="______________obl1714" localSheetId="23">#REF!</definedName>
    <definedName name="______________obl1714" localSheetId="21">#REF!</definedName>
    <definedName name="______________obl1714">#REF!</definedName>
    <definedName name="______________obl1715" localSheetId="19">#REF!</definedName>
    <definedName name="______________obl1715" localSheetId="23">#REF!</definedName>
    <definedName name="______________obl1715" localSheetId="21">#REF!</definedName>
    <definedName name="______________obl1715">#REF!</definedName>
    <definedName name="______________obl1716" localSheetId="19">#REF!</definedName>
    <definedName name="______________obl1716" localSheetId="23">#REF!</definedName>
    <definedName name="______________obl1716" localSheetId="21">#REF!</definedName>
    <definedName name="______________obl1716">#REF!</definedName>
    <definedName name="______________obl1717" localSheetId="19">#REF!</definedName>
    <definedName name="______________obl1717" localSheetId="23">#REF!</definedName>
    <definedName name="______________obl1717" localSheetId="21">#REF!</definedName>
    <definedName name="______________obl1717">#REF!</definedName>
    <definedName name="______________obl1718" localSheetId="19">#REF!</definedName>
    <definedName name="______________obl1718" localSheetId="23">#REF!</definedName>
    <definedName name="______________obl1718" localSheetId="21">#REF!</definedName>
    <definedName name="______________obl1718">#REF!</definedName>
    <definedName name="______________obl1719" localSheetId="19">#REF!</definedName>
    <definedName name="______________obl1719" localSheetId="23">#REF!</definedName>
    <definedName name="______________obl1719" localSheetId="21">#REF!</definedName>
    <definedName name="______________obl1719">#REF!</definedName>
    <definedName name="______________obl173" localSheetId="19">#REF!</definedName>
    <definedName name="______________obl173" localSheetId="23">#REF!</definedName>
    <definedName name="______________obl173" localSheetId="21">#REF!</definedName>
    <definedName name="______________obl173">#REF!</definedName>
    <definedName name="______________obl174" localSheetId="19">#REF!</definedName>
    <definedName name="______________obl174" localSheetId="23">#REF!</definedName>
    <definedName name="______________obl174" localSheetId="21">#REF!</definedName>
    <definedName name="______________obl174">#REF!</definedName>
    <definedName name="______________obl175" localSheetId="19">#REF!</definedName>
    <definedName name="______________obl175" localSheetId="23">#REF!</definedName>
    <definedName name="______________obl175" localSheetId="21">#REF!</definedName>
    <definedName name="______________obl175">#REF!</definedName>
    <definedName name="______________obl176" localSheetId="19">#REF!</definedName>
    <definedName name="______________obl176" localSheetId="23">#REF!</definedName>
    <definedName name="______________obl176" localSheetId="21">#REF!</definedName>
    <definedName name="______________obl176">#REF!</definedName>
    <definedName name="______________obl177" localSheetId="19">#REF!</definedName>
    <definedName name="______________obl177" localSheetId="23">#REF!</definedName>
    <definedName name="______________obl177" localSheetId="21">#REF!</definedName>
    <definedName name="______________obl177">#REF!</definedName>
    <definedName name="______________obl178" localSheetId="19">#REF!</definedName>
    <definedName name="______________obl178" localSheetId="23">#REF!</definedName>
    <definedName name="______________obl178" localSheetId="21">#REF!</definedName>
    <definedName name="______________obl178">#REF!</definedName>
    <definedName name="______________obl179" localSheetId="19">#REF!</definedName>
    <definedName name="______________obl179" localSheetId="23">#REF!</definedName>
    <definedName name="______________obl179" localSheetId="21">#REF!</definedName>
    <definedName name="______________obl179">#REF!</definedName>
    <definedName name="______________obl18" localSheetId="19">#REF!</definedName>
    <definedName name="______________obl18" localSheetId="23">#REF!</definedName>
    <definedName name="______________obl18" localSheetId="21">#REF!</definedName>
    <definedName name="______________obl18">#REF!</definedName>
    <definedName name="______________obl181" localSheetId="19">#REF!</definedName>
    <definedName name="______________obl181" localSheetId="23">#REF!</definedName>
    <definedName name="______________obl181" localSheetId="21">#REF!</definedName>
    <definedName name="______________obl181">#REF!</definedName>
    <definedName name="______________obl1816" localSheetId="19">#REF!</definedName>
    <definedName name="______________obl1816" localSheetId="23">#REF!</definedName>
    <definedName name="______________obl1816" localSheetId="21">#REF!</definedName>
    <definedName name="______________obl1816">#REF!</definedName>
    <definedName name="______________obl1820" localSheetId="19">#REF!</definedName>
    <definedName name="______________obl1820" localSheetId="23">#REF!</definedName>
    <definedName name="______________obl1820" localSheetId="21">#REF!</definedName>
    <definedName name="______________obl1820">#REF!</definedName>
    <definedName name="______________obl1821" localSheetId="19">#REF!</definedName>
    <definedName name="______________obl1821" localSheetId="23">#REF!</definedName>
    <definedName name="______________obl1821" localSheetId="21">#REF!</definedName>
    <definedName name="______________obl1821">#REF!</definedName>
    <definedName name="______________obl1822" localSheetId="19">#REF!</definedName>
    <definedName name="______________obl1822" localSheetId="23">#REF!</definedName>
    <definedName name="______________obl1822" localSheetId="21">#REF!</definedName>
    <definedName name="______________obl1822">#REF!</definedName>
    <definedName name="______________obl1823" localSheetId="19">#REF!</definedName>
    <definedName name="______________obl1823" localSheetId="23">#REF!</definedName>
    <definedName name="______________obl1823" localSheetId="21">#REF!</definedName>
    <definedName name="______________obl1823">#REF!</definedName>
    <definedName name="______________obl1824" localSheetId="19">#REF!</definedName>
    <definedName name="______________obl1824" localSheetId="23">#REF!</definedName>
    <definedName name="______________obl1824" localSheetId="21">#REF!</definedName>
    <definedName name="______________obl1824">#REF!</definedName>
    <definedName name="______________obl1825" localSheetId="19">#REF!</definedName>
    <definedName name="______________obl1825" localSheetId="23">#REF!</definedName>
    <definedName name="______________obl1825" localSheetId="21">#REF!</definedName>
    <definedName name="______________obl1825">#REF!</definedName>
    <definedName name="______________obl1826" localSheetId="19">#REF!</definedName>
    <definedName name="______________obl1826" localSheetId="23">#REF!</definedName>
    <definedName name="______________obl1826" localSheetId="21">#REF!</definedName>
    <definedName name="______________obl1826">#REF!</definedName>
    <definedName name="______________obl1827" localSheetId="19">#REF!</definedName>
    <definedName name="______________obl1827" localSheetId="23">#REF!</definedName>
    <definedName name="______________obl1827" localSheetId="21">#REF!</definedName>
    <definedName name="______________obl1827">#REF!</definedName>
    <definedName name="______________obl1828" localSheetId="19">#REF!</definedName>
    <definedName name="______________obl1828" localSheetId="23">#REF!</definedName>
    <definedName name="______________obl1828" localSheetId="21">#REF!</definedName>
    <definedName name="______________obl1828">#REF!</definedName>
    <definedName name="______________obl1829" localSheetId="19">#REF!</definedName>
    <definedName name="______________obl1829" localSheetId="23">#REF!</definedName>
    <definedName name="______________obl1829" localSheetId="21">#REF!</definedName>
    <definedName name="______________obl1829">#REF!</definedName>
    <definedName name="______________obl183" localSheetId="19">#REF!</definedName>
    <definedName name="______________obl183" localSheetId="23">#REF!</definedName>
    <definedName name="______________obl183" localSheetId="21">#REF!</definedName>
    <definedName name="______________obl183">#REF!</definedName>
    <definedName name="______________obl1831" localSheetId="19">#REF!</definedName>
    <definedName name="______________obl1831" localSheetId="23">#REF!</definedName>
    <definedName name="______________obl1831" localSheetId="21">#REF!</definedName>
    <definedName name="______________obl1831">#REF!</definedName>
    <definedName name="______________obl1832" localSheetId="19">#REF!</definedName>
    <definedName name="______________obl1832" localSheetId="23">#REF!</definedName>
    <definedName name="______________obl1832" localSheetId="21">#REF!</definedName>
    <definedName name="______________obl1832">#REF!</definedName>
    <definedName name="______________obl184" localSheetId="19">#REF!</definedName>
    <definedName name="______________obl184" localSheetId="23">#REF!</definedName>
    <definedName name="______________obl184" localSheetId="21">#REF!</definedName>
    <definedName name="______________obl184">#REF!</definedName>
    <definedName name="______________obl185" localSheetId="19">#REF!</definedName>
    <definedName name="______________obl185" localSheetId="23">#REF!</definedName>
    <definedName name="______________obl185" localSheetId="21">#REF!</definedName>
    <definedName name="______________obl185">#REF!</definedName>
    <definedName name="______________obl186" localSheetId="19">#REF!</definedName>
    <definedName name="______________obl186" localSheetId="23">#REF!</definedName>
    <definedName name="______________obl186" localSheetId="21">#REF!</definedName>
    <definedName name="______________obl186">#REF!</definedName>
    <definedName name="______________obl187" localSheetId="19">#REF!</definedName>
    <definedName name="______________obl187" localSheetId="23">#REF!</definedName>
    <definedName name="______________obl187" localSheetId="21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 localSheetId="19">#REF!</definedName>
    <definedName name="____________obl11" localSheetId="23">#REF!</definedName>
    <definedName name="____________obl11" localSheetId="21">#REF!</definedName>
    <definedName name="____________obl11">#REF!</definedName>
    <definedName name="____________obl12" localSheetId="19">#REF!</definedName>
    <definedName name="____________obl12" localSheetId="23">#REF!</definedName>
    <definedName name="____________obl12" localSheetId="21">#REF!</definedName>
    <definedName name="____________obl12">#REF!</definedName>
    <definedName name="____________obl13" localSheetId="19">#REF!</definedName>
    <definedName name="____________obl13" localSheetId="23">#REF!</definedName>
    <definedName name="____________obl13" localSheetId="21">#REF!</definedName>
    <definedName name="____________obl13">#REF!</definedName>
    <definedName name="____________obl14" localSheetId="19">#REF!</definedName>
    <definedName name="____________obl14" localSheetId="23">#REF!</definedName>
    <definedName name="____________obl14" localSheetId="21">#REF!</definedName>
    <definedName name="____________obl14">#REF!</definedName>
    <definedName name="____________obl15" localSheetId="19">#REF!</definedName>
    <definedName name="____________obl15" localSheetId="23">#REF!</definedName>
    <definedName name="____________obl15" localSheetId="21">#REF!</definedName>
    <definedName name="____________obl15">#REF!</definedName>
    <definedName name="____________obl16" localSheetId="19">#REF!</definedName>
    <definedName name="____________obl16" localSheetId="23">#REF!</definedName>
    <definedName name="____________obl16" localSheetId="21">#REF!</definedName>
    <definedName name="____________obl16">#REF!</definedName>
    <definedName name="____________obl17" localSheetId="19">#REF!</definedName>
    <definedName name="____________obl17" localSheetId="23">#REF!</definedName>
    <definedName name="____________obl17" localSheetId="21">#REF!</definedName>
    <definedName name="____________obl17">#REF!</definedName>
    <definedName name="____________obl1710" localSheetId="19">#REF!</definedName>
    <definedName name="____________obl1710" localSheetId="23">#REF!</definedName>
    <definedName name="____________obl1710" localSheetId="21">#REF!</definedName>
    <definedName name="____________obl1710">#REF!</definedName>
    <definedName name="____________obl1711" localSheetId="19">#REF!</definedName>
    <definedName name="____________obl1711" localSheetId="23">#REF!</definedName>
    <definedName name="____________obl1711" localSheetId="21">#REF!</definedName>
    <definedName name="____________obl1711">#REF!</definedName>
    <definedName name="____________obl1712" localSheetId="19">#REF!</definedName>
    <definedName name="____________obl1712" localSheetId="23">#REF!</definedName>
    <definedName name="____________obl1712" localSheetId="21">#REF!</definedName>
    <definedName name="____________obl1712">#REF!</definedName>
    <definedName name="____________obl1713" localSheetId="19">#REF!</definedName>
    <definedName name="____________obl1713" localSheetId="23">#REF!</definedName>
    <definedName name="____________obl1713" localSheetId="21">#REF!</definedName>
    <definedName name="____________obl1713">#REF!</definedName>
    <definedName name="____________obl1714" localSheetId="19">#REF!</definedName>
    <definedName name="____________obl1714" localSheetId="23">#REF!</definedName>
    <definedName name="____________obl1714" localSheetId="21">#REF!</definedName>
    <definedName name="____________obl1714">#REF!</definedName>
    <definedName name="____________obl1715" localSheetId="19">#REF!</definedName>
    <definedName name="____________obl1715" localSheetId="23">#REF!</definedName>
    <definedName name="____________obl1715" localSheetId="21">#REF!</definedName>
    <definedName name="____________obl1715">#REF!</definedName>
    <definedName name="____________obl1716" localSheetId="19">#REF!</definedName>
    <definedName name="____________obl1716" localSheetId="23">#REF!</definedName>
    <definedName name="____________obl1716" localSheetId="21">#REF!</definedName>
    <definedName name="____________obl1716">#REF!</definedName>
    <definedName name="____________obl1717" localSheetId="19">#REF!</definedName>
    <definedName name="____________obl1717" localSheetId="23">#REF!</definedName>
    <definedName name="____________obl1717" localSheetId="21">#REF!</definedName>
    <definedName name="____________obl1717">#REF!</definedName>
    <definedName name="____________obl1718" localSheetId="19">#REF!</definedName>
    <definedName name="____________obl1718" localSheetId="23">#REF!</definedName>
    <definedName name="____________obl1718" localSheetId="21">#REF!</definedName>
    <definedName name="____________obl1718">#REF!</definedName>
    <definedName name="____________obl1719" localSheetId="19">#REF!</definedName>
    <definedName name="____________obl1719" localSheetId="23">#REF!</definedName>
    <definedName name="____________obl1719" localSheetId="21">#REF!</definedName>
    <definedName name="____________obl1719">#REF!</definedName>
    <definedName name="____________obl173" localSheetId="19">#REF!</definedName>
    <definedName name="____________obl173" localSheetId="23">#REF!</definedName>
    <definedName name="____________obl173" localSheetId="21">#REF!</definedName>
    <definedName name="____________obl173">#REF!</definedName>
    <definedName name="____________obl174" localSheetId="19">#REF!</definedName>
    <definedName name="____________obl174" localSheetId="23">#REF!</definedName>
    <definedName name="____________obl174" localSheetId="21">#REF!</definedName>
    <definedName name="____________obl174">#REF!</definedName>
    <definedName name="____________obl175" localSheetId="19">#REF!</definedName>
    <definedName name="____________obl175" localSheetId="23">#REF!</definedName>
    <definedName name="____________obl175" localSheetId="21">#REF!</definedName>
    <definedName name="____________obl175">#REF!</definedName>
    <definedName name="____________obl176" localSheetId="19">#REF!</definedName>
    <definedName name="____________obl176" localSheetId="23">#REF!</definedName>
    <definedName name="____________obl176" localSheetId="21">#REF!</definedName>
    <definedName name="____________obl176">#REF!</definedName>
    <definedName name="____________obl177" localSheetId="19">#REF!</definedName>
    <definedName name="____________obl177" localSheetId="23">#REF!</definedName>
    <definedName name="____________obl177" localSheetId="21">#REF!</definedName>
    <definedName name="____________obl177">#REF!</definedName>
    <definedName name="____________obl178" localSheetId="19">#REF!</definedName>
    <definedName name="____________obl178" localSheetId="23">#REF!</definedName>
    <definedName name="____________obl178" localSheetId="21">#REF!</definedName>
    <definedName name="____________obl178">#REF!</definedName>
    <definedName name="____________obl179" localSheetId="19">#REF!</definedName>
    <definedName name="____________obl179" localSheetId="23">#REF!</definedName>
    <definedName name="____________obl179" localSheetId="21">#REF!</definedName>
    <definedName name="____________obl179">#REF!</definedName>
    <definedName name="____________obl18" localSheetId="19">#REF!</definedName>
    <definedName name="____________obl18" localSheetId="23">#REF!</definedName>
    <definedName name="____________obl18" localSheetId="21">#REF!</definedName>
    <definedName name="____________obl18">#REF!</definedName>
    <definedName name="____________obl181" localSheetId="19">#REF!</definedName>
    <definedName name="____________obl181" localSheetId="23">#REF!</definedName>
    <definedName name="____________obl181" localSheetId="21">#REF!</definedName>
    <definedName name="____________obl181">#REF!</definedName>
    <definedName name="____________obl1816" localSheetId="19">#REF!</definedName>
    <definedName name="____________obl1816" localSheetId="23">#REF!</definedName>
    <definedName name="____________obl1816" localSheetId="21">#REF!</definedName>
    <definedName name="____________obl1816">#REF!</definedName>
    <definedName name="____________obl1820" localSheetId="19">#REF!</definedName>
    <definedName name="____________obl1820" localSheetId="23">#REF!</definedName>
    <definedName name="____________obl1820" localSheetId="21">#REF!</definedName>
    <definedName name="____________obl1820">#REF!</definedName>
    <definedName name="____________obl1821" localSheetId="19">#REF!</definedName>
    <definedName name="____________obl1821" localSheetId="23">#REF!</definedName>
    <definedName name="____________obl1821" localSheetId="21">#REF!</definedName>
    <definedName name="____________obl1821">#REF!</definedName>
    <definedName name="____________obl1822" localSheetId="19">#REF!</definedName>
    <definedName name="____________obl1822" localSheetId="23">#REF!</definedName>
    <definedName name="____________obl1822" localSheetId="21">#REF!</definedName>
    <definedName name="____________obl1822">#REF!</definedName>
    <definedName name="____________obl1823" localSheetId="19">#REF!</definedName>
    <definedName name="____________obl1823" localSheetId="23">#REF!</definedName>
    <definedName name="____________obl1823" localSheetId="21">#REF!</definedName>
    <definedName name="____________obl1823">#REF!</definedName>
    <definedName name="____________obl1824" localSheetId="19">#REF!</definedName>
    <definedName name="____________obl1824" localSheetId="23">#REF!</definedName>
    <definedName name="____________obl1824" localSheetId="21">#REF!</definedName>
    <definedName name="____________obl1824">#REF!</definedName>
    <definedName name="____________obl1825" localSheetId="19">#REF!</definedName>
    <definedName name="____________obl1825" localSheetId="23">#REF!</definedName>
    <definedName name="____________obl1825" localSheetId="21">#REF!</definedName>
    <definedName name="____________obl1825">#REF!</definedName>
    <definedName name="____________obl1826" localSheetId="19">#REF!</definedName>
    <definedName name="____________obl1826" localSheetId="23">#REF!</definedName>
    <definedName name="____________obl1826" localSheetId="21">#REF!</definedName>
    <definedName name="____________obl1826">#REF!</definedName>
    <definedName name="____________obl1827" localSheetId="19">#REF!</definedName>
    <definedName name="____________obl1827" localSheetId="23">#REF!</definedName>
    <definedName name="____________obl1827" localSheetId="21">#REF!</definedName>
    <definedName name="____________obl1827">#REF!</definedName>
    <definedName name="____________obl1828" localSheetId="19">#REF!</definedName>
    <definedName name="____________obl1828" localSheetId="23">#REF!</definedName>
    <definedName name="____________obl1828" localSheetId="21">#REF!</definedName>
    <definedName name="____________obl1828">#REF!</definedName>
    <definedName name="____________obl1829" localSheetId="19">#REF!</definedName>
    <definedName name="____________obl1829" localSheetId="23">#REF!</definedName>
    <definedName name="____________obl1829" localSheetId="21">#REF!</definedName>
    <definedName name="____________obl1829">#REF!</definedName>
    <definedName name="____________obl183" localSheetId="19">#REF!</definedName>
    <definedName name="____________obl183" localSheetId="23">#REF!</definedName>
    <definedName name="____________obl183" localSheetId="21">#REF!</definedName>
    <definedName name="____________obl183">#REF!</definedName>
    <definedName name="____________obl1831" localSheetId="19">#REF!</definedName>
    <definedName name="____________obl1831" localSheetId="23">#REF!</definedName>
    <definedName name="____________obl1831" localSheetId="21">#REF!</definedName>
    <definedName name="____________obl1831">#REF!</definedName>
    <definedName name="____________obl1832" localSheetId="19">#REF!</definedName>
    <definedName name="____________obl1832" localSheetId="23">#REF!</definedName>
    <definedName name="____________obl1832" localSheetId="21">#REF!</definedName>
    <definedName name="____________obl1832">#REF!</definedName>
    <definedName name="____________obl184" localSheetId="19">#REF!</definedName>
    <definedName name="____________obl184" localSheetId="23">#REF!</definedName>
    <definedName name="____________obl184" localSheetId="21">#REF!</definedName>
    <definedName name="____________obl184">#REF!</definedName>
    <definedName name="____________obl185" localSheetId="19">#REF!</definedName>
    <definedName name="____________obl185" localSheetId="23">#REF!</definedName>
    <definedName name="____________obl185" localSheetId="21">#REF!</definedName>
    <definedName name="____________obl185">#REF!</definedName>
    <definedName name="____________obl186" localSheetId="19">#REF!</definedName>
    <definedName name="____________obl186" localSheetId="23">#REF!</definedName>
    <definedName name="____________obl186" localSheetId="21">#REF!</definedName>
    <definedName name="____________obl186">#REF!</definedName>
    <definedName name="____________obl187" localSheetId="19">#REF!</definedName>
    <definedName name="____________obl187" localSheetId="23">#REF!</definedName>
    <definedName name="____________obl187" localSheetId="21">#REF!</definedName>
    <definedName name="____________obl187">#REF!</definedName>
    <definedName name="___________obl11" localSheetId="19">#REF!</definedName>
    <definedName name="___________obl11" localSheetId="23">#REF!</definedName>
    <definedName name="___________obl11" localSheetId="21">#REF!</definedName>
    <definedName name="___________obl11">#REF!</definedName>
    <definedName name="___________obl12" localSheetId="19">#REF!</definedName>
    <definedName name="___________obl12" localSheetId="23">#REF!</definedName>
    <definedName name="___________obl12" localSheetId="21">#REF!</definedName>
    <definedName name="___________obl12">#REF!</definedName>
    <definedName name="___________obl13" localSheetId="19">#REF!</definedName>
    <definedName name="___________obl13" localSheetId="23">#REF!</definedName>
    <definedName name="___________obl13" localSheetId="21">#REF!</definedName>
    <definedName name="___________obl13">#REF!</definedName>
    <definedName name="___________obl14" localSheetId="19">#REF!</definedName>
    <definedName name="___________obl14" localSheetId="23">#REF!</definedName>
    <definedName name="___________obl14" localSheetId="21">#REF!</definedName>
    <definedName name="___________obl14">#REF!</definedName>
    <definedName name="___________obl15" localSheetId="19">#REF!</definedName>
    <definedName name="___________obl15" localSheetId="23">#REF!</definedName>
    <definedName name="___________obl15" localSheetId="21">#REF!</definedName>
    <definedName name="___________obl15">#REF!</definedName>
    <definedName name="___________obl16" localSheetId="19">#REF!</definedName>
    <definedName name="___________obl16" localSheetId="23">#REF!</definedName>
    <definedName name="___________obl16" localSheetId="21">#REF!</definedName>
    <definedName name="___________obl16">#REF!</definedName>
    <definedName name="___________obl17" localSheetId="19">#REF!</definedName>
    <definedName name="___________obl17" localSheetId="23">#REF!</definedName>
    <definedName name="___________obl17" localSheetId="21">#REF!</definedName>
    <definedName name="___________obl17">#REF!</definedName>
    <definedName name="___________obl1710" localSheetId="19">#REF!</definedName>
    <definedName name="___________obl1710" localSheetId="23">#REF!</definedName>
    <definedName name="___________obl1710" localSheetId="21">#REF!</definedName>
    <definedName name="___________obl1710">#REF!</definedName>
    <definedName name="___________obl1711" localSheetId="19">#REF!</definedName>
    <definedName name="___________obl1711" localSheetId="23">#REF!</definedName>
    <definedName name="___________obl1711" localSheetId="21">#REF!</definedName>
    <definedName name="___________obl1711">#REF!</definedName>
    <definedName name="___________obl1712" localSheetId="19">#REF!</definedName>
    <definedName name="___________obl1712" localSheetId="23">#REF!</definedName>
    <definedName name="___________obl1712" localSheetId="21">#REF!</definedName>
    <definedName name="___________obl1712">#REF!</definedName>
    <definedName name="___________obl1713" localSheetId="19">#REF!</definedName>
    <definedName name="___________obl1713" localSheetId="23">#REF!</definedName>
    <definedName name="___________obl1713" localSheetId="21">#REF!</definedName>
    <definedName name="___________obl1713">#REF!</definedName>
    <definedName name="___________obl1714" localSheetId="19">#REF!</definedName>
    <definedName name="___________obl1714" localSheetId="23">#REF!</definedName>
    <definedName name="___________obl1714" localSheetId="21">#REF!</definedName>
    <definedName name="___________obl1714">#REF!</definedName>
    <definedName name="___________obl1715" localSheetId="19">#REF!</definedName>
    <definedName name="___________obl1715" localSheetId="23">#REF!</definedName>
    <definedName name="___________obl1715" localSheetId="21">#REF!</definedName>
    <definedName name="___________obl1715">#REF!</definedName>
    <definedName name="___________obl1716" localSheetId="19">#REF!</definedName>
    <definedName name="___________obl1716" localSheetId="23">#REF!</definedName>
    <definedName name="___________obl1716" localSheetId="21">#REF!</definedName>
    <definedName name="___________obl1716">#REF!</definedName>
    <definedName name="___________obl1717" localSheetId="19">#REF!</definedName>
    <definedName name="___________obl1717" localSheetId="23">#REF!</definedName>
    <definedName name="___________obl1717" localSheetId="21">#REF!</definedName>
    <definedName name="___________obl1717">#REF!</definedName>
    <definedName name="___________obl1718" localSheetId="19">#REF!</definedName>
    <definedName name="___________obl1718" localSheetId="23">#REF!</definedName>
    <definedName name="___________obl1718" localSheetId="21">#REF!</definedName>
    <definedName name="___________obl1718">#REF!</definedName>
    <definedName name="___________obl1719" localSheetId="19">#REF!</definedName>
    <definedName name="___________obl1719" localSheetId="23">#REF!</definedName>
    <definedName name="___________obl1719" localSheetId="21">#REF!</definedName>
    <definedName name="___________obl1719">#REF!</definedName>
    <definedName name="___________obl173" localSheetId="19">#REF!</definedName>
    <definedName name="___________obl173" localSheetId="23">#REF!</definedName>
    <definedName name="___________obl173" localSheetId="21">#REF!</definedName>
    <definedName name="___________obl173">#REF!</definedName>
    <definedName name="___________obl174" localSheetId="19">#REF!</definedName>
    <definedName name="___________obl174" localSheetId="23">#REF!</definedName>
    <definedName name="___________obl174" localSheetId="21">#REF!</definedName>
    <definedName name="___________obl174">#REF!</definedName>
    <definedName name="___________obl175" localSheetId="19">#REF!</definedName>
    <definedName name="___________obl175" localSheetId="23">#REF!</definedName>
    <definedName name="___________obl175" localSheetId="21">#REF!</definedName>
    <definedName name="___________obl175">#REF!</definedName>
    <definedName name="___________obl176" localSheetId="19">#REF!</definedName>
    <definedName name="___________obl176" localSheetId="23">#REF!</definedName>
    <definedName name="___________obl176" localSheetId="21">#REF!</definedName>
    <definedName name="___________obl176">#REF!</definedName>
    <definedName name="___________obl177" localSheetId="19">#REF!</definedName>
    <definedName name="___________obl177" localSheetId="23">#REF!</definedName>
    <definedName name="___________obl177" localSheetId="21">#REF!</definedName>
    <definedName name="___________obl177">#REF!</definedName>
    <definedName name="___________obl178" localSheetId="19">#REF!</definedName>
    <definedName name="___________obl178" localSheetId="23">#REF!</definedName>
    <definedName name="___________obl178" localSheetId="21">#REF!</definedName>
    <definedName name="___________obl178">#REF!</definedName>
    <definedName name="___________obl179" localSheetId="19">#REF!</definedName>
    <definedName name="___________obl179" localSheetId="23">#REF!</definedName>
    <definedName name="___________obl179" localSheetId="21">#REF!</definedName>
    <definedName name="___________obl179">#REF!</definedName>
    <definedName name="___________obl18" localSheetId="19">#REF!</definedName>
    <definedName name="___________obl18" localSheetId="23">#REF!</definedName>
    <definedName name="___________obl18" localSheetId="21">#REF!</definedName>
    <definedName name="___________obl18">#REF!</definedName>
    <definedName name="___________obl181" localSheetId="19">#REF!</definedName>
    <definedName name="___________obl181" localSheetId="23">#REF!</definedName>
    <definedName name="___________obl181" localSheetId="21">#REF!</definedName>
    <definedName name="___________obl181">#REF!</definedName>
    <definedName name="___________obl1816" localSheetId="19">#REF!</definedName>
    <definedName name="___________obl1816" localSheetId="23">#REF!</definedName>
    <definedName name="___________obl1816" localSheetId="21">#REF!</definedName>
    <definedName name="___________obl1816">#REF!</definedName>
    <definedName name="___________obl1820" localSheetId="19">#REF!</definedName>
    <definedName name="___________obl1820" localSheetId="23">#REF!</definedName>
    <definedName name="___________obl1820" localSheetId="21">#REF!</definedName>
    <definedName name="___________obl1820">#REF!</definedName>
    <definedName name="___________obl1821" localSheetId="19">#REF!</definedName>
    <definedName name="___________obl1821" localSheetId="23">#REF!</definedName>
    <definedName name="___________obl1821" localSheetId="21">#REF!</definedName>
    <definedName name="___________obl1821">#REF!</definedName>
    <definedName name="___________obl1822" localSheetId="19">#REF!</definedName>
    <definedName name="___________obl1822" localSheetId="23">#REF!</definedName>
    <definedName name="___________obl1822" localSheetId="21">#REF!</definedName>
    <definedName name="___________obl1822">#REF!</definedName>
    <definedName name="___________obl1823" localSheetId="19">#REF!</definedName>
    <definedName name="___________obl1823" localSheetId="23">#REF!</definedName>
    <definedName name="___________obl1823" localSheetId="21">#REF!</definedName>
    <definedName name="___________obl1823">#REF!</definedName>
    <definedName name="___________obl1824" localSheetId="19">#REF!</definedName>
    <definedName name="___________obl1824" localSheetId="23">#REF!</definedName>
    <definedName name="___________obl1824" localSheetId="21">#REF!</definedName>
    <definedName name="___________obl1824">#REF!</definedName>
    <definedName name="___________obl1825" localSheetId="19">#REF!</definedName>
    <definedName name="___________obl1825" localSheetId="23">#REF!</definedName>
    <definedName name="___________obl1825" localSheetId="21">#REF!</definedName>
    <definedName name="___________obl1825">#REF!</definedName>
    <definedName name="___________obl1826" localSheetId="19">#REF!</definedName>
    <definedName name="___________obl1826" localSheetId="23">#REF!</definedName>
    <definedName name="___________obl1826" localSheetId="21">#REF!</definedName>
    <definedName name="___________obl1826">#REF!</definedName>
    <definedName name="___________obl1827" localSheetId="19">#REF!</definedName>
    <definedName name="___________obl1827" localSheetId="23">#REF!</definedName>
    <definedName name="___________obl1827" localSheetId="21">#REF!</definedName>
    <definedName name="___________obl1827">#REF!</definedName>
    <definedName name="___________obl1828" localSheetId="19">#REF!</definedName>
    <definedName name="___________obl1828" localSheetId="23">#REF!</definedName>
    <definedName name="___________obl1828" localSheetId="21">#REF!</definedName>
    <definedName name="___________obl1828">#REF!</definedName>
    <definedName name="___________obl1829" localSheetId="19">#REF!</definedName>
    <definedName name="___________obl1829" localSheetId="23">#REF!</definedName>
    <definedName name="___________obl1829" localSheetId="21">#REF!</definedName>
    <definedName name="___________obl1829">#REF!</definedName>
    <definedName name="___________obl183" localSheetId="19">#REF!</definedName>
    <definedName name="___________obl183" localSheetId="23">#REF!</definedName>
    <definedName name="___________obl183" localSheetId="21">#REF!</definedName>
    <definedName name="___________obl183">#REF!</definedName>
    <definedName name="___________obl1831" localSheetId="19">#REF!</definedName>
    <definedName name="___________obl1831" localSheetId="23">#REF!</definedName>
    <definedName name="___________obl1831" localSheetId="21">#REF!</definedName>
    <definedName name="___________obl1831">#REF!</definedName>
    <definedName name="___________obl1832" localSheetId="19">#REF!</definedName>
    <definedName name="___________obl1832" localSheetId="23">#REF!</definedName>
    <definedName name="___________obl1832" localSheetId="21">#REF!</definedName>
    <definedName name="___________obl1832">#REF!</definedName>
    <definedName name="___________obl184" localSheetId="19">#REF!</definedName>
    <definedName name="___________obl184" localSheetId="23">#REF!</definedName>
    <definedName name="___________obl184" localSheetId="21">#REF!</definedName>
    <definedName name="___________obl184">#REF!</definedName>
    <definedName name="___________obl185" localSheetId="19">#REF!</definedName>
    <definedName name="___________obl185" localSheetId="23">#REF!</definedName>
    <definedName name="___________obl185" localSheetId="21">#REF!</definedName>
    <definedName name="___________obl185">#REF!</definedName>
    <definedName name="___________obl186" localSheetId="19">#REF!</definedName>
    <definedName name="___________obl186" localSheetId="23">#REF!</definedName>
    <definedName name="___________obl186" localSheetId="21">#REF!</definedName>
    <definedName name="___________obl186">#REF!</definedName>
    <definedName name="___________obl187" localSheetId="19">#REF!</definedName>
    <definedName name="___________obl187" localSheetId="23">#REF!</definedName>
    <definedName name="___________obl187" localSheetId="21">#REF!</definedName>
    <definedName name="___________obl187">#REF!</definedName>
    <definedName name="__________obl11" localSheetId="19">#REF!</definedName>
    <definedName name="__________obl11" localSheetId="23">#REF!</definedName>
    <definedName name="__________obl11" localSheetId="21">#REF!</definedName>
    <definedName name="__________obl11">#REF!</definedName>
    <definedName name="__________obl12" localSheetId="19">#REF!</definedName>
    <definedName name="__________obl12" localSheetId="23">#REF!</definedName>
    <definedName name="__________obl12" localSheetId="21">#REF!</definedName>
    <definedName name="__________obl12">#REF!</definedName>
    <definedName name="__________obl13" localSheetId="19">#REF!</definedName>
    <definedName name="__________obl13" localSheetId="23">#REF!</definedName>
    <definedName name="__________obl13" localSheetId="21">#REF!</definedName>
    <definedName name="__________obl13">#REF!</definedName>
    <definedName name="__________obl14" localSheetId="19">#REF!</definedName>
    <definedName name="__________obl14" localSheetId="23">#REF!</definedName>
    <definedName name="__________obl14" localSheetId="21">#REF!</definedName>
    <definedName name="__________obl14">#REF!</definedName>
    <definedName name="__________obl15" localSheetId="19">#REF!</definedName>
    <definedName name="__________obl15" localSheetId="23">#REF!</definedName>
    <definedName name="__________obl15" localSheetId="21">#REF!</definedName>
    <definedName name="__________obl15">#REF!</definedName>
    <definedName name="__________obl16" localSheetId="19">#REF!</definedName>
    <definedName name="__________obl16" localSheetId="23">#REF!</definedName>
    <definedName name="__________obl16" localSheetId="21">#REF!</definedName>
    <definedName name="__________obl16">#REF!</definedName>
    <definedName name="__________obl17" localSheetId="19">#REF!</definedName>
    <definedName name="__________obl17" localSheetId="23">#REF!</definedName>
    <definedName name="__________obl17" localSheetId="21">#REF!</definedName>
    <definedName name="__________obl17">#REF!</definedName>
    <definedName name="__________obl1710" localSheetId="19">#REF!</definedName>
    <definedName name="__________obl1710" localSheetId="23">#REF!</definedName>
    <definedName name="__________obl1710" localSheetId="21">#REF!</definedName>
    <definedName name="__________obl1710">#REF!</definedName>
    <definedName name="__________obl1711" localSheetId="19">#REF!</definedName>
    <definedName name="__________obl1711" localSheetId="23">#REF!</definedName>
    <definedName name="__________obl1711" localSheetId="21">#REF!</definedName>
    <definedName name="__________obl1711">#REF!</definedName>
    <definedName name="__________obl1712" localSheetId="19">#REF!</definedName>
    <definedName name="__________obl1712" localSheetId="23">#REF!</definedName>
    <definedName name="__________obl1712" localSheetId="21">#REF!</definedName>
    <definedName name="__________obl1712">#REF!</definedName>
    <definedName name="__________obl1713" localSheetId="19">#REF!</definedName>
    <definedName name="__________obl1713" localSheetId="23">#REF!</definedName>
    <definedName name="__________obl1713" localSheetId="21">#REF!</definedName>
    <definedName name="__________obl1713">#REF!</definedName>
    <definedName name="__________obl1714" localSheetId="19">#REF!</definedName>
    <definedName name="__________obl1714" localSheetId="23">#REF!</definedName>
    <definedName name="__________obl1714" localSheetId="21">#REF!</definedName>
    <definedName name="__________obl1714">#REF!</definedName>
    <definedName name="__________obl1715" localSheetId="19">#REF!</definedName>
    <definedName name="__________obl1715" localSheetId="23">#REF!</definedName>
    <definedName name="__________obl1715" localSheetId="21">#REF!</definedName>
    <definedName name="__________obl1715">#REF!</definedName>
    <definedName name="__________obl1716" localSheetId="19">#REF!</definedName>
    <definedName name="__________obl1716" localSheetId="23">#REF!</definedName>
    <definedName name="__________obl1716" localSheetId="21">#REF!</definedName>
    <definedName name="__________obl1716">#REF!</definedName>
    <definedName name="__________obl1717" localSheetId="19">#REF!</definedName>
    <definedName name="__________obl1717" localSheetId="23">#REF!</definedName>
    <definedName name="__________obl1717" localSheetId="21">#REF!</definedName>
    <definedName name="__________obl1717">#REF!</definedName>
    <definedName name="__________obl1718" localSheetId="19">#REF!</definedName>
    <definedName name="__________obl1718" localSheetId="23">#REF!</definedName>
    <definedName name="__________obl1718" localSheetId="21">#REF!</definedName>
    <definedName name="__________obl1718">#REF!</definedName>
    <definedName name="__________obl1719" localSheetId="19">#REF!</definedName>
    <definedName name="__________obl1719" localSheetId="23">#REF!</definedName>
    <definedName name="__________obl1719" localSheetId="21">#REF!</definedName>
    <definedName name="__________obl1719">#REF!</definedName>
    <definedName name="__________obl173" localSheetId="19">#REF!</definedName>
    <definedName name="__________obl173" localSheetId="23">#REF!</definedName>
    <definedName name="__________obl173" localSheetId="21">#REF!</definedName>
    <definedName name="__________obl173">#REF!</definedName>
    <definedName name="__________obl174" localSheetId="19">#REF!</definedName>
    <definedName name="__________obl174" localSheetId="23">#REF!</definedName>
    <definedName name="__________obl174" localSheetId="21">#REF!</definedName>
    <definedName name="__________obl174">#REF!</definedName>
    <definedName name="__________obl175" localSheetId="19">#REF!</definedName>
    <definedName name="__________obl175" localSheetId="23">#REF!</definedName>
    <definedName name="__________obl175" localSheetId="21">#REF!</definedName>
    <definedName name="__________obl175">#REF!</definedName>
    <definedName name="__________obl176" localSheetId="19">#REF!</definedName>
    <definedName name="__________obl176" localSheetId="23">#REF!</definedName>
    <definedName name="__________obl176" localSheetId="21">#REF!</definedName>
    <definedName name="__________obl176">#REF!</definedName>
    <definedName name="__________obl177" localSheetId="19">#REF!</definedName>
    <definedName name="__________obl177" localSheetId="23">#REF!</definedName>
    <definedName name="__________obl177" localSheetId="21">#REF!</definedName>
    <definedName name="__________obl177">#REF!</definedName>
    <definedName name="__________obl178" localSheetId="19">#REF!</definedName>
    <definedName name="__________obl178" localSheetId="23">#REF!</definedName>
    <definedName name="__________obl178" localSheetId="21">#REF!</definedName>
    <definedName name="__________obl178">#REF!</definedName>
    <definedName name="__________obl179" localSheetId="19">#REF!</definedName>
    <definedName name="__________obl179" localSheetId="23">#REF!</definedName>
    <definedName name="__________obl179" localSheetId="21">#REF!</definedName>
    <definedName name="__________obl179">#REF!</definedName>
    <definedName name="__________obl18" localSheetId="19">#REF!</definedName>
    <definedName name="__________obl18" localSheetId="23">#REF!</definedName>
    <definedName name="__________obl18" localSheetId="21">#REF!</definedName>
    <definedName name="__________obl18">#REF!</definedName>
    <definedName name="__________obl181" localSheetId="19">#REF!</definedName>
    <definedName name="__________obl181" localSheetId="23">#REF!</definedName>
    <definedName name="__________obl181" localSheetId="21">#REF!</definedName>
    <definedName name="__________obl181">#REF!</definedName>
    <definedName name="__________obl1816" localSheetId="19">#REF!</definedName>
    <definedName name="__________obl1816" localSheetId="23">#REF!</definedName>
    <definedName name="__________obl1816" localSheetId="21">#REF!</definedName>
    <definedName name="__________obl1816">#REF!</definedName>
    <definedName name="__________obl1820" localSheetId="19">#REF!</definedName>
    <definedName name="__________obl1820" localSheetId="23">#REF!</definedName>
    <definedName name="__________obl1820" localSheetId="21">#REF!</definedName>
    <definedName name="__________obl1820">#REF!</definedName>
    <definedName name="__________obl1821" localSheetId="19">#REF!</definedName>
    <definedName name="__________obl1821" localSheetId="23">#REF!</definedName>
    <definedName name="__________obl1821" localSheetId="21">#REF!</definedName>
    <definedName name="__________obl1821">#REF!</definedName>
    <definedName name="__________obl1822" localSheetId="19">#REF!</definedName>
    <definedName name="__________obl1822" localSheetId="23">#REF!</definedName>
    <definedName name="__________obl1822" localSheetId="21">#REF!</definedName>
    <definedName name="__________obl1822">#REF!</definedName>
    <definedName name="__________obl1823" localSheetId="19">#REF!</definedName>
    <definedName name="__________obl1823" localSheetId="23">#REF!</definedName>
    <definedName name="__________obl1823" localSheetId="21">#REF!</definedName>
    <definedName name="__________obl1823">#REF!</definedName>
    <definedName name="__________obl1824" localSheetId="19">#REF!</definedName>
    <definedName name="__________obl1824" localSheetId="23">#REF!</definedName>
    <definedName name="__________obl1824" localSheetId="21">#REF!</definedName>
    <definedName name="__________obl1824">#REF!</definedName>
    <definedName name="__________obl1825" localSheetId="19">#REF!</definedName>
    <definedName name="__________obl1825" localSheetId="23">#REF!</definedName>
    <definedName name="__________obl1825" localSheetId="21">#REF!</definedName>
    <definedName name="__________obl1825">#REF!</definedName>
    <definedName name="__________obl1826" localSheetId="19">#REF!</definedName>
    <definedName name="__________obl1826" localSheetId="23">#REF!</definedName>
    <definedName name="__________obl1826" localSheetId="21">#REF!</definedName>
    <definedName name="__________obl1826">#REF!</definedName>
    <definedName name="__________obl1827" localSheetId="19">#REF!</definedName>
    <definedName name="__________obl1827" localSheetId="23">#REF!</definedName>
    <definedName name="__________obl1827" localSheetId="21">#REF!</definedName>
    <definedName name="__________obl1827">#REF!</definedName>
    <definedName name="__________obl1828" localSheetId="19">#REF!</definedName>
    <definedName name="__________obl1828" localSheetId="23">#REF!</definedName>
    <definedName name="__________obl1828" localSheetId="21">#REF!</definedName>
    <definedName name="__________obl1828">#REF!</definedName>
    <definedName name="__________obl1829" localSheetId="19">#REF!</definedName>
    <definedName name="__________obl1829" localSheetId="23">#REF!</definedName>
    <definedName name="__________obl1829" localSheetId="21">#REF!</definedName>
    <definedName name="__________obl1829">#REF!</definedName>
    <definedName name="__________obl183" localSheetId="19">#REF!</definedName>
    <definedName name="__________obl183" localSheetId="23">#REF!</definedName>
    <definedName name="__________obl183" localSheetId="21">#REF!</definedName>
    <definedName name="__________obl183">#REF!</definedName>
    <definedName name="__________obl1831" localSheetId="19">#REF!</definedName>
    <definedName name="__________obl1831" localSheetId="23">#REF!</definedName>
    <definedName name="__________obl1831" localSheetId="21">#REF!</definedName>
    <definedName name="__________obl1831">#REF!</definedName>
    <definedName name="__________obl1832" localSheetId="19">#REF!</definedName>
    <definedName name="__________obl1832" localSheetId="23">#REF!</definedName>
    <definedName name="__________obl1832" localSheetId="21">#REF!</definedName>
    <definedName name="__________obl1832">#REF!</definedName>
    <definedName name="__________obl184" localSheetId="19">#REF!</definedName>
    <definedName name="__________obl184" localSheetId="23">#REF!</definedName>
    <definedName name="__________obl184" localSheetId="21">#REF!</definedName>
    <definedName name="__________obl184">#REF!</definedName>
    <definedName name="__________obl185" localSheetId="19">#REF!</definedName>
    <definedName name="__________obl185" localSheetId="23">#REF!</definedName>
    <definedName name="__________obl185" localSheetId="21">#REF!</definedName>
    <definedName name="__________obl185">#REF!</definedName>
    <definedName name="__________obl186" localSheetId="19">#REF!</definedName>
    <definedName name="__________obl186" localSheetId="23">#REF!</definedName>
    <definedName name="__________obl186" localSheetId="21">#REF!</definedName>
    <definedName name="__________obl186">#REF!</definedName>
    <definedName name="__________obl187" localSheetId="19">#REF!</definedName>
    <definedName name="__________obl187" localSheetId="23">#REF!</definedName>
    <definedName name="__________obl187" localSheetId="21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 localSheetId="19">#REF!</definedName>
    <definedName name="________obl11" localSheetId="23">#REF!</definedName>
    <definedName name="________obl11" localSheetId="21">#REF!</definedName>
    <definedName name="________obl11">#REF!</definedName>
    <definedName name="________obl12" localSheetId="19">#REF!</definedName>
    <definedName name="________obl12" localSheetId="23">#REF!</definedName>
    <definedName name="________obl12" localSheetId="21">#REF!</definedName>
    <definedName name="________obl12">#REF!</definedName>
    <definedName name="________obl13" localSheetId="19">#REF!</definedName>
    <definedName name="________obl13" localSheetId="23">#REF!</definedName>
    <definedName name="________obl13" localSheetId="21">#REF!</definedName>
    <definedName name="________obl13">#REF!</definedName>
    <definedName name="________obl14" localSheetId="19">#REF!</definedName>
    <definedName name="________obl14" localSheetId="23">#REF!</definedName>
    <definedName name="________obl14" localSheetId="21">#REF!</definedName>
    <definedName name="________obl14">#REF!</definedName>
    <definedName name="________obl15" localSheetId="19">#REF!</definedName>
    <definedName name="________obl15" localSheetId="23">#REF!</definedName>
    <definedName name="________obl15" localSheetId="21">#REF!</definedName>
    <definedName name="________obl15">#REF!</definedName>
    <definedName name="________obl16" localSheetId="19">#REF!</definedName>
    <definedName name="________obl16" localSheetId="23">#REF!</definedName>
    <definedName name="________obl16" localSheetId="21">#REF!</definedName>
    <definedName name="________obl16">#REF!</definedName>
    <definedName name="________obl17" localSheetId="19">#REF!</definedName>
    <definedName name="________obl17" localSheetId="23">#REF!</definedName>
    <definedName name="________obl17" localSheetId="21">#REF!</definedName>
    <definedName name="________obl17">#REF!</definedName>
    <definedName name="________obl1710" localSheetId="19">#REF!</definedName>
    <definedName name="________obl1710" localSheetId="23">#REF!</definedName>
    <definedName name="________obl1710" localSheetId="21">#REF!</definedName>
    <definedName name="________obl1710">#REF!</definedName>
    <definedName name="________obl1711" localSheetId="19">#REF!</definedName>
    <definedName name="________obl1711" localSheetId="23">#REF!</definedName>
    <definedName name="________obl1711" localSheetId="21">#REF!</definedName>
    <definedName name="________obl1711">#REF!</definedName>
    <definedName name="________obl1712" localSheetId="19">#REF!</definedName>
    <definedName name="________obl1712" localSheetId="23">#REF!</definedName>
    <definedName name="________obl1712" localSheetId="21">#REF!</definedName>
    <definedName name="________obl1712">#REF!</definedName>
    <definedName name="________obl1713" localSheetId="19">#REF!</definedName>
    <definedName name="________obl1713" localSheetId="23">#REF!</definedName>
    <definedName name="________obl1713" localSheetId="21">#REF!</definedName>
    <definedName name="________obl1713">#REF!</definedName>
    <definedName name="________obl1714" localSheetId="19">#REF!</definedName>
    <definedName name="________obl1714" localSheetId="23">#REF!</definedName>
    <definedName name="________obl1714" localSheetId="21">#REF!</definedName>
    <definedName name="________obl1714">#REF!</definedName>
    <definedName name="________obl1715" localSheetId="19">#REF!</definedName>
    <definedName name="________obl1715" localSheetId="23">#REF!</definedName>
    <definedName name="________obl1715" localSheetId="21">#REF!</definedName>
    <definedName name="________obl1715">#REF!</definedName>
    <definedName name="________obl1716" localSheetId="19">#REF!</definedName>
    <definedName name="________obl1716" localSheetId="23">#REF!</definedName>
    <definedName name="________obl1716" localSheetId="21">#REF!</definedName>
    <definedName name="________obl1716">#REF!</definedName>
    <definedName name="________obl1717" localSheetId="19">#REF!</definedName>
    <definedName name="________obl1717" localSheetId="23">#REF!</definedName>
    <definedName name="________obl1717" localSheetId="21">#REF!</definedName>
    <definedName name="________obl1717">#REF!</definedName>
    <definedName name="________obl1718" localSheetId="19">#REF!</definedName>
    <definedName name="________obl1718" localSheetId="23">#REF!</definedName>
    <definedName name="________obl1718" localSheetId="21">#REF!</definedName>
    <definedName name="________obl1718">#REF!</definedName>
    <definedName name="________obl1719" localSheetId="19">#REF!</definedName>
    <definedName name="________obl1719" localSheetId="23">#REF!</definedName>
    <definedName name="________obl1719" localSheetId="21">#REF!</definedName>
    <definedName name="________obl1719">#REF!</definedName>
    <definedName name="________obl173" localSheetId="19">#REF!</definedName>
    <definedName name="________obl173" localSheetId="23">#REF!</definedName>
    <definedName name="________obl173" localSheetId="21">#REF!</definedName>
    <definedName name="________obl173">#REF!</definedName>
    <definedName name="________obl174" localSheetId="19">#REF!</definedName>
    <definedName name="________obl174" localSheetId="23">#REF!</definedName>
    <definedName name="________obl174" localSheetId="21">#REF!</definedName>
    <definedName name="________obl174">#REF!</definedName>
    <definedName name="________obl175" localSheetId="19">#REF!</definedName>
    <definedName name="________obl175" localSheetId="23">#REF!</definedName>
    <definedName name="________obl175" localSheetId="21">#REF!</definedName>
    <definedName name="________obl175">#REF!</definedName>
    <definedName name="________obl176" localSheetId="19">#REF!</definedName>
    <definedName name="________obl176" localSheetId="23">#REF!</definedName>
    <definedName name="________obl176" localSheetId="21">#REF!</definedName>
    <definedName name="________obl176">#REF!</definedName>
    <definedName name="________obl177" localSheetId="19">#REF!</definedName>
    <definedName name="________obl177" localSheetId="23">#REF!</definedName>
    <definedName name="________obl177" localSheetId="21">#REF!</definedName>
    <definedName name="________obl177">#REF!</definedName>
    <definedName name="________obl178" localSheetId="19">#REF!</definedName>
    <definedName name="________obl178" localSheetId="23">#REF!</definedName>
    <definedName name="________obl178" localSheetId="21">#REF!</definedName>
    <definedName name="________obl178">#REF!</definedName>
    <definedName name="________obl179" localSheetId="19">#REF!</definedName>
    <definedName name="________obl179" localSheetId="23">#REF!</definedName>
    <definedName name="________obl179" localSheetId="21">#REF!</definedName>
    <definedName name="________obl179">#REF!</definedName>
    <definedName name="________obl18" localSheetId="19">#REF!</definedName>
    <definedName name="________obl18" localSheetId="23">#REF!</definedName>
    <definedName name="________obl18" localSheetId="21">#REF!</definedName>
    <definedName name="________obl18">#REF!</definedName>
    <definedName name="________obl181" localSheetId="19">#REF!</definedName>
    <definedName name="________obl181" localSheetId="23">#REF!</definedName>
    <definedName name="________obl181" localSheetId="21">#REF!</definedName>
    <definedName name="________obl181">#REF!</definedName>
    <definedName name="________obl1816" localSheetId="19">#REF!</definedName>
    <definedName name="________obl1816" localSheetId="23">#REF!</definedName>
    <definedName name="________obl1816" localSheetId="21">#REF!</definedName>
    <definedName name="________obl1816">#REF!</definedName>
    <definedName name="________obl1820" localSheetId="19">#REF!</definedName>
    <definedName name="________obl1820" localSheetId="23">#REF!</definedName>
    <definedName name="________obl1820" localSheetId="21">#REF!</definedName>
    <definedName name="________obl1820">#REF!</definedName>
    <definedName name="________obl1821" localSheetId="19">#REF!</definedName>
    <definedName name="________obl1821" localSheetId="23">#REF!</definedName>
    <definedName name="________obl1821" localSheetId="21">#REF!</definedName>
    <definedName name="________obl1821">#REF!</definedName>
    <definedName name="________obl1822" localSheetId="19">#REF!</definedName>
    <definedName name="________obl1822" localSheetId="23">#REF!</definedName>
    <definedName name="________obl1822" localSheetId="21">#REF!</definedName>
    <definedName name="________obl1822">#REF!</definedName>
    <definedName name="________obl1823" localSheetId="19">#REF!</definedName>
    <definedName name="________obl1823" localSheetId="23">#REF!</definedName>
    <definedName name="________obl1823" localSheetId="21">#REF!</definedName>
    <definedName name="________obl1823">#REF!</definedName>
    <definedName name="________obl1824" localSheetId="19">#REF!</definedName>
    <definedName name="________obl1824" localSheetId="23">#REF!</definedName>
    <definedName name="________obl1824" localSheetId="21">#REF!</definedName>
    <definedName name="________obl1824">#REF!</definedName>
    <definedName name="________obl1825" localSheetId="19">#REF!</definedName>
    <definedName name="________obl1825" localSheetId="23">#REF!</definedName>
    <definedName name="________obl1825" localSheetId="21">#REF!</definedName>
    <definedName name="________obl1825">#REF!</definedName>
    <definedName name="________obl1826" localSheetId="19">#REF!</definedName>
    <definedName name="________obl1826" localSheetId="23">#REF!</definedName>
    <definedName name="________obl1826" localSheetId="21">#REF!</definedName>
    <definedName name="________obl1826">#REF!</definedName>
    <definedName name="________obl1827" localSheetId="19">#REF!</definedName>
    <definedName name="________obl1827" localSheetId="23">#REF!</definedName>
    <definedName name="________obl1827" localSheetId="21">#REF!</definedName>
    <definedName name="________obl1827">#REF!</definedName>
    <definedName name="________obl1828" localSheetId="19">#REF!</definedName>
    <definedName name="________obl1828" localSheetId="23">#REF!</definedName>
    <definedName name="________obl1828" localSheetId="21">#REF!</definedName>
    <definedName name="________obl1828">#REF!</definedName>
    <definedName name="________obl1829" localSheetId="19">#REF!</definedName>
    <definedName name="________obl1829" localSheetId="23">#REF!</definedName>
    <definedName name="________obl1829" localSheetId="21">#REF!</definedName>
    <definedName name="________obl1829">#REF!</definedName>
    <definedName name="________obl183" localSheetId="19">#REF!</definedName>
    <definedName name="________obl183" localSheetId="23">#REF!</definedName>
    <definedName name="________obl183" localSheetId="21">#REF!</definedName>
    <definedName name="________obl183">#REF!</definedName>
    <definedName name="________obl1831" localSheetId="19">#REF!</definedName>
    <definedName name="________obl1831" localSheetId="23">#REF!</definedName>
    <definedName name="________obl1831" localSheetId="21">#REF!</definedName>
    <definedName name="________obl1831">#REF!</definedName>
    <definedName name="________obl1832" localSheetId="19">#REF!</definedName>
    <definedName name="________obl1832" localSheetId="23">#REF!</definedName>
    <definedName name="________obl1832" localSheetId="21">#REF!</definedName>
    <definedName name="________obl1832">#REF!</definedName>
    <definedName name="________obl184" localSheetId="19">#REF!</definedName>
    <definedName name="________obl184" localSheetId="23">#REF!</definedName>
    <definedName name="________obl184" localSheetId="21">#REF!</definedName>
    <definedName name="________obl184">#REF!</definedName>
    <definedName name="________obl185" localSheetId="19">#REF!</definedName>
    <definedName name="________obl185" localSheetId="23">#REF!</definedName>
    <definedName name="________obl185" localSheetId="21">#REF!</definedName>
    <definedName name="________obl185">#REF!</definedName>
    <definedName name="________obl186" localSheetId="19">#REF!</definedName>
    <definedName name="________obl186" localSheetId="23">#REF!</definedName>
    <definedName name="________obl186" localSheetId="21">#REF!</definedName>
    <definedName name="________obl186">#REF!</definedName>
    <definedName name="________obl187" localSheetId="19">#REF!</definedName>
    <definedName name="________obl187" localSheetId="23">#REF!</definedName>
    <definedName name="________obl187" localSheetId="21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 localSheetId="2">#REF!</definedName>
    <definedName name="______obl11" localSheetId="6">#REF!</definedName>
    <definedName name="______obl11" localSheetId="19">#REF!</definedName>
    <definedName name="______obl11" localSheetId="23">#REF!</definedName>
    <definedName name="______obl11" localSheetId="24">#REF!</definedName>
    <definedName name="______obl11" localSheetId="21">#REF!</definedName>
    <definedName name="______obl11" localSheetId="20">#REF!</definedName>
    <definedName name="______obl11">#REF!</definedName>
    <definedName name="______obl12" localSheetId="2">#REF!</definedName>
    <definedName name="______obl12" localSheetId="6">#REF!</definedName>
    <definedName name="______obl12" localSheetId="19">#REF!</definedName>
    <definedName name="______obl12" localSheetId="23">#REF!</definedName>
    <definedName name="______obl12" localSheetId="24">#REF!</definedName>
    <definedName name="______obl12" localSheetId="21">#REF!</definedName>
    <definedName name="______obl12" localSheetId="20">#REF!</definedName>
    <definedName name="______obl12">#REF!</definedName>
    <definedName name="______obl13" localSheetId="2">#REF!</definedName>
    <definedName name="______obl13" localSheetId="6">#REF!</definedName>
    <definedName name="______obl13" localSheetId="19">#REF!</definedName>
    <definedName name="______obl13" localSheetId="23">#REF!</definedName>
    <definedName name="______obl13" localSheetId="24">#REF!</definedName>
    <definedName name="______obl13" localSheetId="21">#REF!</definedName>
    <definedName name="______obl13" localSheetId="20">#REF!</definedName>
    <definedName name="______obl13">#REF!</definedName>
    <definedName name="______obl14" localSheetId="19">#REF!</definedName>
    <definedName name="______obl14" localSheetId="23">#REF!</definedName>
    <definedName name="______obl14" localSheetId="24">#REF!</definedName>
    <definedName name="______obl14" localSheetId="21">#REF!</definedName>
    <definedName name="______obl14" localSheetId="20">#REF!</definedName>
    <definedName name="______obl14">#REF!</definedName>
    <definedName name="______obl15" localSheetId="19">#REF!</definedName>
    <definedName name="______obl15" localSheetId="23">#REF!</definedName>
    <definedName name="______obl15" localSheetId="24">#REF!</definedName>
    <definedName name="______obl15" localSheetId="21">#REF!</definedName>
    <definedName name="______obl15" localSheetId="20">#REF!</definedName>
    <definedName name="______obl15">#REF!</definedName>
    <definedName name="______obl16" localSheetId="19">#REF!</definedName>
    <definedName name="______obl16" localSheetId="23">#REF!</definedName>
    <definedName name="______obl16" localSheetId="24">#REF!</definedName>
    <definedName name="______obl16" localSheetId="21">#REF!</definedName>
    <definedName name="______obl16" localSheetId="20">#REF!</definedName>
    <definedName name="______obl16">#REF!</definedName>
    <definedName name="______obl17" localSheetId="19">#REF!</definedName>
    <definedName name="______obl17" localSheetId="23">#REF!</definedName>
    <definedName name="______obl17" localSheetId="24">#REF!</definedName>
    <definedName name="______obl17" localSheetId="21">#REF!</definedName>
    <definedName name="______obl17" localSheetId="20">#REF!</definedName>
    <definedName name="______obl17">#REF!</definedName>
    <definedName name="______obl1710" localSheetId="19">#REF!</definedName>
    <definedName name="______obl1710" localSheetId="23">#REF!</definedName>
    <definedName name="______obl1710" localSheetId="24">#REF!</definedName>
    <definedName name="______obl1710" localSheetId="21">#REF!</definedName>
    <definedName name="______obl1710" localSheetId="20">#REF!</definedName>
    <definedName name="______obl1710">#REF!</definedName>
    <definedName name="______obl1711" localSheetId="19">#REF!</definedName>
    <definedName name="______obl1711" localSheetId="23">#REF!</definedName>
    <definedName name="______obl1711" localSheetId="24">#REF!</definedName>
    <definedName name="______obl1711" localSheetId="21">#REF!</definedName>
    <definedName name="______obl1711" localSheetId="20">#REF!</definedName>
    <definedName name="______obl1711">#REF!</definedName>
    <definedName name="______obl1712" localSheetId="19">#REF!</definedName>
    <definedName name="______obl1712" localSheetId="23">#REF!</definedName>
    <definedName name="______obl1712" localSheetId="24">#REF!</definedName>
    <definedName name="______obl1712" localSheetId="21">#REF!</definedName>
    <definedName name="______obl1712" localSheetId="20">#REF!</definedName>
    <definedName name="______obl1712">#REF!</definedName>
    <definedName name="______obl1713" localSheetId="19">#REF!</definedName>
    <definedName name="______obl1713" localSheetId="23">#REF!</definedName>
    <definedName name="______obl1713" localSheetId="24">#REF!</definedName>
    <definedName name="______obl1713" localSheetId="21">#REF!</definedName>
    <definedName name="______obl1713" localSheetId="20">#REF!</definedName>
    <definedName name="______obl1713">#REF!</definedName>
    <definedName name="______obl1714" localSheetId="19">#REF!</definedName>
    <definedName name="______obl1714" localSheetId="23">#REF!</definedName>
    <definedName name="______obl1714" localSheetId="24">#REF!</definedName>
    <definedName name="______obl1714" localSheetId="21">#REF!</definedName>
    <definedName name="______obl1714" localSheetId="20">#REF!</definedName>
    <definedName name="______obl1714">#REF!</definedName>
    <definedName name="______obl1715" localSheetId="19">#REF!</definedName>
    <definedName name="______obl1715" localSheetId="23">#REF!</definedName>
    <definedName name="______obl1715" localSheetId="24">#REF!</definedName>
    <definedName name="______obl1715" localSheetId="21">#REF!</definedName>
    <definedName name="______obl1715" localSheetId="20">#REF!</definedName>
    <definedName name="______obl1715">#REF!</definedName>
    <definedName name="______obl1716" localSheetId="19">#REF!</definedName>
    <definedName name="______obl1716" localSheetId="23">#REF!</definedName>
    <definedName name="______obl1716" localSheetId="24">#REF!</definedName>
    <definedName name="______obl1716" localSheetId="21">#REF!</definedName>
    <definedName name="______obl1716" localSheetId="20">#REF!</definedName>
    <definedName name="______obl1716">#REF!</definedName>
    <definedName name="______obl1717" localSheetId="19">#REF!</definedName>
    <definedName name="______obl1717" localSheetId="23">#REF!</definedName>
    <definedName name="______obl1717" localSheetId="24">#REF!</definedName>
    <definedName name="______obl1717" localSheetId="21">#REF!</definedName>
    <definedName name="______obl1717" localSheetId="20">#REF!</definedName>
    <definedName name="______obl1717">#REF!</definedName>
    <definedName name="______obl1718" localSheetId="19">#REF!</definedName>
    <definedName name="______obl1718" localSheetId="23">#REF!</definedName>
    <definedName name="______obl1718" localSheetId="24">#REF!</definedName>
    <definedName name="______obl1718" localSheetId="21">#REF!</definedName>
    <definedName name="______obl1718" localSheetId="20">#REF!</definedName>
    <definedName name="______obl1718">#REF!</definedName>
    <definedName name="______obl1719" localSheetId="19">#REF!</definedName>
    <definedName name="______obl1719" localSheetId="23">#REF!</definedName>
    <definedName name="______obl1719" localSheetId="24">#REF!</definedName>
    <definedName name="______obl1719" localSheetId="21">#REF!</definedName>
    <definedName name="______obl1719" localSheetId="20">#REF!</definedName>
    <definedName name="______obl1719">#REF!</definedName>
    <definedName name="______obl173" localSheetId="19">#REF!</definedName>
    <definedName name="______obl173" localSheetId="23">#REF!</definedName>
    <definedName name="______obl173" localSheetId="24">#REF!</definedName>
    <definedName name="______obl173" localSheetId="21">#REF!</definedName>
    <definedName name="______obl173" localSheetId="20">#REF!</definedName>
    <definedName name="______obl173">#REF!</definedName>
    <definedName name="______obl174" localSheetId="19">#REF!</definedName>
    <definedName name="______obl174" localSheetId="23">#REF!</definedName>
    <definedName name="______obl174" localSheetId="24">#REF!</definedName>
    <definedName name="______obl174" localSheetId="21">#REF!</definedName>
    <definedName name="______obl174" localSheetId="20">#REF!</definedName>
    <definedName name="______obl174">#REF!</definedName>
    <definedName name="______obl175" localSheetId="19">#REF!</definedName>
    <definedName name="______obl175" localSheetId="23">#REF!</definedName>
    <definedName name="______obl175" localSheetId="24">#REF!</definedName>
    <definedName name="______obl175" localSheetId="21">#REF!</definedName>
    <definedName name="______obl175" localSheetId="20">#REF!</definedName>
    <definedName name="______obl175">#REF!</definedName>
    <definedName name="______obl176" localSheetId="19">#REF!</definedName>
    <definedName name="______obl176" localSheetId="23">#REF!</definedName>
    <definedName name="______obl176" localSheetId="24">#REF!</definedName>
    <definedName name="______obl176" localSheetId="21">#REF!</definedName>
    <definedName name="______obl176" localSheetId="20">#REF!</definedName>
    <definedName name="______obl176">#REF!</definedName>
    <definedName name="______obl177" localSheetId="19">#REF!</definedName>
    <definedName name="______obl177" localSheetId="23">#REF!</definedName>
    <definedName name="______obl177" localSheetId="24">#REF!</definedName>
    <definedName name="______obl177" localSheetId="21">#REF!</definedName>
    <definedName name="______obl177" localSheetId="20">#REF!</definedName>
    <definedName name="______obl177">#REF!</definedName>
    <definedName name="______obl178" localSheetId="19">#REF!</definedName>
    <definedName name="______obl178" localSheetId="23">#REF!</definedName>
    <definedName name="______obl178" localSheetId="24">#REF!</definedName>
    <definedName name="______obl178" localSheetId="21">#REF!</definedName>
    <definedName name="______obl178" localSheetId="20">#REF!</definedName>
    <definedName name="______obl178">#REF!</definedName>
    <definedName name="______obl179" localSheetId="19">#REF!</definedName>
    <definedName name="______obl179" localSheetId="23">#REF!</definedName>
    <definedName name="______obl179" localSheetId="24">#REF!</definedName>
    <definedName name="______obl179" localSheetId="21">#REF!</definedName>
    <definedName name="______obl179" localSheetId="20">#REF!</definedName>
    <definedName name="______obl179">#REF!</definedName>
    <definedName name="______obl18" localSheetId="19">#REF!</definedName>
    <definedName name="______obl18" localSheetId="23">#REF!</definedName>
    <definedName name="______obl18" localSheetId="24">#REF!</definedName>
    <definedName name="______obl18" localSheetId="21">#REF!</definedName>
    <definedName name="______obl18" localSheetId="20">#REF!</definedName>
    <definedName name="______obl18">#REF!</definedName>
    <definedName name="______obl181" localSheetId="19">#REF!</definedName>
    <definedName name="______obl181" localSheetId="23">#REF!</definedName>
    <definedName name="______obl181" localSheetId="24">#REF!</definedName>
    <definedName name="______obl181" localSheetId="21">#REF!</definedName>
    <definedName name="______obl181" localSheetId="20">#REF!</definedName>
    <definedName name="______obl181">#REF!</definedName>
    <definedName name="______obl1816" localSheetId="19">#REF!</definedName>
    <definedName name="______obl1816" localSheetId="23">#REF!</definedName>
    <definedName name="______obl1816" localSheetId="24">#REF!</definedName>
    <definedName name="______obl1816" localSheetId="21">#REF!</definedName>
    <definedName name="______obl1816" localSheetId="20">#REF!</definedName>
    <definedName name="______obl1816">#REF!</definedName>
    <definedName name="______obl1820" localSheetId="19">#REF!</definedName>
    <definedName name="______obl1820" localSheetId="23">#REF!</definedName>
    <definedName name="______obl1820" localSheetId="24">#REF!</definedName>
    <definedName name="______obl1820" localSheetId="21">#REF!</definedName>
    <definedName name="______obl1820" localSheetId="20">#REF!</definedName>
    <definedName name="______obl1820">#REF!</definedName>
    <definedName name="______obl1821" localSheetId="19">#REF!</definedName>
    <definedName name="______obl1821" localSheetId="23">#REF!</definedName>
    <definedName name="______obl1821" localSheetId="24">#REF!</definedName>
    <definedName name="______obl1821" localSheetId="21">#REF!</definedName>
    <definedName name="______obl1821" localSheetId="20">#REF!</definedName>
    <definedName name="______obl1821">#REF!</definedName>
    <definedName name="______obl1822" localSheetId="19">#REF!</definedName>
    <definedName name="______obl1822" localSheetId="23">#REF!</definedName>
    <definedName name="______obl1822" localSheetId="24">#REF!</definedName>
    <definedName name="______obl1822" localSheetId="21">#REF!</definedName>
    <definedName name="______obl1822" localSheetId="20">#REF!</definedName>
    <definedName name="______obl1822">#REF!</definedName>
    <definedName name="______obl1823" localSheetId="19">#REF!</definedName>
    <definedName name="______obl1823" localSheetId="23">#REF!</definedName>
    <definedName name="______obl1823" localSheetId="24">#REF!</definedName>
    <definedName name="______obl1823" localSheetId="21">#REF!</definedName>
    <definedName name="______obl1823" localSheetId="20">#REF!</definedName>
    <definedName name="______obl1823">#REF!</definedName>
    <definedName name="______obl1824" localSheetId="19">#REF!</definedName>
    <definedName name="______obl1824" localSheetId="23">#REF!</definedName>
    <definedName name="______obl1824" localSheetId="24">#REF!</definedName>
    <definedName name="______obl1824" localSheetId="21">#REF!</definedName>
    <definedName name="______obl1824" localSheetId="20">#REF!</definedName>
    <definedName name="______obl1824">#REF!</definedName>
    <definedName name="______obl1825" localSheetId="19">#REF!</definedName>
    <definedName name="______obl1825" localSheetId="23">#REF!</definedName>
    <definedName name="______obl1825" localSheetId="24">#REF!</definedName>
    <definedName name="______obl1825" localSheetId="21">#REF!</definedName>
    <definedName name="______obl1825" localSheetId="20">#REF!</definedName>
    <definedName name="______obl1825">#REF!</definedName>
    <definedName name="______obl1826" localSheetId="19">#REF!</definedName>
    <definedName name="______obl1826" localSheetId="23">#REF!</definedName>
    <definedName name="______obl1826" localSheetId="24">#REF!</definedName>
    <definedName name="______obl1826" localSheetId="21">#REF!</definedName>
    <definedName name="______obl1826" localSheetId="20">#REF!</definedName>
    <definedName name="______obl1826">#REF!</definedName>
    <definedName name="______obl1827" localSheetId="19">#REF!</definedName>
    <definedName name="______obl1827" localSheetId="23">#REF!</definedName>
    <definedName name="______obl1827" localSheetId="24">#REF!</definedName>
    <definedName name="______obl1827" localSheetId="21">#REF!</definedName>
    <definedName name="______obl1827" localSheetId="20">#REF!</definedName>
    <definedName name="______obl1827">#REF!</definedName>
    <definedName name="______obl1828" localSheetId="19">#REF!</definedName>
    <definedName name="______obl1828" localSheetId="23">#REF!</definedName>
    <definedName name="______obl1828" localSheetId="24">#REF!</definedName>
    <definedName name="______obl1828" localSheetId="21">#REF!</definedName>
    <definedName name="______obl1828" localSheetId="20">#REF!</definedName>
    <definedName name="______obl1828">#REF!</definedName>
    <definedName name="______obl1829" localSheetId="19">#REF!</definedName>
    <definedName name="______obl1829" localSheetId="23">#REF!</definedName>
    <definedName name="______obl1829" localSheetId="24">#REF!</definedName>
    <definedName name="______obl1829" localSheetId="21">#REF!</definedName>
    <definedName name="______obl1829" localSheetId="20">#REF!</definedName>
    <definedName name="______obl1829">#REF!</definedName>
    <definedName name="______obl183" localSheetId="19">#REF!</definedName>
    <definedName name="______obl183" localSheetId="23">#REF!</definedName>
    <definedName name="______obl183" localSheetId="24">#REF!</definedName>
    <definedName name="______obl183" localSheetId="21">#REF!</definedName>
    <definedName name="______obl183" localSheetId="20">#REF!</definedName>
    <definedName name="______obl183">#REF!</definedName>
    <definedName name="______obl1831" localSheetId="19">#REF!</definedName>
    <definedName name="______obl1831" localSheetId="23">#REF!</definedName>
    <definedName name="______obl1831" localSheetId="24">#REF!</definedName>
    <definedName name="______obl1831" localSheetId="21">#REF!</definedName>
    <definedName name="______obl1831" localSheetId="20">#REF!</definedName>
    <definedName name="______obl1831">#REF!</definedName>
    <definedName name="______obl1832" localSheetId="19">#REF!</definedName>
    <definedName name="______obl1832" localSheetId="23">#REF!</definedName>
    <definedName name="______obl1832" localSheetId="24">#REF!</definedName>
    <definedName name="______obl1832" localSheetId="21">#REF!</definedName>
    <definedName name="______obl1832" localSheetId="20">#REF!</definedName>
    <definedName name="______obl1832">#REF!</definedName>
    <definedName name="______obl184" localSheetId="19">#REF!</definedName>
    <definedName name="______obl184" localSheetId="23">#REF!</definedName>
    <definedName name="______obl184" localSheetId="24">#REF!</definedName>
    <definedName name="______obl184" localSheetId="21">#REF!</definedName>
    <definedName name="______obl184" localSheetId="20">#REF!</definedName>
    <definedName name="______obl184">#REF!</definedName>
    <definedName name="______obl185" localSheetId="19">#REF!</definedName>
    <definedName name="______obl185" localSheetId="23">#REF!</definedName>
    <definedName name="______obl185" localSheetId="24">#REF!</definedName>
    <definedName name="______obl185" localSheetId="21">#REF!</definedName>
    <definedName name="______obl185" localSheetId="20">#REF!</definedName>
    <definedName name="______obl185">#REF!</definedName>
    <definedName name="______obl186" localSheetId="19">#REF!</definedName>
    <definedName name="______obl186" localSheetId="23">#REF!</definedName>
    <definedName name="______obl186" localSheetId="24">#REF!</definedName>
    <definedName name="______obl186" localSheetId="21">#REF!</definedName>
    <definedName name="______obl186" localSheetId="20">#REF!</definedName>
    <definedName name="______obl186">#REF!</definedName>
    <definedName name="______obl187" localSheetId="19">#REF!</definedName>
    <definedName name="______obl187" localSheetId="23">#REF!</definedName>
    <definedName name="______obl187" localSheetId="24">#REF!</definedName>
    <definedName name="______obl187" localSheetId="21">#REF!</definedName>
    <definedName name="______obl187" localSheetId="20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 localSheetId="19">#REF!</definedName>
    <definedName name="____obl11" localSheetId="23">#REF!</definedName>
    <definedName name="____obl11" localSheetId="24">#REF!</definedName>
    <definedName name="____obl11" localSheetId="21">#REF!</definedName>
    <definedName name="____obl11" localSheetId="20">#REF!</definedName>
    <definedName name="____obl11">#REF!</definedName>
    <definedName name="____obl12" localSheetId="19">#REF!</definedName>
    <definedName name="____obl12" localSheetId="23">#REF!</definedName>
    <definedName name="____obl12" localSheetId="24">#REF!</definedName>
    <definedName name="____obl12" localSheetId="21">#REF!</definedName>
    <definedName name="____obl12" localSheetId="20">#REF!</definedName>
    <definedName name="____obl12">#REF!</definedName>
    <definedName name="____obl13" localSheetId="19">#REF!</definedName>
    <definedName name="____obl13" localSheetId="23">#REF!</definedName>
    <definedName name="____obl13" localSheetId="24">#REF!</definedName>
    <definedName name="____obl13" localSheetId="21">#REF!</definedName>
    <definedName name="____obl13" localSheetId="20">#REF!</definedName>
    <definedName name="____obl13">#REF!</definedName>
    <definedName name="____obl14" localSheetId="19">#REF!</definedName>
    <definedName name="____obl14" localSheetId="23">#REF!</definedName>
    <definedName name="____obl14" localSheetId="24">#REF!</definedName>
    <definedName name="____obl14" localSheetId="21">#REF!</definedName>
    <definedName name="____obl14" localSheetId="20">#REF!</definedName>
    <definedName name="____obl14">#REF!</definedName>
    <definedName name="____obl15" localSheetId="19">#REF!</definedName>
    <definedName name="____obl15" localSheetId="23">#REF!</definedName>
    <definedName name="____obl15" localSheetId="24">#REF!</definedName>
    <definedName name="____obl15" localSheetId="21">#REF!</definedName>
    <definedName name="____obl15" localSheetId="20">#REF!</definedName>
    <definedName name="____obl15">#REF!</definedName>
    <definedName name="____obl16" localSheetId="19">#REF!</definedName>
    <definedName name="____obl16" localSheetId="23">#REF!</definedName>
    <definedName name="____obl16" localSheetId="24">#REF!</definedName>
    <definedName name="____obl16" localSheetId="21">#REF!</definedName>
    <definedName name="____obl16" localSheetId="20">#REF!</definedName>
    <definedName name="____obl16">#REF!</definedName>
    <definedName name="____obl17" localSheetId="19">#REF!</definedName>
    <definedName name="____obl17" localSheetId="23">#REF!</definedName>
    <definedName name="____obl17" localSheetId="24">#REF!</definedName>
    <definedName name="____obl17" localSheetId="21">#REF!</definedName>
    <definedName name="____obl17" localSheetId="20">#REF!</definedName>
    <definedName name="____obl17">#REF!</definedName>
    <definedName name="____obl1710" localSheetId="19">#REF!</definedName>
    <definedName name="____obl1710" localSheetId="23">#REF!</definedName>
    <definedName name="____obl1710" localSheetId="24">#REF!</definedName>
    <definedName name="____obl1710" localSheetId="21">#REF!</definedName>
    <definedName name="____obl1710" localSheetId="20">#REF!</definedName>
    <definedName name="____obl1710">#REF!</definedName>
    <definedName name="____obl1711" localSheetId="19">#REF!</definedName>
    <definedName name="____obl1711" localSheetId="23">#REF!</definedName>
    <definedName name="____obl1711" localSheetId="24">#REF!</definedName>
    <definedName name="____obl1711" localSheetId="21">#REF!</definedName>
    <definedName name="____obl1711" localSheetId="20">#REF!</definedName>
    <definedName name="____obl1711">#REF!</definedName>
    <definedName name="____obl1712" localSheetId="19">#REF!</definedName>
    <definedName name="____obl1712" localSheetId="23">#REF!</definedName>
    <definedName name="____obl1712" localSheetId="24">#REF!</definedName>
    <definedName name="____obl1712" localSheetId="21">#REF!</definedName>
    <definedName name="____obl1712" localSheetId="20">#REF!</definedName>
    <definedName name="____obl1712">#REF!</definedName>
    <definedName name="____obl1713" localSheetId="19">#REF!</definedName>
    <definedName name="____obl1713" localSheetId="23">#REF!</definedName>
    <definedName name="____obl1713" localSheetId="24">#REF!</definedName>
    <definedName name="____obl1713" localSheetId="21">#REF!</definedName>
    <definedName name="____obl1713" localSheetId="20">#REF!</definedName>
    <definedName name="____obl1713">#REF!</definedName>
    <definedName name="____obl1714" localSheetId="19">#REF!</definedName>
    <definedName name="____obl1714" localSheetId="23">#REF!</definedName>
    <definedName name="____obl1714" localSheetId="24">#REF!</definedName>
    <definedName name="____obl1714" localSheetId="21">#REF!</definedName>
    <definedName name="____obl1714" localSheetId="20">#REF!</definedName>
    <definedName name="____obl1714">#REF!</definedName>
    <definedName name="____obl1715" localSheetId="19">#REF!</definedName>
    <definedName name="____obl1715" localSheetId="23">#REF!</definedName>
    <definedName name="____obl1715" localSheetId="24">#REF!</definedName>
    <definedName name="____obl1715" localSheetId="21">#REF!</definedName>
    <definedName name="____obl1715" localSheetId="20">#REF!</definedName>
    <definedName name="____obl1715">#REF!</definedName>
    <definedName name="____obl1716" localSheetId="19">#REF!</definedName>
    <definedName name="____obl1716" localSheetId="23">#REF!</definedName>
    <definedName name="____obl1716" localSheetId="24">#REF!</definedName>
    <definedName name="____obl1716" localSheetId="21">#REF!</definedName>
    <definedName name="____obl1716" localSheetId="20">#REF!</definedName>
    <definedName name="____obl1716">#REF!</definedName>
    <definedName name="____obl1717" localSheetId="19">#REF!</definedName>
    <definedName name="____obl1717" localSheetId="23">#REF!</definedName>
    <definedName name="____obl1717" localSheetId="24">#REF!</definedName>
    <definedName name="____obl1717" localSheetId="21">#REF!</definedName>
    <definedName name="____obl1717" localSheetId="20">#REF!</definedName>
    <definedName name="____obl1717">#REF!</definedName>
    <definedName name="____obl1718" localSheetId="19">#REF!</definedName>
    <definedName name="____obl1718" localSheetId="23">#REF!</definedName>
    <definedName name="____obl1718" localSheetId="24">#REF!</definedName>
    <definedName name="____obl1718" localSheetId="21">#REF!</definedName>
    <definedName name="____obl1718" localSheetId="20">#REF!</definedName>
    <definedName name="____obl1718">#REF!</definedName>
    <definedName name="____obl1719" localSheetId="19">#REF!</definedName>
    <definedName name="____obl1719" localSheetId="23">#REF!</definedName>
    <definedName name="____obl1719" localSheetId="24">#REF!</definedName>
    <definedName name="____obl1719" localSheetId="21">#REF!</definedName>
    <definedName name="____obl1719" localSheetId="20">#REF!</definedName>
    <definedName name="____obl1719">#REF!</definedName>
    <definedName name="____obl173" localSheetId="19">#REF!</definedName>
    <definedName name="____obl173" localSheetId="23">#REF!</definedName>
    <definedName name="____obl173" localSheetId="24">#REF!</definedName>
    <definedName name="____obl173" localSheetId="21">#REF!</definedName>
    <definedName name="____obl173" localSheetId="20">#REF!</definedName>
    <definedName name="____obl173">#REF!</definedName>
    <definedName name="____obl174" localSheetId="19">#REF!</definedName>
    <definedName name="____obl174" localSheetId="23">#REF!</definedName>
    <definedName name="____obl174" localSheetId="24">#REF!</definedName>
    <definedName name="____obl174" localSheetId="21">#REF!</definedName>
    <definedName name="____obl174" localSheetId="20">#REF!</definedName>
    <definedName name="____obl174">#REF!</definedName>
    <definedName name="____obl175" localSheetId="19">#REF!</definedName>
    <definedName name="____obl175" localSheetId="23">#REF!</definedName>
    <definedName name="____obl175" localSheetId="24">#REF!</definedName>
    <definedName name="____obl175" localSheetId="21">#REF!</definedName>
    <definedName name="____obl175" localSheetId="20">#REF!</definedName>
    <definedName name="____obl175">#REF!</definedName>
    <definedName name="____obl176" localSheetId="19">#REF!</definedName>
    <definedName name="____obl176" localSheetId="23">#REF!</definedName>
    <definedName name="____obl176" localSheetId="24">#REF!</definedName>
    <definedName name="____obl176" localSheetId="21">#REF!</definedName>
    <definedName name="____obl176" localSheetId="20">#REF!</definedName>
    <definedName name="____obl176">#REF!</definedName>
    <definedName name="____obl177" localSheetId="19">#REF!</definedName>
    <definedName name="____obl177" localSheetId="23">#REF!</definedName>
    <definedName name="____obl177" localSheetId="24">#REF!</definedName>
    <definedName name="____obl177" localSheetId="21">#REF!</definedName>
    <definedName name="____obl177" localSheetId="20">#REF!</definedName>
    <definedName name="____obl177">#REF!</definedName>
    <definedName name="____obl178" localSheetId="19">#REF!</definedName>
    <definedName name="____obl178" localSheetId="23">#REF!</definedName>
    <definedName name="____obl178" localSheetId="24">#REF!</definedName>
    <definedName name="____obl178" localSheetId="21">#REF!</definedName>
    <definedName name="____obl178" localSheetId="20">#REF!</definedName>
    <definedName name="____obl178">#REF!</definedName>
    <definedName name="____obl179" localSheetId="19">#REF!</definedName>
    <definedName name="____obl179" localSheetId="23">#REF!</definedName>
    <definedName name="____obl179" localSheetId="24">#REF!</definedName>
    <definedName name="____obl179" localSheetId="21">#REF!</definedName>
    <definedName name="____obl179" localSheetId="20">#REF!</definedName>
    <definedName name="____obl179">#REF!</definedName>
    <definedName name="____obl18" localSheetId="19">#REF!</definedName>
    <definedName name="____obl18" localSheetId="23">#REF!</definedName>
    <definedName name="____obl18" localSheetId="24">#REF!</definedName>
    <definedName name="____obl18" localSheetId="21">#REF!</definedName>
    <definedName name="____obl18" localSheetId="20">#REF!</definedName>
    <definedName name="____obl18">#REF!</definedName>
    <definedName name="____obl181" localSheetId="19">#REF!</definedName>
    <definedName name="____obl181" localSheetId="23">#REF!</definedName>
    <definedName name="____obl181" localSheetId="24">#REF!</definedName>
    <definedName name="____obl181" localSheetId="21">#REF!</definedName>
    <definedName name="____obl181" localSheetId="20">#REF!</definedName>
    <definedName name="____obl181">#REF!</definedName>
    <definedName name="____obl1816" localSheetId="19">#REF!</definedName>
    <definedName name="____obl1816" localSheetId="23">#REF!</definedName>
    <definedName name="____obl1816" localSheetId="24">#REF!</definedName>
    <definedName name="____obl1816" localSheetId="21">#REF!</definedName>
    <definedName name="____obl1816" localSheetId="20">#REF!</definedName>
    <definedName name="____obl1816">#REF!</definedName>
    <definedName name="____obl1820" localSheetId="19">#REF!</definedName>
    <definedName name="____obl1820" localSheetId="23">#REF!</definedName>
    <definedName name="____obl1820" localSheetId="24">#REF!</definedName>
    <definedName name="____obl1820" localSheetId="21">#REF!</definedName>
    <definedName name="____obl1820" localSheetId="20">#REF!</definedName>
    <definedName name="____obl1820">#REF!</definedName>
    <definedName name="____obl1821" localSheetId="19">#REF!</definedName>
    <definedName name="____obl1821" localSheetId="23">#REF!</definedName>
    <definedName name="____obl1821" localSheetId="24">#REF!</definedName>
    <definedName name="____obl1821" localSheetId="21">#REF!</definedName>
    <definedName name="____obl1821" localSheetId="20">#REF!</definedName>
    <definedName name="____obl1821">#REF!</definedName>
    <definedName name="____obl1822" localSheetId="19">#REF!</definedName>
    <definedName name="____obl1822" localSheetId="23">#REF!</definedName>
    <definedName name="____obl1822" localSheetId="24">#REF!</definedName>
    <definedName name="____obl1822" localSheetId="21">#REF!</definedName>
    <definedName name="____obl1822" localSheetId="20">#REF!</definedName>
    <definedName name="____obl1822">#REF!</definedName>
    <definedName name="____obl1823" localSheetId="19">#REF!</definedName>
    <definedName name="____obl1823" localSheetId="23">#REF!</definedName>
    <definedName name="____obl1823" localSheetId="24">#REF!</definedName>
    <definedName name="____obl1823" localSheetId="21">#REF!</definedName>
    <definedName name="____obl1823" localSheetId="20">#REF!</definedName>
    <definedName name="____obl1823">#REF!</definedName>
    <definedName name="____obl1824" localSheetId="19">#REF!</definedName>
    <definedName name="____obl1824" localSheetId="23">#REF!</definedName>
    <definedName name="____obl1824" localSheetId="24">#REF!</definedName>
    <definedName name="____obl1824" localSheetId="21">#REF!</definedName>
    <definedName name="____obl1824" localSheetId="20">#REF!</definedName>
    <definedName name="____obl1824">#REF!</definedName>
    <definedName name="____obl1825" localSheetId="19">#REF!</definedName>
    <definedName name="____obl1825" localSheetId="23">#REF!</definedName>
    <definedName name="____obl1825" localSheetId="24">#REF!</definedName>
    <definedName name="____obl1825" localSheetId="21">#REF!</definedName>
    <definedName name="____obl1825" localSheetId="20">#REF!</definedName>
    <definedName name="____obl1825">#REF!</definedName>
    <definedName name="____obl1826" localSheetId="19">#REF!</definedName>
    <definedName name="____obl1826" localSheetId="23">#REF!</definedName>
    <definedName name="____obl1826" localSheetId="24">#REF!</definedName>
    <definedName name="____obl1826" localSheetId="21">#REF!</definedName>
    <definedName name="____obl1826" localSheetId="20">#REF!</definedName>
    <definedName name="____obl1826">#REF!</definedName>
    <definedName name="____obl1827" localSheetId="19">#REF!</definedName>
    <definedName name="____obl1827" localSheetId="23">#REF!</definedName>
    <definedName name="____obl1827" localSheetId="24">#REF!</definedName>
    <definedName name="____obl1827" localSheetId="21">#REF!</definedName>
    <definedName name="____obl1827" localSheetId="20">#REF!</definedName>
    <definedName name="____obl1827">#REF!</definedName>
    <definedName name="____obl1828" localSheetId="19">#REF!</definedName>
    <definedName name="____obl1828" localSheetId="23">#REF!</definedName>
    <definedName name="____obl1828" localSheetId="24">#REF!</definedName>
    <definedName name="____obl1828" localSheetId="21">#REF!</definedName>
    <definedName name="____obl1828" localSheetId="20">#REF!</definedName>
    <definedName name="____obl1828">#REF!</definedName>
    <definedName name="____obl1829" localSheetId="19">#REF!</definedName>
    <definedName name="____obl1829" localSheetId="23">#REF!</definedName>
    <definedName name="____obl1829" localSheetId="24">#REF!</definedName>
    <definedName name="____obl1829" localSheetId="21">#REF!</definedName>
    <definedName name="____obl1829" localSheetId="20">#REF!</definedName>
    <definedName name="____obl1829">#REF!</definedName>
    <definedName name="____obl183" localSheetId="19">#REF!</definedName>
    <definedName name="____obl183" localSheetId="23">#REF!</definedName>
    <definedName name="____obl183" localSheetId="24">#REF!</definedName>
    <definedName name="____obl183" localSheetId="21">#REF!</definedName>
    <definedName name="____obl183" localSheetId="20">#REF!</definedName>
    <definedName name="____obl183">#REF!</definedName>
    <definedName name="____obl1831" localSheetId="19">#REF!</definedName>
    <definedName name="____obl1831" localSheetId="23">#REF!</definedName>
    <definedName name="____obl1831" localSheetId="24">#REF!</definedName>
    <definedName name="____obl1831" localSheetId="21">#REF!</definedName>
    <definedName name="____obl1831" localSheetId="20">#REF!</definedName>
    <definedName name="____obl1831">#REF!</definedName>
    <definedName name="____obl1832" localSheetId="19">#REF!</definedName>
    <definedName name="____obl1832" localSheetId="23">#REF!</definedName>
    <definedName name="____obl1832" localSheetId="24">#REF!</definedName>
    <definedName name="____obl1832" localSheetId="21">#REF!</definedName>
    <definedName name="____obl1832" localSheetId="20">#REF!</definedName>
    <definedName name="____obl1832">#REF!</definedName>
    <definedName name="____obl184" localSheetId="19">#REF!</definedName>
    <definedName name="____obl184" localSheetId="23">#REF!</definedName>
    <definedName name="____obl184" localSheetId="24">#REF!</definedName>
    <definedName name="____obl184" localSheetId="21">#REF!</definedName>
    <definedName name="____obl184" localSheetId="20">#REF!</definedName>
    <definedName name="____obl184">#REF!</definedName>
    <definedName name="____obl185" localSheetId="19">#REF!</definedName>
    <definedName name="____obl185" localSheetId="23">#REF!</definedName>
    <definedName name="____obl185" localSheetId="24">#REF!</definedName>
    <definedName name="____obl185" localSheetId="21">#REF!</definedName>
    <definedName name="____obl185" localSheetId="20">#REF!</definedName>
    <definedName name="____obl185">#REF!</definedName>
    <definedName name="____obl186" localSheetId="19">#REF!</definedName>
    <definedName name="____obl186" localSheetId="23">#REF!</definedName>
    <definedName name="____obl186" localSheetId="24">#REF!</definedName>
    <definedName name="____obl186" localSheetId="21">#REF!</definedName>
    <definedName name="____obl186" localSheetId="20">#REF!</definedName>
    <definedName name="____obl186">#REF!</definedName>
    <definedName name="____obl187" localSheetId="19">#REF!</definedName>
    <definedName name="____obl187" localSheetId="23">#REF!</definedName>
    <definedName name="____obl187" localSheetId="24">#REF!</definedName>
    <definedName name="____obl187" localSheetId="21">#REF!</definedName>
    <definedName name="____obl187" localSheetId="20">#REF!</definedName>
    <definedName name="____obl187">#REF!</definedName>
    <definedName name="___obl11" localSheetId="19">#REF!</definedName>
    <definedName name="___obl11" localSheetId="23">#REF!</definedName>
    <definedName name="___obl11" localSheetId="21">#REF!</definedName>
    <definedName name="___obl11">#REF!</definedName>
    <definedName name="___obl12" localSheetId="19">#REF!</definedName>
    <definedName name="___obl12" localSheetId="23">#REF!</definedName>
    <definedName name="___obl12" localSheetId="21">#REF!</definedName>
    <definedName name="___obl12">#REF!</definedName>
    <definedName name="___obl13" localSheetId="19">#REF!</definedName>
    <definedName name="___obl13" localSheetId="23">#REF!</definedName>
    <definedName name="___obl13" localSheetId="21">#REF!</definedName>
    <definedName name="___obl13">#REF!</definedName>
    <definedName name="___obl14" localSheetId="19">#REF!</definedName>
    <definedName name="___obl14" localSheetId="23">#REF!</definedName>
    <definedName name="___obl14" localSheetId="21">#REF!</definedName>
    <definedName name="___obl14">#REF!</definedName>
    <definedName name="___obl15" localSheetId="19">#REF!</definedName>
    <definedName name="___obl15" localSheetId="23">#REF!</definedName>
    <definedName name="___obl15" localSheetId="21">#REF!</definedName>
    <definedName name="___obl15">#REF!</definedName>
    <definedName name="___obl16" localSheetId="19">#REF!</definedName>
    <definedName name="___obl16" localSheetId="23">#REF!</definedName>
    <definedName name="___obl16" localSheetId="21">#REF!</definedName>
    <definedName name="___obl16">#REF!</definedName>
    <definedName name="___obl17" localSheetId="19">#REF!</definedName>
    <definedName name="___obl17" localSheetId="23">#REF!</definedName>
    <definedName name="___obl17" localSheetId="21">#REF!</definedName>
    <definedName name="___obl17">#REF!</definedName>
    <definedName name="___obl1710" localSheetId="19">#REF!</definedName>
    <definedName name="___obl1710" localSheetId="23">#REF!</definedName>
    <definedName name="___obl1710" localSheetId="21">#REF!</definedName>
    <definedName name="___obl1710">#REF!</definedName>
    <definedName name="___obl1711" localSheetId="19">#REF!</definedName>
    <definedName name="___obl1711" localSheetId="23">#REF!</definedName>
    <definedName name="___obl1711" localSheetId="21">#REF!</definedName>
    <definedName name="___obl1711">#REF!</definedName>
    <definedName name="___obl1712" localSheetId="19">#REF!</definedName>
    <definedName name="___obl1712" localSheetId="23">#REF!</definedName>
    <definedName name="___obl1712" localSheetId="21">#REF!</definedName>
    <definedName name="___obl1712">#REF!</definedName>
    <definedName name="___obl1713" localSheetId="19">#REF!</definedName>
    <definedName name="___obl1713" localSheetId="23">#REF!</definedName>
    <definedName name="___obl1713" localSheetId="21">#REF!</definedName>
    <definedName name="___obl1713">#REF!</definedName>
    <definedName name="___obl1714" localSheetId="19">#REF!</definedName>
    <definedName name="___obl1714" localSheetId="23">#REF!</definedName>
    <definedName name="___obl1714" localSheetId="21">#REF!</definedName>
    <definedName name="___obl1714">#REF!</definedName>
    <definedName name="___obl1715" localSheetId="19">#REF!</definedName>
    <definedName name="___obl1715" localSheetId="23">#REF!</definedName>
    <definedName name="___obl1715" localSheetId="21">#REF!</definedName>
    <definedName name="___obl1715">#REF!</definedName>
    <definedName name="___obl1716" localSheetId="19">#REF!</definedName>
    <definedName name="___obl1716" localSheetId="23">#REF!</definedName>
    <definedName name="___obl1716" localSheetId="21">#REF!</definedName>
    <definedName name="___obl1716">#REF!</definedName>
    <definedName name="___obl1717" localSheetId="19">#REF!</definedName>
    <definedName name="___obl1717" localSheetId="23">#REF!</definedName>
    <definedName name="___obl1717" localSheetId="21">#REF!</definedName>
    <definedName name="___obl1717">#REF!</definedName>
    <definedName name="___obl1718" localSheetId="19">#REF!</definedName>
    <definedName name="___obl1718" localSheetId="23">#REF!</definedName>
    <definedName name="___obl1718" localSheetId="21">#REF!</definedName>
    <definedName name="___obl1718">#REF!</definedName>
    <definedName name="___obl1719" localSheetId="19">#REF!</definedName>
    <definedName name="___obl1719" localSheetId="23">#REF!</definedName>
    <definedName name="___obl1719" localSheetId="21">#REF!</definedName>
    <definedName name="___obl1719">#REF!</definedName>
    <definedName name="___obl173" localSheetId="19">#REF!</definedName>
    <definedName name="___obl173" localSheetId="23">#REF!</definedName>
    <definedName name="___obl173" localSheetId="21">#REF!</definedName>
    <definedName name="___obl173">#REF!</definedName>
    <definedName name="___obl174" localSheetId="19">#REF!</definedName>
    <definedName name="___obl174" localSheetId="23">#REF!</definedName>
    <definedName name="___obl174" localSheetId="21">#REF!</definedName>
    <definedName name="___obl174">#REF!</definedName>
    <definedName name="___obl175" localSheetId="19">#REF!</definedName>
    <definedName name="___obl175" localSheetId="23">#REF!</definedName>
    <definedName name="___obl175" localSheetId="21">#REF!</definedName>
    <definedName name="___obl175">#REF!</definedName>
    <definedName name="___obl176" localSheetId="19">#REF!</definedName>
    <definedName name="___obl176" localSheetId="23">#REF!</definedName>
    <definedName name="___obl176" localSheetId="21">#REF!</definedName>
    <definedName name="___obl176">#REF!</definedName>
    <definedName name="___obl177" localSheetId="19">#REF!</definedName>
    <definedName name="___obl177" localSheetId="23">#REF!</definedName>
    <definedName name="___obl177" localSheetId="21">#REF!</definedName>
    <definedName name="___obl177">#REF!</definedName>
    <definedName name="___obl178" localSheetId="19">#REF!</definedName>
    <definedName name="___obl178" localSheetId="23">#REF!</definedName>
    <definedName name="___obl178" localSheetId="21">#REF!</definedName>
    <definedName name="___obl178">#REF!</definedName>
    <definedName name="___obl179" localSheetId="19">#REF!</definedName>
    <definedName name="___obl179" localSheetId="23">#REF!</definedName>
    <definedName name="___obl179" localSheetId="21">#REF!</definedName>
    <definedName name="___obl179">#REF!</definedName>
    <definedName name="___obl18" localSheetId="19">#REF!</definedName>
    <definedName name="___obl18" localSheetId="23">#REF!</definedName>
    <definedName name="___obl18" localSheetId="21">#REF!</definedName>
    <definedName name="___obl18">#REF!</definedName>
    <definedName name="___obl181" localSheetId="19">#REF!</definedName>
    <definedName name="___obl181" localSheetId="23">#REF!</definedName>
    <definedName name="___obl181" localSheetId="21">#REF!</definedName>
    <definedName name="___obl181">#REF!</definedName>
    <definedName name="___obl1816" localSheetId="19">#REF!</definedName>
    <definedName name="___obl1816" localSheetId="23">#REF!</definedName>
    <definedName name="___obl1816" localSheetId="21">#REF!</definedName>
    <definedName name="___obl1816">#REF!</definedName>
    <definedName name="___obl1820" localSheetId="19">#REF!</definedName>
    <definedName name="___obl1820" localSheetId="23">#REF!</definedName>
    <definedName name="___obl1820" localSheetId="21">#REF!</definedName>
    <definedName name="___obl1820">#REF!</definedName>
    <definedName name="___obl1821" localSheetId="19">#REF!</definedName>
    <definedName name="___obl1821" localSheetId="23">#REF!</definedName>
    <definedName name="___obl1821" localSheetId="21">#REF!</definedName>
    <definedName name="___obl1821">#REF!</definedName>
    <definedName name="___obl1822" localSheetId="19">#REF!</definedName>
    <definedName name="___obl1822" localSheetId="23">#REF!</definedName>
    <definedName name="___obl1822" localSheetId="21">#REF!</definedName>
    <definedName name="___obl1822">#REF!</definedName>
    <definedName name="___obl1823" localSheetId="19">#REF!</definedName>
    <definedName name="___obl1823" localSheetId="23">#REF!</definedName>
    <definedName name="___obl1823" localSheetId="21">#REF!</definedName>
    <definedName name="___obl1823">#REF!</definedName>
    <definedName name="___obl1824" localSheetId="19">#REF!</definedName>
    <definedName name="___obl1824" localSheetId="23">#REF!</definedName>
    <definedName name="___obl1824" localSheetId="21">#REF!</definedName>
    <definedName name="___obl1824">#REF!</definedName>
    <definedName name="___obl1825" localSheetId="19">#REF!</definedName>
    <definedName name="___obl1825" localSheetId="23">#REF!</definedName>
    <definedName name="___obl1825" localSheetId="21">#REF!</definedName>
    <definedName name="___obl1825">#REF!</definedName>
    <definedName name="___obl1826" localSheetId="19">#REF!</definedName>
    <definedName name="___obl1826" localSheetId="23">#REF!</definedName>
    <definedName name="___obl1826" localSheetId="21">#REF!</definedName>
    <definedName name="___obl1826">#REF!</definedName>
    <definedName name="___obl1827" localSheetId="19">#REF!</definedName>
    <definedName name="___obl1827" localSheetId="23">#REF!</definedName>
    <definedName name="___obl1827" localSheetId="21">#REF!</definedName>
    <definedName name="___obl1827">#REF!</definedName>
    <definedName name="___obl1828" localSheetId="19">#REF!</definedName>
    <definedName name="___obl1828" localSheetId="23">#REF!</definedName>
    <definedName name="___obl1828" localSheetId="21">#REF!</definedName>
    <definedName name="___obl1828">#REF!</definedName>
    <definedName name="___obl1829" localSheetId="19">#REF!</definedName>
    <definedName name="___obl1829" localSheetId="23">#REF!</definedName>
    <definedName name="___obl1829" localSheetId="21">#REF!</definedName>
    <definedName name="___obl1829">#REF!</definedName>
    <definedName name="___obl183" localSheetId="19">#REF!</definedName>
    <definedName name="___obl183" localSheetId="23">#REF!</definedName>
    <definedName name="___obl183" localSheetId="21">#REF!</definedName>
    <definedName name="___obl183">#REF!</definedName>
    <definedName name="___obl1831" localSheetId="19">#REF!</definedName>
    <definedName name="___obl1831" localSheetId="23">#REF!</definedName>
    <definedName name="___obl1831" localSheetId="21">#REF!</definedName>
    <definedName name="___obl1831">#REF!</definedName>
    <definedName name="___obl1832" localSheetId="19">#REF!</definedName>
    <definedName name="___obl1832" localSheetId="23">#REF!</definedName>
    <definedName name="___obl1832" localSheetId="21">#REF!</definedName>
    <definedName name="___obl1832">#REF!</definedName>
    <definedName name="___obl184" localSheetId="19">#REF!</definedName>
    <definedName name="___obl184" localSheetId="23">#REF!</definedName>
    <definedName name="___obl184" localSheetId="21">#REF!</definedName>
    <definedName name="___obl184">#REF!</definedName>
    <definedName name="___obl185" localSheetId="19">#REF!</definedName>
    <definedName name="___obl185" localSheetId="23">#REF!</definedName>
    <definedName name="___obl185" localSheetId="21">#REF!</definedName>
    <definedName name="___obl185">#REF!</definedName>
    <definedName name="___obl186" localSheetId="19">#REF!</definedName>
    <definedName name="___obl186" localSheetId="23">#REF!</definedName>
    <definedName name="___obl186" localSheetId="21">#REF!</definedName>
    <definedName name="___obl186">#REF!</definedName>
    <definedName name="___obl187" localSheetId="19">#REF!</definedName>
    <definedName name="___obl187" localSheetId="23">#REF!</definedName>
    <definedName name="___obl187" localSheetId="21">#REF!</definedName>
    <definedName name="___obl187">#REF!</definedName>
    <definedName name="__obl11" localSheetId="2">#REF!</definedName>
    <definedName name="__obl11" localSheetId="4">#REF!</definedName>
    <definedName name="__obl11" localSheetId="5">#REF!</definedName>
    <definedName name="__obl11" localSheetId="11">#REF!</definedName>
    <definedName name="__obl11" localSheetId="19">#REF!</definedName>
    <definedName name="__obl11" localSheetId="14">#REF!</definedName>
    <definedName name="__obl11" localSheetId="13">#REF!</definedName>
    <definedName name="__obl11" localSheetId="23">#REF!</definedName>
    <definedName name="__obl11" localSheetId="24">#REF!</definedName>
    <definedName name="__obl11" localSheetId="21">#REF!</definedName>
    <definedName name="__obl11" localSheetId="20">#REF!</definedName>
    <definedName name="__obl11">#REF!</definedName>
    <definedName name="__obl12" localSheetId="2">#REF!</definedName>
    <definedName name="__obl12" localSheetId="4">#REF!</definedName>
    <definedName name="__obl12" localSheetId="5">#REF!</definedName>
    <definedName name="__obl12" localSheetId="11">#REF!</definedName>
    <definedName name="__obl12" localSheetId="19">#REF!</definedName>
    <definedName name="__obl12" localSheetId="14">#REF!</definedName>
    <definedName name="__obl12" localSheetId="13">#REF!</definedName>
    <definedName name="__obl12" localSheetId="23">#REF!</definedName>
    <definedName name="__obl12" localSheetId="24">#REF!</definedName>
    <definedName name="__obl12" localSheetId="21">#REF!</definedName>
    <definedName name="__obl12" localSheetId="20">#REF!</definedName>
    <definedName name="__obl12">#REF!</definedName>
    <definedName name="__obl13" localSheetId="2">#REF!</definedName>
    <definedName name="__obl13" localSheetId="4">#REF!</definedName>
    <definedName name="__obl13" localSheetId="5">#REF!</definedName>
    <definedName name="__obl13" localSheetId="11">#REF!</definedName>
    <definedName name="__obl13" localSheetId="19">#REF!</definedName>
    <definedName name="__obl13" localSheetId="14">#REF!</definedName>
    <definedName name="__obl13" localSheetId="13">#REF!</definedName>
    <definedName name="__obl13" localSheetId="23">#REF!</definedName>
    <definedName name="__obl13" localSheetId="24">#REF!</definedName>
    <definedName name="__obl13" localSheetId="21">#REF!</definedName>
    <definedName name="__obl13" localSheetId="20">#REF!</definedName>
    <definedName name="__obl13">#REF!</definedName>
    <definedName name="__obl14" localSheetId="2">#REF!</definedName>
    <definedName name="__obl14" localSheetId="4">#REF!</definedName>
    <definedName name="__obl14" localSheetId="5">#REF!</definedName>
    <definedName name="__obl14" localSheetId="11">#REF!</definedName>
    <definedName name="__obl14" localSheetId="19">#REF!</definedName>
    <definedName name="__obl14" localSheetId="14">#REF!</definedName>
    <definedName name="__obl14" localSheetId="13">#REF!</definedName>
    <definedName name="__obl14" localSheetId="23">#REF!</definedName>
    <definedName name="__obl14" localSheetId="24">#REF!</definedName>
    <definedName name="__obl14" localSheetId="21">#REF!</definedName>
    <definedName name="__obl14" localSheetId="20">#REF!</definedName>
    <definedName name="__obl14">#REF!</definedName>
    <definedName name="__obl15" localSheetId="2">#REF!</definedName>
    <definedName name="__obl15" localSheetId="4">#REF!</definedName>
    <definedName name="__obl15" localSheetId="5">#REF!</definedName>
    <definedName name="__obl15" localSheetId="11">#REF!</definedName>
    <definedName name="__obl15" localSheetId="19">#REF!</definedName>
    <definedName name="__obl15" localSheetId="14">#REF!</definedName>
    <definedName name="__obl15" localSheetId="13">#REF!</definedName>
    <definedName name="__obl15" localSheetId="23">#REF!</definedName>
    <definedName name="__obl15" localSheetId="24">#REF!</definedName>
    <definedName name="__obl15" localSheetId="21">#REF!</definedName>
    <definedName name="__obl15" localSheetId="20">#REF!</definedName>
    <definedName name="__obl15">#REF!</definedName>
    <definedName name="__obl16" localSheetId="2">#REF!</definedName>
    <definedName name="__obl16" localSheetId="4">#REF!</definedName>
    <definedName name="__obl16" localSheetId="5">#REF!</definedName>
    <definedName name="__obl16" localSheetId="11">#REF!</definedName>
    <definedName name="__obl16" localSheetId="19">#REF!</definedName>
    <definedName name="__obl16" localSheetId="14">#REF!</definedName>
    <definedName name="__obl16" localSheetId="13">#REF!</definedName>
    <definedName name="__obl16" localSheetId="23">#REF!</definedName>
    <definedName name="__obl16" localSheetId="24">#REF!</definedName>
    <definedName name="__obl16" localSheetId="21">#REF!</definedName>
    <definedName name="__obl16" localSheetId="20">#REF!</definedName>
    <definedName name="__obl16">#REF!</definedName>
    <definedName name="__obl17" localSheetId="2">#REF!</definedName>
    <definedName name="__obl17" localSheetId="4">#REF!</definedName>
    <definedName name="__obl17" localSheetId="5">#REF!</definedName>
    <definedName name="__obl17" localSheetId="11">#REF!</definedName>
    <definedName name="__obl17" localSheetId="19">#REF!</definedName>
    <definedName name="__obl17" localSheetId="14">#REF!</definedName>
    <definedName name="__obl17" localSheetId="13">#REF!</definedName>
    <definedName name="__obl17" localSheetId="23">#REF!</definedName>
    <definedName name="__obl17" localSheetId="24">#REF!</definedName>
    <definedName name="__obl17" localSheetId="21">#REF!</definedName>
    <definedName name="__obl17" localSheetId="20">#REF!</definedName>
    <definedName name="__obl17">#REF!</definedName>
    <definedName name="__obl1710" localSheetId="2">#REF!</definedName>
    <definedName name="__obl1710" localSheetId="4">#REF!</definedName>
    <definedName name="__obl1710" localSheetId="5">#REF!</definedName>
    <definedName name="__obl1710" localSheetId="11">#REF!</definedName>
    <definedName name="__obl1710" localSheetId="19">#REF!</definedName>
    <definedName name="__obl1710" localSheetId="14">#REF!</definedName>
    <definedName name="__obl1710" localSheetId="13">#REF!</definedName>
    <definedName name="__obl1710" localSheetId="23">#REF!</definedName>
    <definedName name="__obl1710" localSheetId="24">#REF!</definedName>
    <definedName name="__obl1710" localSheetId="21">#REF!</definedName>
    <definedName name="__obl1710" localSheetId="20">#REF!</definedName>
    <definedName name="__obl1710">#REF!</definedName>
    <definedName name="__obl1711" localSheetId="2">#REF!</definedName>
    <definedName name="__obl1711" localSheetId="4">#REF!</definedName>
    <definedName name="__obl1711" localSheetId="5">#REF!</definedName>
    <definedName name="__obl1711" localSheetId="11">#REF!</definedName>
    <definedName name="__obl1711" localSheetId="19">#REF!</definedName>
    <definedName name="__obl1711" localSheetId="14">#REF!</definedName>
    <definedName name="__obl1711" localSheetId="13">#REF!</definedName>
    <definedName name="__obl1711" localSheetId="23">#REF!</definedName>
    <definedName name="__obl1711" localSheetId="24">#REF!</definedName>
    <definedName name="__obl1711" localSheetId="21">#REF!</definedName>
    <definedName name="__obl1711" localSheetId="20">#REF!</definedName>
    <definedName name="__obl1711">#REF!</definedName>
    <definedName name="__obl1712" localSheetId="2">#REF!</definedName>
    <definedName name="__obl1712" localSheetId="4">#REF!</definedName>
    <definedName name="__obl1712" localSheetId="5">#REF!</definedName>
    <definedName name="__obl1712" localSheetId="11">#REF!</definedName>
    <definedName name="__obl1712" localSheetId="19">#REF!</definedName>
    <definedName name="__obl1712" localSheetId="14">#REF!</definedName>
    <definedName name="__obl1712" localSheetId="13">#REF!</definedName>
    <definedName name="__obl1712" localSheetId="23">#REF!</definedName>
    <definedName name="__obl1712" localSheetId="24">#REF!</definedName>
    <definedName name="__obl1712" localSheetId="21">#REF!</definedName>
    <definedName name="__obl1712" localSheetId="20">#REF!</definedName>
    <definedName name="__obl1712">#REF!</definedName>
    <definedName name="__obl1713" localSheetId="2">#REF!</definedName>
    <definedName name="__obl1713" localSheetId="4">#REF!</definedName>
    <definedName name="__obl1713" localSheetId="5">#REF!</definedName>
    <definedName name="__obl1713" localSheetId="11">#REF!</definedName>
    <definedName name="__obl1713" localSheetId="19">#REF!</definedName>
    <definedName name="__obl1713" localSheetId="14">#REF!</definedName>
    <definedName name="__obl1713" localSheetId="13">#REF!</definedName>
    <definedName name="__obl1713" localSheetId="23">#REF!</definedName>
    <definedName name="__obl1713" localSheetId="24">#REF!</definedName>
    <definedName name="__obl1713" localSheetId="21">#REF!</definedName>
    <definedName name="__obl1713" localSheetId="20">#REF!</definedName>
    <definedName name="__obl1713">#REF!</definedName>
    <definedName name="__obl1714" localSheetId="2">#REF!</definedName>
    <definedName name="__obl1714" localSheetId="4">#REF!</definedName>
    <definedName name="__obl1714" localSheetId="5">#REF!</definedName>
    <definedName name="__obl1714" localSheetId="11">#REF!</definedName>
    <definedName name="__obl1714" localSheetId="19">#REF!</definedName>
    <definedName name="__obl1714" localSheetId="14">#REF!</definedName>
    <definedName name="__obl1714" localSheetId="13">#REF!</definedName>
    <definedName name="__obl1714" localSheetId="23">#REF!</definedName>
    <definedName name="__obl1714" localSheetId="24">#REF!</definedName>
    <definedName name="__obl1714" localSheetId="21">#REF!</definedName>
    <definedName name="__obl1714" localSheetId="20">#REF!</definedName>
    <definedName name="__obl1714">#REF!</definedName>
    <definedName name="__obl1715" localSheetId="2">#REF!</definedName>
    <definedName name="__obl1715" localSheetId="4">#REF!</definedName>
    <definedName name="__obl1715" localSheetId="5">#REF!</definedName>
    <definedName name="__obl1715" localSheetId="11">#REF!</definedName>
    <definedName name="__obl1715" localSheetId="19">#REF!</definedName>
    <definedName name="__obl1715" localSheetId="14">#REF!</definedName>
    <definedName name="__obl1715" localSheetId="13">#REF!</definedName>
    <definedName name="__obl1715" localSheetId="23">#REF!</definedName>
    <definedName name="__obl1715" localSheetId="24">#REF!</definedName>
    <definedName name="__obl1715" localSheetId="21">#REF!</definedName>
    <definedName name="__obl1715" localSheetId="20">#REF!</definedName>
    <definedName name="__obl1715">#REF!</definedName>
    <definedName name="__obl1716" localSheetId="2">#REF!</definedName>
    <definedName name="__obl1716" localSheetId="4">#REF!</definedName>
    <definedName name="__obl1716" localSheetId="5">#REF!</definedName>
    <definedName name="__obl1716" localSheetId="11">#REF!</definedName>
    <definedName name="__obl1716" localSheetId="19">#REF!</definedName>
    <definedName name="__obl1716" localSheetId="14">#REF!</definedName>
    <definedName name="__obl1716" localSheetId="13">#REF!</definedName>
    <definedName name="__obl1716" localSheetId="23">#REF!</definedName>
    <definedName name="__obl1716" localSheetId="24">#REF!</definedName>
    <definedName name="__obl1716" localSheetId="21">#REF!</definedName>
    <definedName name="__obl1716" localSheetId="20">#REF!</definedName>
    <definedName name="__obl1716">#REF!</definedName>
    <definedName name="__obl1717" localSheetId="2">#REF!</definedName>
    <definedName name="__obl1717" localSheetId="4">#REF!</definedName>
    <definedName name="__obl1717" localSheetId="5">#REF!</definedName>
    <definedName name="__obl1717" localSheetId="11">#REF!</definedName>
    <definedName name="__obl1717" localSheetId="19">#REF!</definedName>
    <definedName name="__obl1717" localSheetId="14">#REF!</definedName>
    <definedName name="__obl1717" localSheetId="13">#REF!</definedName>
    <definedName name="__obl1717" localSheetId="23">#REF!</definedName>
    <definedName name="__obl1717" localSheetId="24">#REF!</definedName>
    <definedName name="__obl1717" localSheetId="21">#REF!</definedName>
    <definedName name="__obl1717" localSheetId="20">#REF!</definedName>
    <definedName name="__obl1717">#REF!</definedName>
    <definedName name="__obl1718" localSheetId="2">#REF!</definedName>
    <definedName name="__obl1718" localSheetId="4">#REF!</definedName>
    <definedName name="__obl1718" localSheetId="5">#REF!</definedName>
    <definedName name="__obl1718" localSheetId="11">#REF!</definedName>
    <definedName name="__obl1718" localSheetId="19">#REF!</definedName>
    <definedName name="__obl1718" localSheetId="14">#REF!</definedName>
    <definedName name="__obl1718" localSheetId="13">#REF!</definedName>
    <definedName name="__obl1718" localSheetId="23">#REF!</definedName>
    <definedName name="__obl1718" localSheetId="24">#REF!</definedName>
    <definedName name="__obl1718" localSheetId="21">#REF!</definedName>
    <definedName name="__obl1718" localSheetId="20">#REF!</definedName>
    <definedName name="__obl1718">#REF!</definedName>
    <definedName name="__obl1719" localSheetId="2">#REF!</definedName>
    <definedName name="__obl1719" localSheetId="4">#REF!</definedName>
    <definedName name="__obl1719" localSheetId="5">#REF!</definedName>
    <definedName name="__obl1719" localSheetId="11">#REF!</definedName>
    <definedName name="__obl1719" localSheetId="19">#REF!</definedName>
    <definedName name="__obl1719" localSheetId="14">#REF!</definedName>
    <definedName name="__obl1719" localSheetId="13">#REF!</definedName>
    <definedName name="__obl1719" localSheetId="23">#REF!</definedName>
    <definedName name="__obl1719" localSheetId="24">#REF!</definedName>
    <definedName name="__obl1719" localSheetId="21">#REF!</definedName>
    <definedName name="__obl1719" localSheetId="20">#REF!</definedName>
    <definedName name="__obl1719">#REF!</definedName>
    <definedName name="__obl173" localSheetId="2">#REF!</definedName>
    <definedName name="__obl173" localSheetId="4">#REF!</definedName>
    <definedName name="__obl173" localSheetId="5">#REF!</definedName>
    <definedName name="__obl173" localSheetId="11">#REF!</definedName>
    <definedName name="__obl173" localSheetId="19">#REF!</definedName>
    <definedName name="__obl173" localSheetId="14">#REF!</definedName>
    <definedName name="__obl173" localSheetId="13">#REF!</definedName>
    <definedName name="__obl173" localSheetId="23">#REF!</definedName>
    <definedName name="__obl173" localSheetId="24">#REF!</definedName>
    <definedName name="__obl173" localSheetId="21">#REF!</definedName>
    <definedName name="__obl173" localSheetId="20">#REF!</definedName>
    <definedName name="__obl173">#REF!</definedName>
    <definedName name="__obl174" localSheetId="2">#REF!</definedName>
    <definedName name="__obl174" localSheetId="4">#REF!</definedName>
    <definedName name="__obl174" localSheetId="5">#REF!</definedName>
    <definedName name="__obl174" localSheetId="11">#REF!</definedName>
    <definedName name="__obl174" localSheetId="19">#REF!</definedName>
    <definedName name="__obl174" localSheetId="14">#REF!</definedName>
    <definedName name="__obl174" localSheetId="13">#REF!</definedName>
    <definedName name="__obl174" localSheetId="23">#REF!</definedName>
    <definedName name="__obl174" localSheetId="24">#REF!</definedName>
    <definedName name="__obl174" localSheetId="21">#REF!</definedName>
    <definedName name="__obl174" localSheetId="20">#REF!</definedName>
    <definedName name="__obl174">#REF!</definedName>
    <definedName name="__obl175" localSheetId="2">#REF!</definedName>
    <definedName name="__obl175" localSheetId="4">#REF!</definedName>
    <definedName name="__obl175" localSheetId="5">#REF!</definedName>
    <definedName name="__obl175" localSheetId="11">#REF!</definedName>
    <definedName name="__obl175" localSheetId="19">#REF!</definedName>
    <definedName name="__obl175" localSheetId="14">#REF!</definedName>
    <definedName name="__obl175" localSheetId="13">#REF!</definedName>
    <definedName name="__obl175" localSheetId="23">#REF!</definedName>
    <definedName name="__obl175" localSheetId="24">#REF!</definedName>
    <definedName name="__obl175" localSheetId="21">#REF!</definedName>
    <definedName name="__obl175" localSheetId="20">#REF!</definedName>
    <definedName name="__obl175">#REF!</definedName>
    <definedName name="__obl176" localSheetId="2">#REF!</definedName>
    <definedName name="__obl176" localSheetId="4">#REF!</definedName>
    <definedName name="__obl176" localSheetId="5">#REF!</definedName>
    <definedName name="__obl176" localSheetId="11">#REF!</definedName>
    <definedName name="__obl176" localSheetId="19">#REF!</definedName>
    <definedName name="__obl176" localSheetId="14">#REF!</definedName>
    <definedName name="__obl176" localSheetId="13">#REF!</definedName>
    <definedName name="__obl176" localSheetId="23">#REF!</definedName>
    <definedName name="__obl176" localSheetId="24">#REF!</definedName>
    <definedName name="__obl176" localSheetId="21">#REF!</definedName>
    <definedName name="__obl176" localSheetId="20">#REF!</definedName>
    <definedName name="__obl176">#REF!</definedName>
    <definedName name="__obl177" localSheetId="2">#REF!</definedName>
    <definedName name="__obl177" localSheetId="4">#REF!</definedName>
    <definedName name="__obl177" localSheetId="5">#REF!</definedName>
    <definedName name="__obl177" localSheetId="11">#REF!</definedName>
    <definedName name="__obl177" localSheetId="19">#REF!</definedName>
    <definedName name="__obl177" localSheetId="14">#REF!</definedName>
    <definedName name="__obl177" localSheetId="13">#REF!</definedName>
    <definedName name="__obl177" localSheetId="23">#REF!</definedName>
    <definedName name="__obl177" localSheetId="24">#REF!</definedName>
    <definedName name="__obl177" localSheetId="21">#REF!</definedName>
    <definedName name="__obl177" localSheetId="20">#REF!</definedName>
    <definedName name="__obl177">#REF!</definedName>
    <definedName name="__obl178" localSheetId="2">#REF!</definedName>
    <definedName name="__obl178" localSheetId="4">#REF!</definedName>
    <definedName name="__obl178" localSheetId="5">#REF!</definedName>
    <definedName name="__obl178" localSheetId="11">#REF!</definedName>
    <definedName name="__obl178" localSheetId="19">#REF!</definedName>
    <definedName name="__obl178" localSheetId="14">#REF!</definedName>
    <definedName name="__obl178" localSheetId="13">#REF!</definedName>
    <definedName name="__obl178" localSheetId="23">#REF!</definedName>
    <definedName name="__obl178" localSheetId="24">#REF!</definedName>
    <definedName name="__obl178" localSheetId="21">#REF!</definedName>
    <definedName name="__obl178" localSheetId="20">#REF!</definedName>
    <definedName name="__obl178">#REF!</definedName>
    <definedName name="__obl179" localSheetId="2">#REF!</definedName>
    <definedName name="__obl179" localSheetId="4">#REF!</definedName>
    <definedName name="__obl179" localSheetId="5">#REF!</definedName>
    <definedName name="__obl179" localSheetId="11">#REF!</definedName>
    <definedName name="__obl179" localSheetId="19">#REF!</definedName>
    <definedName name="__obl179" localSheetId="14">#REF!</definedName>
    <definedName name="__obl179" localSheetId="13">#REF!</definedName>
    <definedName name="__obl179" localSheetId="23">#REF!</definedName>
    <definedName name="__obl179" localSheetId="24">#REF!</definedName>
    <definedName name="__obl179" localSheetId="21">#REF!</definedName>
    <definedName name="__obl179" localSheetId="20">#REF!</definedName>
    <definedName name="__obl179">#REF!</definedName>
    <definedName name="__obl18" localSheetId="2">#REF!</definedName>
    <definedName name="__obl18" localSheetId="4">#REF!</definedName>
    <definedName name="__obl18" localSheetId="5">#REF!</definedName>
    <definedName name="__obl18" localSheetId="11">#REF!</definedName>
    <definedName name="__obl18" localSheetId="19">#REF!</definedName>
    <definedName name="__obl18" localSheetId="14">#REF!</definedName>
    <definedName name="__obl18" localSheetId="13">#REF!</definedName>
    <definedName name="__obl18" localSheetId="23">#REF!</definedName>
    <definedName name="__obl18" localSheetId="24">#REF!</definedName>
    <definedName name="__obl18" localSheetId="21">#REF!</definedName>
    <definedName name="__obl18" localSheetId="20">#REF!</definedName>
    <definedName name="__obl18">#REF!</definedName>
    <definedName name="__obl181" localSheetId="2">#REF!</definedName>
    <definedName name="__obl181" localSheetId="4">#REF!</definedName>
    <definedName name="__obl181" localSheetId="5">#REF!</definedName>
    <definedName name="__obl181" localSheetId="11">#REF!</definedName>
    <definedName name="__obl181" localSheetId="19">#REF!</definedName>
    <definedName name="__obl181" localSheetId="14">#REF!</definedName>
    <definedName name="__obl181" localSheetId="13">#REF!</definedName>
    <definedName name="__obl181" localSheetId="23">#REF!</definedName>
    <definedName name="__obl181" localSheetId="24">#REF!</definedName>
    <definedName name="__obl181" localSheetId="21">#REF!</definedName>
    <definedName name="__obl181" localSheetId="20">#REF!</definedName>
    <definedName name="__obl181">#REF!</definedName>
    <definedName name="__obl1816" localSheetId="2">#REF!</definedName>
    <definedName name="__obl1816" localSheetId="4">#REF!</definedName>
    <definedName name="__obl1816" localSheetId="5">#REF!</definedName>
    <definedName name="__obl1816" localSheetId="11">#REF!</definedName>
    <definedName name="__obl1816" localSheetId="19">#REF!</definedName>
    <definedName name="__obl1816" localSheetId="14">#REF!</definedName>
    <definedName name="__obl1816" localSheetId="13">#REF!</definedName>
    <definedName name="__obl1816" localSheetId="23">#REF!</definedName>
    <definedName name="__obl1816" localSheetId="24">#REF!</definedName>
    <definedName name="__obl1816" localSheetId="21">#REF!</definedName>
    <definedName name="__obl1816" localSheetId="20">#REF!</definedName>
    <definedName name="__obl1816">#REF!</definedName>
    <definedName name="__obl1820" localSheetId="2">#REF!</definedName>
    <definedName name="__obl1820" localSheetId="4">#REF!</definedName>
    <definedName name="__obl1820" localSheetId="5">#REF!</definedName>
    <definedName name="__obl1820" localSheetId="11">#REF!</definedName>
    <definedName name="__obl1820" localSheetId="19">#REF!</definedName>
    <definedName name="__obl1820" localSheetId="14">#REF!</definedName>
    <definedName name="__obl1820" localSheetId="13">#REF!</definedName>
    <definedName name="__obl1820" localSheetId="23">#REF!</definedName>
    <definedName name="__obl1820" localSheetId="24">#REF!</definedName>
    <definedName name="__obl1820" localSheetId="21">#REF!</definedName>
    <definedName name="__obl1820" localSheetId="20">#REF!</definedName>
    <definedName name="__obl1820">#REF!</definedName>
    <definedName name="__obl1821" localSheetId="2">#REF!</definedName>
    <definedName name="__obl1821" localSheetId="4">#REF!</definedName>
    <definedName name="__obl1821" localSheetId="5">#REF!</definedName>
    <definedName name="__obl1821" localSheetId="11">#REF!</definedName>
    <definedName name="__obl1821" localSheetId="19">#REF!</definedName>
    <definedName name="__obl1821" localSheetId="14">#REF!</definedName>
    <definedName name="__obl1821" localSheetId="13">#REF!</definedName>
    <definedName name="__obl1821" localSheetId="23">#REF!</definedName>
    <definedName name="__obl1821" localSheetId="24">#REF!</definedName>
    <definedName name="__obl1821" localSheetId="21">#REF!</definedName>
    <definedName name="__obl1821" localSheetId="20">#REF!</definedName>
    <definedName name="__obl1821">#REF!</definedName>
    <definedName name="__obl1822" localSheetId="2">#REF!</definedName>
    <definedName name="__obl1822" localSheetId="4">#REF!</definedName>
    <definedName name="__obl1822" localSheetId="5">#REF!</definedName>
    <definedName name="__obl1822" localSheetId="11">#REF!</definedName>
    <definedName name="__obl1822" localSheetId="19">#REF!</definedName>
    <definedName name="__obl1822" localSheetId="14">#REF!</definedName>
    <definedName name="__obl1822" localSheetId="13">#REF!</definedName>
    <definedName name="__obl1822" localSheetId="23">#REF!</definedName>
    <definedName name="__obl1822" localSheetId="24">#REF!</definedName>
    <definedName name="__obl1822" localSheetId="21">#REF!</definedName>
    <definedName name="__obl1822" localSheetId="20">#REF!</definedName>
    <definedName name="__obl1822">#REF!</definedName>
    <definedName name="__obl1823" localSheetId="2">#REF!</definedName>
    <definedName name="__obl1823" localSheetId="4">#REF!</definedName>
    <definedName name="__obl1823" localSheetId="5">#REF!</definedName>
    <definedName name="__obl1823" localSheetId="11">#REF!</definedName>
    <definedName name="__obl1823" localSheetId="19">#REF!</definedName>
    <definedName name="__obl1823" localSheetId="14">#REF!</definedName>
    <definedName name="__obl1823" localSheetId="13">#REF!</definedName>
    <definedName name="__obl1823" localSheetId="23">#REF!</definedName>
    <definedName name="__obl1823" localSheetId="24">#REF!</definedName>
    <definedName name="__obl1823" localSheetId="21">#REF!</definedName>
    <definedName name="__obl1823" localSheetId="20">#REF!</definedName>
    <definedName name="__obl1823">#REF!</definedName>
    <definedName name="__obl1824" localSheetId="2">#REF!</definedName>
    <definedName name="__obl1824" localSheetId="4">#REF!</definedName>
    <definedName name="__obl1824" localSheetId="5">#REF!</definedName>
    <definedName name="__obl1824" localSheetId="11">#REF!</definedName>
    <definedName name="__obl1824" localSheetId="19">#REF!</definedName>
    <definedName name="__obl1824" localSheetId="14">#REF!</definedName>
    <definedName name="__obl1824" localSheetId="13">#REF!</definedName>
    <definedName name="__obl1824" localSheetId="23">#REF!</definedName>
    <definedName name="__obl1824" localSheetId="24">#REF!</definedName>
    <definedName name="__obl1824" localSheetId="21">#REF!</definedName>
    <definedName name="__obl1824" localSheetId="20">#REF!</definedName>
    <definedName name="__obl1824">#REF!</definedName>
    <definedName name="__obl1825" localSheetId="2">#REF!</definedName>
    <definedName name="__obl1825" localSheetId="4">#REF!</definedName>
    <definedName name="__obl1825" localSheetId="5">#REF!</definedName>
    <definedName name="__obl1825" localSheetId="11">#REF!</definedName>
    <definedName name="__obl1825" localSheetId="19">#REF!</definedName>
    <definedName name="__obl1825" localSheetId="14">#REF!</definedName>
    <definedName name="__obl1825" localSheetId="13">#REF!</definedName>
    <definedName name="__obl1825" localSheetId="23">#REF!</definedName>
    <definedName name="__obl1825" localSheetId="24">#REF!</definedName>
    <definedName name="__obl1825" localSheetId="21">#REF!</definedName>
    <definedName name="__obl1825" localSheetId="20">#REF!</definedName>
    <definedName name="__obl1825">#REF!</definedName>
    <definedName name="__obl1826" localSheetId="2">#REF!</definedName>
    <definedName name="__obl1826" localSheetId="4">#REF!</definedName>
    <definedName name="__obl1826" localSheetId="5">#REF!</definedName>
    <definedName name="__obl1826" localSheetId="11">#REF!</definedName>
    <definedName name="__obl1826" localSheetId="19">#REF!</definedName>
    <definedName name="__obl1826" localSheetId="14">#REF!</definedName>
    <definedName name="__obl1826" localSheetId="13">#REF!</definedName>
    <definedName name="__obl1826" localSheetId="23">#REF!</definedName>
    <definedName name="__obl1826" localSheetId="24">#REF!</definedName>
    <definedName name="__obl1826" localSheetId="21">#REF!</definedName>
    <definedName name="__obl1826" localSheetId="20">#REF!</definedName>
    <definedName name="__obl1826">#REF!</definedName>
    <definedName name="__obl1827" localSheetId="2">#REF!</definedName>
    <definedName name="__obl1827" localSheetId="4">#REF!</definedName>
    <definedName name="__obl1827" localSheetId="5">#REF!</definedName>
    <definedName name="__obl1827" localSheetId="11">#REF!</definedName>
    <definedName name="__obl1827" localSheetId="19">#REF!</definedName>
    <definedName name="__obl1827" localSheetId="14">#REF!</definedName>
    <definedName name="__obl1827" localSheetId="13">#REF!</definedName>
    <definedName name="__obl1827" localSheetId="23">#REF!</definedName>
    <definedName name="__obl1827" localSheetId="24">#REF!</definedName>
    <definedName name="__obl1827" localSheetId="21">#REF!</definedName>
    <definedName name="__obl1827" localSheetId="20">#REF!</definedName>
    <definedName name="__obl1827">#REF!</definedName>
    <definedName name="__obl1828" localSheetId="2">#REF!</definedName>
    <definedName name="__obl1828" localSheetId="4">#REF!</definedName>
    <definedName name="__obl1828" localSheetId="5">#REF!</definedName>
    <definedName name="__obl1828" localSheetId="11">#REF!</definedName>
    <definedName name="__obl1828" localSheetId="19">#REF!</definedName>
    <definedName name="__obl1828" localSheetId="14">#REF!</definedName>
    <definedName name="__obl1828" localSheetId="13">#REF!</definedName>
    <definedName name="__obl1828" localSheetId="23">#REF!</definedName>
    <definedName name="__obl1828" localSheetId="24">#REF!</definedName>
    <definedName name="__obl1828" localSheetId="21">#REF!</definedName>
    <definedName name="__obl1828" localSheetId="20">#REF!</definedName>
    <definedName name="__obl1828">#REF!</definedName>
    <definedName name="__obl1829" localSheetId="2">#REF!</definedName>
    <definedName name="__obl1829" localSheetId="4">#REF!</definedName>
    <definedName name="__obl1829" localSheetId="5">#REF!</definedName>
    <definedName name="__obl1829" localSheetId="11">#REF!</definedName>
    <definedName name="__obl1829" localSheetId="19">#REF!</definedName>
    <definedName name="__obl1829" localSheetId="14">#REF!</definedName>
    <definedName name="__obl1829" localSheetId="13">#REF!</definedName>
    <definedName name="__obl1829" localSheetId="23">#REF!</definedName>
    <definedName name="__obl1829" localSheetId="24">#REF!</definedName>
    <definedName name="__obl1829" localSheetId="21">#REF!</definedName>
    <definedName name="__obl1829" localSheetId="20">#REF!</definedName>
    <definedName name="__obl1829">#REF!</definedName>
    <definedName name="__obl183" localSheetId="2">#REF!</definedName>
    <definedName name="__obl183" localSheetId="4">#REF!</definedName>
    <definedName name="__obl183" localSheetId="5">#REF!</definedName>
    <definedName name="__obl183" localSheetId="11">#REF!</definedName>
    <definedName name="__obl183" localSheetId="19">#REF!</definedName>
    <definedName name="__obl183" localSheetId="14">#REF!</definedName>
    <definedName name="__obl183" localSheetId="13">#REF!</definedName>
    <definedName name="__obl183" localSheetId="23">#REF!</definedName>
    <definedName name="__obl183" localSheetId="24">#REF!</definedName>
    <definedName name="__obl183" localSheetId="21">#REF!</definedName>
    <definedName name="__obl183" localSheetId="20">#REF!</definedName>
    <definedName name="__obl183">#REF!</definedName>
    <definedName name="__obl1831" localSheetId="2">#REF!</definedName>
    <definedName name="__obl1831" localSheetId="4">#REF!</definedName>
    <definedName name="__obl1831" localSheetId="5">#REF!</definedName>
    <definedName name="__obl1831" localSheetId="11">#REF!</definedName>
    <definedName name="__obl1831" localSheetId="19">#REF!</definedName>
    <definedName name="__obl1831" localSheetId="14">#REF!</definedName>
    <definedName name="__obl1831" localSheetId="13">#REF!</definedName>
    <definedName name="__obl1831" localSheetId="23">#REF!</definedName>
    <definedName name="__obl1831" localSheetId="24">#REF!</definedName>
    <definedName name="__obl1831" localSheetId="21">#REF!</definedName>
    <definedName name="__obl1831" localSheetId="20">#REF!</definedName>
    <definedName name="__obl1831">#REF!</definedName>
    <definedName name="__obl1832" localSheetId="2">#REF!</definedName>
    <definedName name="__obl1832" localSheetId="4">#REF!</definedName>
    <definedName name="__obl1832" localSheetId="5">#REF!</definedName>
    <definedName name="__obl1832" localSheetId="11">#REF!</definedName>
    <definedName name="__obl1832" localSheetId="19">#REF!</definedName>
    <definedName name="__obl1832" localSheetId="14">#REF!</definedName>
    <definedName name="__obl1832" localSheetId="13">#REF!</definedName>
    <definedName name="__obl1832" localSheetId="23">#REF!</definedName>
    <definedName name="__obl1832" localSheetId="24">#REF!</definedName>
    <definedName name="__obl1832" localSheetId="21">#REF!</definedName>
    <definedName name="__obl1832" localSheetId="20">#REF!</definedName>
    <definedName name="__obl1832">#REF!</definedName>
    <definedName name="__obl184" localSheetId="2">#REF!</definedName>
    <definedName name="__obl184" localSheetId="4">#REF!</definedName>
    <definedName name="__obl184" localSheetId="5">#REF!</definedName>
    <definedName name="__obl184" localSheetId="11">#REF!</definedName>
    <definedName name="__obl184" localSheetId="19">#REF!</definedName>
    <definedName name="__obl184" localSheetId="14">#REF!</definedName>
    <definedName name="__obl184" localSheetId="13">#REF!</definedName>
    <definedName name="__obl184" localSheetId="23">#REF!</definedName>
    <definedName name="__obl184" localSheetId="24">#REF!</definedName>
    <definedName name="__obl184" localSheetId="21">#REF!</definedName>
    <definedName name="__obl184" localSheetId="20">#REF!</definedName>
    <definedName name="__obl184">#REF!</definedName>
    <definedName name="__obl185" localSheetId="2">#REF!</definedName>
    <definedName name="__obl185" localSheetId="4">#REF!</definedName>
    <definedName name="__obl185" localSheetId="5">#REF!</definedName>
    <definedName name="__obl185" localSheetId="11">#REF!</definedName>
    <definedName name="__obl185" localSheetId="19">#REF!</definedName>
    <definedName name="__obl185" localSheetId="14">#REF!</definedName>
    <definedName name="__obl185" localSheetId="13">#REF!</definedName>
    <definedName name="__obl185" localSheetId="23">#REF!</definedName>
    <definedName name="__obl185" localSheetId="24">#REF!</definedName>
    <definedName name="__obl185" localSheetId="21">#REF!</definedName>
    <definedName name="__obl185" localSheetId="20">#REF!</definedName>
    <definedName name="__obl185">#REF!</definedName>
    <definedName name="__obl186" localSheetId="2">#REF!</definedName>
    <definedName name="__obl186" localSheetId="4">#REF!</definedName>
    <definedName name="__obl186" localSheetId="5">#REF!</definedName>
    <definedName name="__obl186" localSheetId="11">#REF!</definedName>
    <definedName name="__obl186" localSheetId="19">#REF!</definedName>
    <definedName name="__obl186" localSheetId="14">#REF!</definedName>
    <definedName name="__obl186" localSheetId="13">#REF!</definedName>
    <definedName name="__obl186" localSheetId="23">#REF!</definedName>
    <definedName name="__obl186" localSheetId="24">#REF!</definedName>
    <definedName name="__obl186" localSheetId="21">#REF!</definedName>
    <definedName name="__obl186" localSheetId="20">#REF!</definedName>
    <definedName name="__obl186">#REF!</definedName>
    <definedName name="__obl187" localSheetId="2">#REF!</definedName>
    <definedName name="__obl187" localSheetId="4">#REF!</definedName>
    <definedName name="__obl187" localSheetId="5">#REF!</definedName>
    <definedName name="__obl187" localSheetId="11">#REF!</definedName>
    <definedName name="__obl187" localSheetId="19">#REF!</definedName>
    <definedName name="__obl187" localSheetId="14">#REF!</definedName>
    <definedName name="__obl187" localSheetId="13">#REF!</definedName>
    <definedName name="__obl187" localSheetId="23">#REF!</definedName>
    <definedName name="__obl187" localSheetId="24">#REF!</definedName>
    <definedName name="__obl187" localSheetId="21">#REF!</definedName>
    <definedName name="__obl187" localSheetId="20">#REF!</definedName>
    <definedName name="__obl187">#REF!</definedName>
    <definedName name="_NS" localSheetId="4">Scheduled_Payment+Extra_Payment</definedName>
    <definedName name="_NS" localSheetId="5">Scheduled_Payment+Extra_Payment</definedName>
    <definedName name="_NS" localSheetId="6">Scheduled_Payment+Extra_Payment</definedName>
    <definedName name="_NS" localSheetId="16">Scheduled_Payment+Extra_Payment</definedName>
    <definedName name="_NS" localSheetId="17">Scheduled_Payment+Extra_Payment</definedName>
    <definedName name="_NS" localSheetId="3">Scheduled_Payment+Extra_Payment</definedName>
    <definedName name="_NS" localSheetId="18">Scheduled_Payment+Extra_Payment</definedName>
    <definedName name="_NS" localSheetId="22">Scheduled_Payment+Extra_Payment</definedName>
    <definedName name="_NS">Scheduled_Payment+Extra_Payment</definedName>
    <definedName name="_obl11" localSheetId="2">#REF!</definedName>
    <definedName name="_obl11" localSheetId="4">#REF!</definedName>
    <definedName name="_obl11" localSheetId="5">#REF!</definedName>
    <definedName name="_obl11" localSheetId="6">#REF!</definedName>
    <definedName name="_obl11" localSheetId="7">#REF!</definedName>
    <definedName name="_obl11" localSheetId="8">#REF!</definedName>
    <definedName name="_obl11" localSheetId="9">#REF!</definedName>
    <definedName name="_obl11" localSheetId="10">#REF!</definedName>
    <definedName name="_obl11" localSheetId="11">#REF!</definedName>
    <definedName name="_obl11" localSheetId="19">#REF!</definedName>
    <definedName name="_obl11" localSheetId="14">#REF!</definedName>
    <definedName name="_obl11" localSheetId="13">#REF!</definedName>
    <definedName name="_obl11" localSheetId="16">#REF!</definedName>
    <definedName name="_obl11" localSheetId="17">#REF!</definedName>
    <definedName name="_obl11" localSheetId="23">#REF!</definedName>
    <definedName name="_obl11" localSheetId="24">#REF!</definedName>
    <definedName name="_obl11" localSheetId="21">#REF!</definedName>
    <definedName name="_obl11" localSheetId="3">#REF!</definedName>
    <definedName name="_obl11" localSheetId="18">#REF!</definedName>
    <definedName name="_obl11" localSheetId="22">#REF!</definedName>
    <definedName name="_obl11" localSheetId="20">#REF!</definedName>
    <definedName name="_obl11" localSheetId="1">#REF!</definedName>
    <definedName name="_obl11">#REF!</definedName>
    <definedName name="_obl112" localSheetId="5">#REF!</definedName>
    <definedName name="_obl112" localSheetId="19">#REF!</definedName>
    <definedName name="_obl112" localSheetId="16">#REF!</definedName>
    <definedName name="_obl112" localSheetId="17">#REF!</definedName>
    <definedName name="_obl112" localSheetId="23">#REF!</definedName>
    <definedName name="_obl112" localSheetId="24">#REF!</definedName>
    <definedName name="_obl112" localSheetId="21">#REF!</definedName>
    <definedName name="_obl112" localSheetId="20">#REF!</definedName>
    <definedName name="_obl112" localSheetId="1">#REF!</definedName>
    <definedName name="_obl112">#REF!</definedName>
    <definedName name="_obl12" localSheetId="2">#REF!</definedName>
    <definedName name="_obl12" localSheetId="4">#REF!</definedName>
    <definedName name="_obl12" localSheetId="5">#REF!</definedName>
    <definedName name="_obl12" localSheetId="6">#REF!</definedName>
    <definedName name="_obl12" localSheetId="7">#REF!</definedName>
    <definedName name="_obl12" localSheetId="8">#REF!</definedName>
    <definedName name="_obl12" localSheetId="9">#REF!</definedName>
    <definedName name="_obl12" localSheetId="10">#REF!</definedName>
    <definedName name="_obl12" localSheetId="11">#REF!</definedName>
    <definedName name="_obl12" localSheetId="19">#REF!</definedName>
    <definedName name="_obl12" localSheetId="14">#REF!</definedName>
    <definedName name="_obl12" localSheetId="13">#REF!</definedName>
    <definedName name="_obl12" localSheetId="16">#REF!</definedName>
    <definedName name="_obl12" localSheetId="17">#REF!</definedName>
    <definedName name="_obl12" localSheetId="23">#REF!</definedName>
    <definedName name="_obl12" localSheetId="24">#REF!</definedName>
    <definedName name="_obl12" localSheetId="21">#REF!</definedName>
    <definedName name="_obl12" localSheetId="20">#REF!</definedName>
    <definedName name="_obl12" localSheetId="1">#REF!</definedName>
    <definedName name="_obl12">#REF!</definedName>
    <definedName name="_obl13" localSheetId="2">#REF!</definedName>
    <definedName name="_obl13" localSheetId="4">#REF!</definedName>
    <definedName name="_obl13" localSheetId="5">#REF!</definedName>
    <definedName name="_obl13" localSheetId="6">#REF!</definedName>
    <definedName name="_obl13" localSheetId="7">#REF!</definedName>
    <definedName name="_obl13" localSheetId="8">#REF!</definedName>
    <definedName name="_obl13" localSheetId="9">#REF!</definedName>
    <definedName name="_obl13" localSheetId="10">#REF!</definedName>
    <definedName name="_obl13" localSheetId="11">#REF!</definedName>
    <definedName name="_obl13" localSheetId="19">#REF!</definedName>
    <definedName name="_obl13" localSheetId="14">#REF!</definedName>
    <definedName name="_obl13" localSheetId="13">#REF!</definedName>
    <definedName name="_obl13" localSheetId="23">#REF!</definedName>
    <definedName name="_obl13" localSheetId="24">#REF!</definedName>
    <definedName name="_obl13" localSheetId="21">#REF!</definedName>
    <definedName name="_obl13" localSheetId="20">#REF!</definedName>
    <definedName name="_obl13" localSheetId="1">#REF!</definedName>
    <definedName name="_obl13">#REF!</definedName>
    <definedName name="_obl14" localSheetId="2">#REF!</definedName>
    <definedName name="_obl14" localSheetId="4">#REF!</definedName>
    <definedName name="_obl14" localSheetId="5">#REF!</definedName>
    <definedName name="_obl14" localSheetId="6">#REF!</definedName>
    <definedName name="_obl14" localSheetId="7">#REF!</definedName>
    <definedName name="_obl14" localSheetId="8">#REF!</definedName>
    <definedName name="_obl14" localSheetId="10">#REF!</definedName>
    <definedName name="_obl14" localSheetId="11">#REF!</definedName>
    <definedName name="_obl14" localSheetId="19">#REF!</definedName>
    <definedName name="_obl14" localSheetId="14">#REF!</definedName>
    <definedName name="_obl14" localSheetId="13">#REF!</definedName>
    <definedName name="_obl14" localSheetId="23">#REF!</definedName>
    <definedName name="_obl14" localSheetId="24">#REF!</definedName>
    <definedName name="_obl14" localSheetId="21">#REF!</definedName>
    <definedName name="_obl14" localSheetId="20">#REF!</definedName>
    <definedName name="_obl14" localSheetId="1">#REF!</definedName>
    <definedName name="_obl14">#REF!</definedName>
    <definedName name="_obl15" localSheetId="2">#REF!</definedName>
    <definedName name="_obl15" localSheetId="4">#REF!</definedName>
    <definedName name="_obl15" localSheetId="5">#REF!</definedName>
    <definedName name="_obl15" localSheetId="6">#REF!</definedName>
    <definedName name="_obl15" localSheetId="7">#REF!</definedName>
    <definedName name="_obl15" localSheetId="8">#REF!</definedName>
    <definedName name="_obl15" localSheetId="10">#REF!</definedName>
    <definedName name="_obl15" localSheetId="11">#REF!</definedName>
    <definedName name="_obl15" localSheetId="19">#REF!</definedName>
    <definedName name="_obl15" localSheetId="14">#REF!</definedName>
    <definedName name="_obl15" localSheetId="13">#REF!</definedName>
    <definedName name="_obl15" localSheetId="23">#REF!</definedName>
    <definedName name="_obl15" localSheetId="24">#REF!</definedName>
    <definedName name="_obl15" localSheetId="21">#REF!</definedName>
    <definedName name="_obl15" localSheetId="20">#REF!</definedName>
    <definedName name="_obl15" localSheetId="1">#REF!</definedName>
    <definedName name="_obl15">#REF!</definedName>
    <definedName name="_obl16" localSheetId="2">#REF!</definedName>
    <definedName name="_obl16" localSheetId="4">#REF!</definedName>
    <definedName name="_obl16" localSheetId="5">#REF!</definedName>
    <definedName name="_obl16" localSheetId="6">#REF!</definedName>
    <definedName name="_obl16" localSheetId="7">#REF!</definedName>
    <definedName name="_obl16" localSheetId="8">#REF!</definedName>
    <definedName name="_obl16" localSheetId="10">#REF!</definedName>
    <definedName name="_obl16" localSheetId="11">#REF!</definedName>
    <definedName name="_obl16" localSheetId="19">#REF!</definedName>
    <definedName name="_obl16" localSheetId="14">#REF!</definedName>
    <definedName name="_obl16" localSheetId="13">#REF!</definedName>
    <definedName name="_obl16" localSheetId="23">#REF!</definedName>
    <definedName name="_obl16" localSheetId="24">#REF!</definedName>
    <definedName name="_obl16" localSheetId="21">#REF!</definedName>
    <definedName name="_obl16" localSheetId="20">#REF!</definedName>
    <definedName name="_obl16" localSheetId="1">#REF!</definedName>
    <definedName name="_obl16">#REF!</definedName>
    <definedName name="_obl17" localSheetId="2">#REF!</definedName>
    <definedName name="_obl17" localSheetId="4">#REF!</definedName>
    <definedName name="_obl17" localSheetId="5">#REF!</definedName>
    <definedName name="_obl17" localSheetId="6">#REF!</definedName>
    <definedName name="_obl17" localSheetId="7">#REF!</definedName>
    <definedName name="_obl17" localSheetId="8">#REF!</definedName>
    <definedName name="_obl17" localSheetId="10">#REF!</definedName>
    <definedName name="_obl17" localSheetId="11">#REF!</definedName>
    <definedName name="_obl17" localSheetId="19">#REF!</definedName>
    <definedName name="_obl17" localSheetId="14">#REF!</definedName>
    <definedName name="_obl17" localSheetId="13">#REF!</definedName>
    <definedName name="_obl17" localSheetId="23">#REF!</definedName>
    <definedName name="_obl17" localSheetId="24">#REF!</definedName>
    <definedName name="_obl17" localSheetId="21">#REF!</definedName>
    <definedName name="_obl17" localSheetId="20">#REF!</definedName>
    <definedName name="_obl17" localSheetId="1">#REF!</definedName>
    <definedName name="_obl17">#REF!</definedName>
    <definedName name="_obl1710" localSheetId="2">#REF!</definedName>
    <definedName name="_obl1710" localSheetId="4">#REF!</definedName>
    <definedName name="_obl1710" localSheetId="5">#REF!</definedName>
    <definedName name="_obl1710" localSheetId="6">#REF!</definedName>
    <definedName name="_obl1710" localSheetId="7">#REF!</definedName>
    <definedName name="_obl1710" localSheetId="8">#REF!</definedName>
    <definedName name="_obl1710" localSheetId="10">#REF!</definedName>
    <definedName name="_obl1710" localSheetId="11">#REF!</definedName>
    <definedName name="_obl1710" localSheetId="19">#REF!</definedName>
    <definedName name="_obl1710" localSheetId="14">#REF!</definedName>
    <definedName name="_obl1710" localSheetId="13">#REF!</definedName>
    <definedName name="_obl1710" localSheetId="23">#REF!</definedName>
    <definedName name="_obl1710" localSheetId="24">#REF!</definedName>
    <definedName name="_obl1710" localSheetId="21">#REF!</definedName>
    <definedName name="_obl1710" localSheetId="20">#REF!</definedName>
    <definedName name="_obl1710" localSheetId="1">#REF!</definedName>
    <definedName name="_obl1710">#REF!</definedName>
    <definedName name="_obl1711" localSheetId="2">#REF!</definedName>
    <definedName name="_obl1711" localSheetId="4">#REF!</definedName>
    <definedName name="_obl1711" localSheetId="5">#REF!</definedName>
    <definedName name="_obl1711" localSheetId="6">#REF!</definedName>
    <definedName name="_obl1711" localSheetId="7">#REF!</definedName>
    <definedName name="_obl1711" localSheetId="8">#REF!</definedName>
    <definedName name="_obl1711" localSheetId="10">#REF!</definedName>
    <definedName name="_obl1711" localSheetId="11">#REF!</definedName>
    <definedName name="_obl1711" localSheetId="19">#REF!</definedName>
    <definedName name="_obl1711" localSheetId="14">#REF!</definedName>
    <definedName name="_obl1711" localSheetId="13">#REF!</definedName>
    <definedName name="_obl1711" localSheetId="23">#REF!</definedName>
    <definedName name="_obl1711" localSheetId="24">#REF!</definedName>
    <definedName name="_obl1711" localSheetId="21">#REF!</definedName>
    <definedName name="_obl1711" localSheetId="20">#REF!</definedName>
    <definedName name="_obl1711" localSheetId="1">#REF!</definedName>
    <definedName name="_obl1711">#REF!</definedName>
    <definedName name="_obl1712" localSheetId="2">#REF!</definedName>
    <definedName name="_obl1712" localSheetId="4">#REF!</definedName>
    <definedName name="_obl1712" localSheetId="5">#REF!</definedName>
    <definedName name="_obl1712" localSheetId="6">#REF!</definedName>
    <definedName name="_obl1712" localSheetId="7">#REF!</definedName>
    <definedName name="_obl1712" localSheetId="8">#REF!</definedName>
    <definedName name="_obl1712" localSheetId="10">#REF!</definedName>
    <definedName name="_obl1712" localSheetId="11">#REF!</definedName>
    <definedName name="_obl1712" localSheetId="19">#REF!</definedName>
    <definedName name="_obl1712" localSheetId="14">#REF!</definedName>
    <definedName name="_obl1712" localSheetId="13">#REF!</definedName>
    <definedName name="_obl1712" localSheetId="23">#REF!</definedName>
    <definedName name="_obl1712" localSheetId="24">#REF!</definedName>
    <definedName name="_obl1712" localSheetId="21">#REF!</definedName>
    <definedName name="_obl1712" localSheetId="20">#REF!</definedName>
    <definedName name="_obl1712" localSheetId="1">#REF!</definedName>
    <definedName name="_obl1712">#REF!</definedName>
    <definedName name="_obl1713" localSheetId="2">#REF!</definedName>
    <definedName name="_obl1713" localSheetId="4">#REF!</definedName>
    <definedName name="_obl1713" localSheetId="5">#REF!</definedName>
    <definedName name="_obl1713" localSheetId="6">#REF!</definedName>
    <definedName name="_obl1713" localSheetId="7">#REF!</definedName>
    <definedName name="_obl1713" localSheetId="8">#REF!</definedName>
    <definedName name="_obl1713" localSheetId="10">#REF!</definedName>
    <definedName name="_obl1713" localSheetId="11">#REF!</definedName>
    <definedName name="_obl1713" localSheetId="19">#REF!</definedName>
    <definedName name="_obl1713" localSheetId="14">#REF!</definedName>
    <definedName name="_obl1713" localSheetId="13">#REF!</definedName>
    <definedName name="_obl1713" localSheetId="23">#REF!</definedName>
    <definedName name="_obl1713" localSheetId="24">#REF!</definedName>
    <definedName name="_obl1713" localSheetId="21">#REF!</definedName>
    <definedName name="_obl1713" localSheetId="20">#REF!</definedName>
    <definedName name="_obl1713" localSheetId="1">#REF!</definedName>
    <definedName name="_obl1713">#REF!</definedName>
    <definedName name="_obl1714" localSheetId="2">#REF!</definedName>
    <definedName name="_obl1714" localSheetId="4">#REF!</definedName>
    <definedName name="_obl1714" localSheetId="5">#REF!</definedName>
    <definedName name="_obl1714" localSheetId="6">#REF!</definedName>
    <definedName name="_obl1714" localSheetId="7">#REF!</definedName>
    <definedName name="_obl1714" localSheetId="8">#REF!</definedName>
    <definedName name="_obl1714" localSheetId="10">#REF!</definedName>
    <definedName name="_obl1714" localSheetId="11">#REF!</definedName>
    <definedName name="_obl1714" localSheetId="19">#REF!</definedName>
    <definedName name="_obl1714" localSheetId="14">#REF!</definedName>
    <definedName name="_obl1714" localSheetId="13">#REF!</definedName>
    <definedName name="_obl1714" localSheetId="23">#REF!</definedName>
    <definedName name="_obl1714" localSheetId="24">#REF!</definedName>
    <definedName name="_obl1714" localSheetId="21">#REF!</definedName>
    <definedName name="_obl1714" localSheetId="20">#REF!</definedName>
    <definedName name="_obl1714" localSheetId="1">#REF!</definedName>
    <definedName name="_obl1714">#REF!</definedName>
    <definedName name="_obl1715" localSheetId="2">#REF!</definedName>
    <definedName name="_obl1715" localSheetId="4">#REF!</definedName>
    <definedName name="_obl1715" localSheetId="5">#REF!</definedName>
    <definedName name="_obl1715" localSheetId="6">#REF!</definedName>
    <definedName name="_obl1715" localSheetId="7">#REF!</definedName>
    <definedName name="_obl1715" localSheetId="8">#REF!</definedName>
    <definedName name="_obl1715" localSheetId="10">#REF!</definedName>
    <definedName name="_obl1715" localSheetId="11">#REF!</definedName>
    <definedName name="_obl1715" localSheetId="19">#REF!</definedName>
    <definedName name="_obl1715" localSheetId="14">#REF!</definedName>
    <definedName name="_obl1715" localSheetId="13">#REF!</definedName>
    <definedName name="_obl1715" localSheetId="23">#REF!</definedName>
    <definedName name="_obl1715" localSheetId="24">#REF!</definedName>
    <definedName name="_obl1715" localSheetId="21">#REF!</definedName>
    <definedName name="_obl1715" localSheetId="20">#REF!</definedName>
    <definedName name="_obl1715" localSheetId="1">#REF!</definedName>
    <definedName name="_obl1715">#REF!</definedName>
    <definedName name="_obl1716" localSheetId="2">#REF!</definedName>
    <definedName name="_obl1716" localSheetId="4">#REF!</definedName>
    <definedName name="_obl1716" localSheetId="5">#REF!</definedName>
    <definedName name="_obl1716" localSheetId="6">#REF!</definedName>
    <definedName name="_obl1716" localSheetId="7">#REF!</definedName>
    <definedName name="_obl1716" localSheetId="8">#REF!</definedName>
    <definedName name="_obl1716" localSheetId="10">#REF!</definedName>
    <definedName name="_obl1716" localSheetId="11">#REF!</definedName>
    <definedName name="_obl1716" localSheetId="19">#REF!</definedName>
    <definedName name="_obl1716" localSheetId="14">#REF!</definedName>
    <definedName name="_obl1716" localSheetId="13">#REF!</definedName>
    <definedName name="_obl1716" localSheetId="23">#REF!</definedName>
    <definedName name="_obl1716" localSheetId="24">#REF!</definedName>
    <definedName name="_obl1716" localSheetId="21">#REF!</definedName>
    <definedName name="_obl1716" localSheetId="20">#REF!</definedName>
    <definedName name="_obl1716" localSheetId="1">#REF!</definedName>
    <definedName name="_obl1716">#REF!</definedName>
    <definedName name="_obl1717" localSheetId="2">#REF!</definedName>
    <definedName name="_obl1717" localSheetId="4">#REF!</definedName>
    <definedName name="_obl1717" localSheetId="5">#REF!</definedName>
    <definedName name="_obl1717" localSheetId="6">#REF!</definedName>
    <definedName name="_obl1717" localSheetId="7">#REF!</definedName>
    <definedName name="_obl1717" localSheetId="8">#REF!</definedName>
    <definedName name="_obl1717" localSheetId="10">#REF!</definedName>
    <definedName name="_obl1717" localSheetId="11">#REF!</definedName>
    <definedName name="_obl1717" localSheetId="19">#REF!</definedName>
    <definedName name="_obl1717" localSheetId="14">#REF!</definedName>
    <definedName name="_obl1717" localSheetId="13">#REF!</definedName>
    <definedName name="_obl1717" localSheetId="23">#REF!</definedName>
    <definedName name="_obl1717" localSheetId="24">#REF!</definedName>
    <definedName name="_obl1717" localSheetId="21">#REF!</definedName>
    <definedName name="_obl1717" localSheetId="20">#REF!</definedName>
    <definedName name="_obl1717" localSheetId="1">#REF!</definedName>
    <definedName name="_obl1717">#REF!</definedName>
    <definedName name="_obl1718" localSheetId="2">#REF!</definedName>
    <definedName name="_obl1718" localSheetId="4">#REF!</definedName>
    <definedName name="_obl1718" localSheetId="5">#REF!</definedName>
    <definedName name="_obl1718" localSheetId="6">#REF!</definedName>
    <definedName name="_obl1718" localSheetId="7">#REF!</definedName>
    <definedName name="_obl1718" localSheetId="8">#REF!</definedName>
    <definedName name="_obl1718" localSheetId="10">#REF!</definedName>
    <definedName name="_obl1718" localSheetId="11">#REF!</definedName>
    <definedName name="_obl1718" localSheetId="19">#REF!</definedName>
    <definedName name="_obl1718" localSheetId="14">#REF!</definedName>
    <definedName name="_obl1718" localSheetId="13">#REF!</definedName>
    <definedName name="_obl1718" localSheetId="23">#REF!</definedName>
    <definedName name="_obl1718" localSheetId="24">#REF!</definedName>
    <definedName name="_obl1718" localSheetId="21">#REF!</definedName>
    <definedName name="_obl1718" localSheetId="20">#REF!</definedName>
    <definedName name="_obl1718" localSheetId="1">#REF!</definedName>
    <definedName name="_obl1718">#REF!</definedName>
    <definedName name="_obl1719" localSheetId="2">#REF!</definedName>
    <definedName name="_obl1719" localSheetId="4">#REF!</definedName>
    <definedName name="_obl1719" localSheetId="5">#REF!</definedName>
    <definedName name="_obl1719" localSheetId="6">#REF!</definedName>
    <definedName name="_obl1719" localSheetId="7">#REF!</definedName>
    <definedName name="_obl1719" localSheetId="8">#REF!</definedName>
    <definedName name="_obl1719" localSheetId="10">#REF!</definedName>
    <definedName name="_obl1719" localSheetId="11">#REF!</definedName>
    <definedName name="_obl1719" localSheetId="19">#REF!</definedName>
    <definedName name="_obl1719" localSheetId="14">#REF!</definedName>
    <definedName name="_obl1719" localSheetId="13">#REF!</definedName>
    <definedName name="_obl1719" localSheetId="23">#REF!</definedName>
    <definedName name="_obl1719" localSheetId="24">#REF!</definedName>
    <definedName name="_obl1719" localSheetId="21">#REF!</definedName>
    <definedName name="_obl1719" localSheetId="20">#REF!</definedName>
    <definedName name="_obl1719" localSheetId="1">#REF!</definedName>
    <definedName name="_obl1719">#REF!</definedName>
    <definedName name="_obl173" localSheetId="2">#REF!</definedName>
    <definedName name="_obl173" localSheetId="4">#REF!</definedName>
    <definedName name="_obl173" localSheetId="5">#REF!</definedName>
    <definedName name="_obl173" localSheetId="6">#REF!</definedName>
    <definedName name="_obl173" localSheetId="7">#REF!</definedName>
    <definedName name="_obl173" localSheetId="8">#REF!</definedName>
    <definedName name="_obl173" localSheetId="10">#REF!</definedName>
    <definedName name="_obl173" localSheetId="11">#REF!</definedName>
    <definedName name="_obl173" localSheetId="19">#REF!</definedName>
    <definedName name="_obl173" localSheetId="14">#REF!</definedName>
    <definedName name="_obl173" localSheetId="13">#REF!</definedName>
    <definedName name="_obl173" localSheetId="23">#REF!</definedName>
    <definedName name="_obl173" localSheetId="24">#REF!</definedName>
    <definedName name="_obl173" localSheetId="21">#REF!</definedName>
    <definedName name="_obl173" localSheetId="20">#REF!</definedName>
    <definedName name="_obl173" localSheetId="1">#REF!</definedName>
    <definedName name="_obl173">#REF!</definedName>
    <definedName name="_obl174" localSheetId="2">#REF!</definedName>
    <definedName name="_obl174" localSheetId="4">#REF!</definedName>
    <definedName name="_obl174" localSheetId="5">#REF!</definedName>
    <definedName name="_obl174" localSheetId="6">#REF!</definedName>
    <definedName name="_obl174" localSheetId="7">#REF!</definedName>
    <definedName name="_obl174" localSheetId="8">#REF!</definedName>
    <definedName name="_obl174" localSheetId="10">#REF!</definedName>
    <definedName name="_obl174" localSheetId="11">#REF!</definedName>
    <definedName name="_obl174" localSheetId="19">#REF!</definedName>
    <definedName name="_obl174" localSheetId="14">#REF!</definedName>
    <definedName name="_obl174" localSheetId="13">#REF!</definedName>
    <definedName name="_obl174" localSheetId="23">#REF!</definedName>
    <definedName name="_obl174" localSheetId="24">#REF!</definedName>
    <definedName name="_obl174" localSheetId="21">#REF!</definedName>
    <definedName name="_obl174" localSheetId="20">#REF!</definedName>
    <definedName name="_obl174" localSheetId="1">#REF!</definedName>
    <definedName name="_obl174">#REF!</definedName>
    <definedName name="_obl175" localSheetId="2">#REF!</definedName>
    <definedName name="_obl175" localSheetId="4">#REF!</definedName>
    <definedName name="_obl175" localSheetId="5">#REF!</definedName>
    <definedName name="_obl175" localSheetId="6">#REF!</definedName>
    <definedName name="_obl175" localSheetId="7">#REF!</definedName>
    <definedName name="_obl175" localSheetId="8">#REF!</definedName>
    <definedName name="_obl175" localSheetId="10">#REF!</definedName>
    <definedName name="_obl175" localSheetId="11">#REF!</definedName>
    <definedName name="_obl175" localSheetId="19">#REF!</definedName>
    <definedName name="_obl175" localSheetId="14">#REF!</definedName>
    <definedName name="_obl175" localSheetId="13">#REF!</definedName>
    <definedName name="_obl175" localSheetId="23">#REF!</definedName>
    <definedName name="_obl175" localSheetId="24">#REF!</definedName>
    <definedName name="_obl175" localSheetId="21">#REF!</definedName>
    <definedName name="_obl175" localSheetId="20">#REF!</definedName>
    <definedName name="_obl175" localSheetId="1">#REF!</definedName>
    <definedName name="_obl175">#REF!</definedName>
    <definedName name="_obl176" localSheetId="2">#REF!</definedName>
    <definedName name="_obl176" localSheetId="4">#REF!</definedName>
    <definedName name="_obl176" localSheetId="5">#REF!</definedName>
    <definedName name="_obl176" localSheetId="6">#REF!</definedName>
    <definedName name="_obl176" localSheetId="7">#REF!</definedName>
    <definedName name="_obl176" localSheetId="8">#REF!</definedName>
    <definedName name="_obl176" localSheetId="10">#REF!</definedName>
    <definedName name="_obl176" localSheetId="11">#REF!</definedName>
    <definedName name="_obl176" localSheetId="19">#REF!</definedName>
    <definedName name="_obl176" localSheetId="14">#REF!</definedName>
    <definedName name="_obl176" localSheetId="13">#REF!</definedName>
    <definedName name="_obl176" localSheetId="23">#REF!</definedName>
    <definedName name="_obl176" localSheetId="24">#REF!</definedName>
    <definedName name="_obl176" localSheetId="21">#REF!</definedName>
    <definedName name="_obl176" localSheetId="20">#REF!</definedName>
    <definedName name="_obl176" localSheetId="1">#REF!</definedName>
    <definedName name="_obl176">#REF!</definedName>
    <definedName name="_obl177" localSheetId="2">#REF!</definedName>
    <definedName name="_obl177" localSheetId="4">#REF!</definedName>
    <definedName name="_obl177" localSheetId="5">#REF!</definedName>
    <definedName name="_obl177" localSheetId="6">#REF!</definedName>
    <definedName name="_obl177" localSheetId="7">#REF!</definedName>
    <definedName name="_obl177" localSheetId="8">#REF!</definedName>
    <definedName name="_obl177" localSheetId="10">#REF!</definedName>
    <definedName name="_obl177" localSheetId="11">#REF!</definedName>
    <definedName name="_obl177" localSheetId="19">#REF!</definedName>
    <definedName name="_obl177" localSheetId="14">#REF!</definedName>
    <definedName name="_obl177" localSheetId="13">#REF!</definedName>
    <definedName name="_obl177" localSheetId="23">#REF!</definedName>
    <definedName name="_obl177" localSheetId="24">#REF!</definedName>
    <definedName name="_obl177" localSheetId="21">#REF!</definedName>
    <definedName name="_obl177" localSheetId="20">#REF!</definedName>
    <definedName name="_obl177" localSheetId="1">#REF!</definedName>
    <definedName name="_obl177">#REF!</definedName>
    <definedName name="_obl178" localSheetId="2">#REF!</definedName>
    <definedName name="_obl178" localSheetId="4">#REF!</definedName>
    <definedName name="_obl178" localSheetId="5">#REF!</definedName>
    <definedName name="_obl178" localSheetId="6">#REF!</definedName>
    <definedName name="_obl178" localSheetId="7">#REF!</definedName>
    <definedName name="_obl178" localSheetId="8">#REF!</definedName>
    <definedName name="_obl178" localSheetId="10">#REF!</definedName>
    <definedName name="_obl178" localSheetId="11">#REF!</definedName>
    <definedName name="_obl178" localSheetId="19">#REF!</definedName>
    <definedName name="_obl178" localSheetId="14">#REF!</definedName>
    <definedName name="_obl178" localSheetId="13">#REF!</definedName>
    <definedName name="_obl178" localSheetId="23">#REF!</definedName>
    <definedName name="_obl178" localSheetId="24">#REF!</definedName>
    <definedName name="_obl178" localSheetId="21">#REF!</definedName>
    <definedName name="_obl178" localSheetId="20">#REF!</definedName>
    <definedName name="_obl178" localSheetId="1">#REF!</definedName>
    <definedName name="_obl178">#REF!</definedName>
    <definedName name="_obl179" localSheetId="2">#REF!</definedName>
    <definedName name="_obl179" localSheetId="4">#REF!</definedName>
    <definedName name="_obl179" localSheetId="5">#REF!</definedName>
    <definedName name="_obl179" localSheetId="6">#REF!</definedName>
    <definedName name="_obl179" localSheetId="7">#REF!</definedName>
    <definedName name="_obl179" localSheetId="8">#REF!</definedName>
    <definedName name="_obl179" localSheetId="10">#REF!</definedName>
    <definedName name="_obl179" localSheetId="11">#REF!</definedName>
    <definedName name="_obl179" localSheetId="19">#REF!</definedName>
    <definedName name="_obl179" localSheetId="14">#REF!</definedName>
    <definedName name="_obl179" localSheetId="13">#REF!</definedName>
    <definedName name="_obl179" localSheetId="23">#REF!</definedName>
    <definedName name="_obl179" localSheetId="24">#REF!</definedName>
    <definedName name="_obl179" localSheetId="21">#REF!</definedName>
    <definedName name="_obl179" localSheetId="20">#REF!</definedName>
    <definedName name="_obl179" localSheetId="1">#REF!</definedName>
    <definedName name="_obl179">#REF!</definedName>
    <definedName name="_obl18" localSheetId="2">#REF!</definedName>
    <definedName name="_obl18" localSheetId="4">#REF!</definedName>
    <definedName name="_obl18" localSheetId="5">#REF!</definedName>
    <definedName name="_obl18" localSheetId="6">#REF!</definedName>
    <definedName name="_obl18" localSheetId="7">#REF!</definedName>
    <definedName name="_obl18" localSheetId="8">#REF!</definedName>
    <definedName name="_obl18" localSheetId="10">#REF!</definedName>
    <definedName name="_obl18" localSheetId="11">#REF!</definedName>
    <definedName name="_obl18" localSheetId="19">#REF!</definedName>
    <definedName name="_obl18" localSheetId="14">#REF!</definedName>
    <definedName name="_obl18" localSheetId="13">#REF!</definedName>
    <definedName name="_obl18" localSheetId="23">#REF!</definedName>
    <definedName name="_obl18" localSheetId="24">#REF!</definedName>
    <definedName name="_obl18" localSheetId="21">#REF!</definedName>
    <definedName name="_obl18" localSheetId="20">#REF!</definedName>
    <definedName name="_obl18" localSheetId="1">#REF!</definedName>
    <definedName name="_obl18">#REF!</definedName>
    <definedName name="_obl181" localSheetId="2">#REF!</definedName>
    <definedName name="_obl181" localSheetId="4">#REF!</definedName>
    <definedName name="_obl181" localSheetId="5">#REF!</definedName>
    <definedName name="_obl181" localSheetId="6">#REF!</definedName>
    <definedName name="_obl181" localSheetId="7">#REF!</definedName>
    <definedName name="_obl181" localSheetId="8">#REF!</definedName>
    <definedName name="_obl181" localSheetId="10">#REF!</definedName>
    <definedName name="_obl181" localSheetId="11">#REF!</definedName>
    <definedName name="_obl181" localSheetId="19">#REF!</definedName>
    <definedName name="_obl181" localSheetId="14">#REF!</definedName>
    <definedName name="_obl181" localSheetId="13">#REF!</definedName>
    <definedName name="_obl181" localSheetId="23">#REF!</definedName>
    <definedName name="_obl181" localSheetId="24">#REF!</definedName>
    <definedName name="_obl181" localSheetId="21">#REF!</definedName>
    <definedName name="_obl181" localSheetId="20">#REF!</definedName>
    <definedName name="_obl181" localSheetId="1">#REF!</definedName>
    <definedName name="_obl181">#REF!</definedName>
    <definedName name="_obl1816" localSheetId="2">#REF!</definedName>
    <definedName name="_obl1816" localSheetId="4">#REF!</definedName>
    <definedName name="_obl1816" localSheetId="5">#REF!</definedName>
    <definedName name="_obl1816" localSheetId="6">#REF!</definedName>
    <definedName name="_obl1816" localSheetId="7">#REF!</definedName>
    <definedName name="_obl1816" localSheetId="8">#REF!</definedName>
    <definedName name="_obl1816" localSheetId="10">#REF!</definedName>
    <definedName name="_obl1816" localSheetId="11">#REF!</definedName>
    <definedName name="_obl1816" localSheetId="19">#REF!</definedName>
    <definedName name="_obl1816" localSheetId="14">#REF!</definedName>
    <definedName name="_obl1816" localSheetId="13">#REF!</definedName>
    <definedName name="_obl1816" localSheetId="23">#REF!</definedName>
    <definedName name="_obl1816" localSheetId="24">#REF!</definedName>
    <definedName name="_obl1816" localSheetId="21">#REF!</definedName>
    <definedName name="_obl1816" localSheetId="20">#REF!</definedName>
    <definedName name="_obl1816" localSheetId="1">#REF!</definedName>
    <definedName name="_obl1816">#REF!</definedName>
    <definedName name="_obl1820" localSheetId="2">#REF!</definedName>
    <definedName name="_obl1820" localSheetId="4">#REF!</definedName>
    <definedName name="_obl1820" localSheetId="5">#REF!</definedName>
    <definedName name="_obl1820" localSheetId="6">#REF!</definedName>
    <definedName name="_obl1820" localSheetId="7">#REF!</definedName>
    <definedName name="_obl1820" localSheetId="8">#REF!</definedName>
    <definedName name="_obl1820" localSheetId="10">#REF!</definedName>
    <definedName name="_obl1820" localSheetId="11">#REF!</definedName>
    <definedName name="_obl1820" localSheetId="19">#REF!</definedName>
    <definedName name="_obl1820" localSheetId="14">#REF!</definedName>
    <definedName name="_obl1820" localSheetId="13">#REF!</definedName>
    <definedName name="_obl1820" localSheetId="23">#REF!</definedName>
    <definedName name="_obl1820" localSheetId="24">#REF!</definedName>
    <definedName name="_obl1820" localSheetId="21">#REF!</definedName>
    <definedName name="_obl1820" localSheetId="20">#REF!</definedName>
    <definedName name="_obl1820" localSheetId="1">#REF!</definedName>
    <definedName name="_obl1820">#REF!</definedName>
    <definedName name="_obl1821" localSheetId="2">#REF!</definedName>
    <definedName name="_obl1821" localSheetId="4">#REF!</definedName>
    <definedName name="_obl1821" localSheetId="5">#REF!</definedName>
    <definedName name="_obl1821" localSheetId="6">#REF!</definedName>
    <definedName name="_obl1821" localSheetId="7">#REF!</definedName>
    <definedName name="_obl1821" localSheetId="8">#REF!</definedName>
    <definedName name="_obl1821" localSheetId="10">#REF!</definedName>
    <definedName name="_obl1821" localSheetId="11">#REF!</definedName>
    <definedName name="_obl1821" localSheetId="19">#REF!</definedName>
    <definedName name="_obl1821" localSheetId="14">#REF!</definedName>
    <definedName name="_obl1821" localSheetId="13">#REF!</definedName>
    <definedName name="_obl1821" localSheetId="23">#REF!</definedName>
    <definedName name="_obl1821" localSheetId="24">#REF!</definedName>
    <definedName name="_obl1821" localSheetId="21">#REF!</definedName>
    <definedName name="_obl1821" localSheetId="20">#REF!</definedName>
    <definedName name="_obl1821" localSheetId="1">#REF!</definedName>
    <definedName name="_obl1821">#REF!</definedName>
    <definedName name="_obl1822" localSheetId="2">#REF!</definedName>
    <definedName name="_obl1822" localSheetId="4">#REF!</definedName>
    <definedName name="_obl1822" localSheetId="5">#REF!</definedName>
    <definedName name="_obl1822" localSheetId="6">#REF!</definedName>
    <definedName name="_obl1822" localSheetId="7">#REF!</definedName>
    <definedName name="_obl1822" localSheetId="8">#REF!</definedName>
    <definedName name="_obl1822" localSheetId="10">#REF!</definedName>
    <definedName name="_obl1822" localSheetId="11">#REF!</definedName>
    <definedName name="_obl1822" localSheetId="19">#REF!</definedName>
    <definedName name="_obl1822" localSheetId="14">#REF!</definedName>
    <definedName name="_obl1822" localSheetId="13">#REF!</definedName>
    <definedName name="_obl1822" localSheetId="23">#REF!</definedName>
    <definedName name="_obl1822" localSheetId="24">#REF!</definedName>
    <definedName name="_obl1822" localSheetId="21">#REF!</definedName>
    <definedName name="_obl1822" localSheetId="20">#REF!</definedName>
    <definedName name="_obl1822" localSheetId="1">#REF!</definedName>
    <definedName name="_obl1822">#REF!</definedName>
    <definedName name="_obl1823" localSheetId="2">#REF!</definedName>
    <definedName name="_obl1823" localSheetId="4">#REF!</definedName>
    <definedName name="_obl1823" localSheetId="5">#REF!</definedName>
    <definedName name="_obl1823" localSheetId="6">#REF!</definedName>
    <definedName name="_obl1823" localSheetId="7">#REF!</definedName>
    <definedName name="_obl1823" localSheetId="8">#REF!</definedName>
    <definedName name="_obl1823" localSheetId="10">#REF!</definedName>
    <definedName name="_obl1823" localSheetId="11">#REF!</definedName>
    <definedName name="_obl1823" localSheetId="19">#REF!</definedName>
    <definedName name="_obl1823" localSheetId="14">#REF!</definedName>
    <definedName name="_obl1823" localSheetId="13">#REF!</definedName>
    <definedName name="_obl1823" localSheetId="23">#REF!</definedName>
    <definedName name="_obl1823" localSheetId="24">#REF!</definedName>
    <definedName name="_obl1823" localSheetId="21">#REF!</definedName>
    <definedName name="_obl1823" localSheetId="20">#REF!</definedName>
    <definedName name="_obl1823" localSheetId="1">#REF!</definedName>
    <definedName name="_obl1823">#REF!</definedName>
    <definedName name="_obl1824" localSheetId="2">#REF!</definedName>
    <definedName name="_obl1824" localSheetId="4">#REF!</definedName>
    <definedName name="_obl1824" localSheetId="5">#REF!</definedName>
    <definedName name="_obl1824" localSheetId="6">#REF!</definedName>
    <definedName name="_obl1824" localSheetId="7">#REF!</definedName>
    <definedName name="_obl1824" localSheetId="8">#REF!</definedName>
    <definedName name="_obl1824" localSheetId="10">#REF!</definedName>
    <definedName name="_obl1824" localSheetId="11">#REF!</definedName>
    <definedName name="_obl1824" localSheetId="19">#REF!</definedName>
    <definedName name="_obl1824" localSheetId="14">#REF!</definedName>
    <definedName name="_obl1824" localSheetId="13">#REF!</definedName>
    <definedName name="_obl1824" localSheetId="23">#REF!</definedName>
    <definedName name="_obl1824" localSheetId="24">#REF!</definedName>
    <definedName name="_obl1824" localSheetId="21">#REF!</definedName>
    <definedName name="_obl1824" localSheetId="20">#REF!</definedName>
    <definedName name="_obl1824" localSheetId="1">#REF!</definedName>
    <definedName name="_obl1824">#REF!</definedName>
    <definedName name="_obl1825" localSheetId="2">#REF!</definedName>
    <definedName name="_obl1825" localSheetId="4">#REF!</definedName>
    <definedName name="_obl1825" localSheetId="5">#REF!</definedName>
    <definedName name="_obl1825" localSheetId="6">#REF!</definedName>
    <definedName name="_obl1825" localSheetId="7">#REF!</definedName>
    <definedName name="_obl1825" localSheetId="8">#REF!</definedName>
    <definedName name="_obl1825" localSheetId="10">#REF!</definedName>
    <definedName name="_obl1825" localSheetId="11">#REF!</definedName>
    <definedName name="_obl1825" localSheetId="19">#REF!</definedName>
    <definedName name="_obl1825" localSheetId="14">#REF!</definedName>
    <definedName name="_obl1825" localSheetId="13">#REF!</definedName>
    <definedName name="_obl1825" localSheetId="23">#REF!</definedName>
    <definedName name="_obl1825" localSheetId="24">#REF!</definedName>
    <definedName name="_obl1825" localSheetId="21">#REF!</definedName>
    <definedName name="_obl1825" localSheetId="20">#REF!</definedName>
    <definedName name="_obl1825" localSheetId="1">#REF!</definedName>
    <definedName name="_obl1825">#REF!</definedName>
    <definedName name="_obl1826" localSheetId="2">#REF!</definedName>
    <definedName name="_obl1826" localSheetId="4">#REF!</definedName>
    <definedName name="_obl1826" localSheetId="5">#REF!</definedName>
    <definedName name="_obl1826" localSheetId="6">#REF!</definedName>
    <definedName name="_obl1826" localSheetId="7">#REF!</definedName>
    <definedName name="_obl1826" localSheetId="8">#REF!</definedName>
    <definedName name="_obl1826" localSheetId="10">#REF!</definedName>
    <definedName name="_obl1826" localSheetId="11">#REF!</definedName>
    <definedName name="_obl1826" localSheetId="19">#REF!</definedName>
    <definedName name="_obl1826" localSheetId="14">#REF!</definedName>
    <definedName name="_obl1826" localSheetId="13">#REF!</definedName>
    <definedName name="_obl1826" localSheetId="23">#REF!</definedName>
    <definedName name="_obl1826" localSheetId="24">#REF!</definedName>
    <definedName name="_obl1826" localSheetId="21">#REF!</definedName>
    <definedName name="_obl1826" localSheetId="20">#REF!</definedName>
    <definedName name="_obl1826" localSheetId="1">#REF!</definedName>
    <definedName name="_obl1826">#REF!</definedName>
    <definedName name="_obl1827" localSheetId="2">#REF!</definedName>
    <definedName name="_obl1827" localSheetId="4">#REF!</definedName>
    <definedName name="_obl1827" localSheetId="5">#REF!</definedName>
    <definedName name="_obl1827" localSheetId="6">#REF!</definedName>
    <definedName name="_obl1827" localSheetId="7">#REF!</definedName>
    <definedName name="_obl1827" localSheetId="8">#REF!</definedName>
    <definedName name="_obl1827" localSheetId="10">#REF!</definedName>
    <definedName name="_obl1827" localSheetId="11">#REF!</definedName>
    <definedName name="_obl1827" localSheetId="19">#REF!</definedName>
    <definedName name="_obl1827" localSheetId="14">#REF!</definedName>
    <definedName name="_obl1827" localSheetId="13">#REF!</definedName>
    <definedName name="_obl1827" localSheetId="23">#REF!</definedName>
    <definedName name="_obl1827" localSheetId="24">#REF!</definedName>
    <definedName name="_obl1827" localSheetId="21">#REF!</definedName>
    <definedName name="_obl1827" localSheetId="20">#REF!</definedName>
    <definedName name="_obl1827" localSheetId="1">#REF!</definedName>
    <definedName name="_obl1827">#REF!</definedName>
    <definedName name="_obl1828" localSheetId="2">#REF!</definedName>
    <definedName name="_obl1828" localSheetId="4">#REF!</definedName>
    <definedName name="_obl1828" localSheetId="5">#REF!</definedName>
    <definedName name="_obl1828" localSheetId="6">#REF!</definedName>
    <definedName name="_obl1828" localSheetId="7">#REF!</definedName>
    <definedName name="_obl1828" localSheetId="8">#REF!</definedName>
    <definedName name="_obl1828" localSheetId="10">#REF!</definedName>
    <definedName name="_obl1828" localSheetId="11">#REF!</definedName>
    <definedName name="_obl1828" localSheetId="19">#REF!</definedName>
    <definedName name="_obl1828" localSheetId="14">#REF!</definedName>
    <definedName name="_obl1828" localSheetId="13">#REF!</definedName>
    <definedName name="_obl1828" localSheetId="23">#REF!</definedName>
    <definedName name="_obl1828" localSheetId="24">#REF!</definedName>
    <definedName name="_obl1828" localSheetId="21">#REF!</definedName>
    <definedName name="_obl1828" localSheetId="20">#REF!</definedName>
    <definedName name="_obl1828" localSheetId="1">#REF!</definedName>
    <definedName name="_obl1828">#REF!</definedName>
    <definedName name="_obl1829" localSheetId="2">#REF!</definedName>
    <definedName name="_obl1829" localSheetId="4">#REF!</definedName>
    <definedName name="_obl1829" localSheetId="5">#REF!</definedName>
    <definedName name="_obl1829" localSheetId="6">#REF!</definedName>
    <definedName name="_obl1829" localSheetId="7">#REF!</definedName>
    <definedName name="_obl1829" localSheetId="8">#REF!</definedName>
    <definedName name="_obl1829" localSheetId="10">#REF!</definedName>
    <definedName name="_obl1829" localSheetId="11">#REF!</definedName>
    <definedName name="_obl1829" localSheetId="19">#REF!</definedName>
    <definedName name="_obl1829" localSheetId="14">#REF!</definedName>
    <definedName name="_obl1829" localSheetId="13">#REF!</definedName>
    <definedName name="_obl1829" localSheetId="23">#REF!</definedName>
    <definedName name="_obl1829" localSheetId="24">#REF!</definedName>
    <definedName name="_obl1829" localSheetId="21">#REF!</definedName>
    <definedName name="_obl1829" localSheetId="20">#REF!</definedName>
    <definedName name="_obl1829" localSheetId="1">#REF!</definedName>
    <definedName name="_obl1829">#REF!</definedName>
    <definedName name="_obl183" localSheetId="2">#REF!</definedName>
    <definedName name="_obl183" localSheetId="4">#REF!</definedName>
    <definedName name="_obl183" localSheetId="5">#REF!</definedName>
    <definedName name="_obl183" localSheetId="6">#REF!</definedName>
    <definedName name="_obl183" localSheetId="7">#REF!</definedName>
    <definedName name="_obl183" localSheetId="8">#REF!</definedName>
    <definedName name="_obl183" localSheetId="10">#REF!</definedName>
    <definedName name="_obl183" localSheetId="11">#REF!</definedName>
    <definedName name="_obl183" localSheetId="19">#REF!</definedName>
    <definedName name="_obl183" localSheetId="14">#REF!</definedName>
    <definedName name="_obl183" localSheetId="13">#REF!</definedName>
    <definedName name="_obl183" localSheetId="23">#REF!</definedName>
    <definedName name="_obl183" localSheetId="24">#REF!</definedName>
    <definedName name="_obl183" localSheetId="21">#REF!</definedName>
    <definedName name="_obl183" localSheetId="20">#REF!</definedName>
    <definedName name="_obl183" localSheetId="1">#REF!</definedName>
    <definedName name="_obl183">#REF!</definedName>
    <definedName name="_obl1831" localSheetId="2">#REF!</definedName>
    <definedName name="_obl1831" localSheetId="4">#REF!</definedName>
    <definedName name="_obl1831" localSheetId="5">#REF!</definedName>
    <definedName name="_obl1831" localSheetId="6">#REF!</definedName>
    <definedName name="_obl1831" localSheetId="7">#REF!</definedName>
    <definedName name="_obl1831" localSheetId="8">#REF!</definedName>
    <definedName name="_obl1831" localSheetId="10">#REF!</definedName>
    <definedName name="_obl1831" localSheetId="11">#REF!</definedName>
    <definedName name="_obl1831" localSheetId="19">#REF!</definedName>
    <definedName name="_obl1831" localSheetId="14">#REF!</definedName>
    <definedName name="_obl1831" localSheetId="13">#REF!</definedName>
    <definedName name="_obl1831" localSheetId="23">#REF!</definedName>
    <definedName name="_obl1831" localSheetId="24">#REF!</definedName>
    <definedName name="_obl1831" localSheetId="21">#REF!</definedName>
    <definedName name="_obl1831" localSheetId="20">#REF!</definedName>
    <definedName name="_obl1831" localSheetId="1">#REF!</definedName>
    <definedName name="_obl1831">#REF!</definedName>
    <definedName name="_obl1832" localSheetId="2">#REF!</definedName>
    <definedName name="_obl1832" localSheetId="4">#REF!</definedName>
    <definedName name="_obl1832" localSheetId="5">#REF!</definedName>
    <definedName name="_obl1832" localSheetId="6">#REF!</definedName>
    <definedName name="_obl1832" localSheetId="7">#REF!</definedName>
    <definedName name="_obl1832" localSheetId="8">#REF!</definedName>
    <definedName name="_obl1832" localSheetId="10">#REF!</definedName>
    <definedName name="_obl1832" localSheetId="11">#REF!</definedName>
    <definedName name="_obl1832" localSheetId="19">#REF!</definedName>
    <definedName name="_obl1832" localSheetId="14">#REF!</definedName>
    <definedName name="_obl1832" localSheetId="13">#REF!</definedName>
    <definedName name="_obl1832" localSheetId="23">#REF!</definedName>
    <definedName name="_obl1832" localSheetId="24">#REF!</definedName>
    <definedName name="_obl1832" localSheetId="21">#REF!</definedName>
    <definedName name="_obl1832" localSheetId="20">#REF!</definedName>
    <definedName name="_obl1832" localSheetId="1">#REF!</definedName>
    <definedName name="_obl1832">#REF!</definedName>
    <definedName name="_obl184" localSheetId="2">#REF!</definedName>
    <definedName name="_obl184" localSheetId="4">#REF!</definedName>
    <definedName name="_obl184" localSheetId="5">#REF!</definedName>
    <definedName name="_obl184" localSheetId="6">#REF!</definedName>
    <definedName name="_obl184" localSheetId="7">#REF!</definedName>
    <definedName name="_obl184" localSheetId="8">#REF!</definedName>
    <definedName name="_obl184" localSheetId="10">#REF!</definedName>
    <definedName name="_obl184" localSheetId="11">#REF!</definedName>
    <definedName name="_obl184" localSheetId="19">#REF!</definedName>
    <definedName name="_obl184" localSheetId="14">#REF!</definedName>
    <definedName name="_obl184" localSheetId="13">#REF!</definedName>
    <definedName name="_obl184" localSheetId="23">#REF!</definedName>
    <definedName name="_obl184" localSheetId="24">#REF!</definedName>
    <definedName name="_obl184" localSheetId="21">#REF!</definedName>
    <definedName name="_obl184" localSheetId="20">#REF!</definedName>
    <definedName name="_obl184" localSheetId="1">#REF!</definedName>
    <definedName name="_obl184">#REF!</definedName>
    <definedName name="_obl185" localSheetId="2">#REF!</definedName>
    <definedName name="_obl185" localSheetId="4">#REF!</definedName>
    <definedName name="_obl185" localSheetId="5">#REF!</definedName>
    <definedName name="_obl185" localSheetId="6">#REF!</definedName>
    <definedName name="_obl185" localSheetId="7">#REF!</definedName>
    <definedName name="_obl185" localSheetId="8">#REF!</definedName>
    <definedName name="_obl185" localSheetId="10">#REF!</definedName>
    <definedName name="_obl185" localSheetId="11">#REF!</definedName>
    <definedName name="_obl185" localSheetId="19">#REF!</definedName>
    <definedName name="_obl185" localSheetId="14">#REF!</definedName>
    <definedName name="_obl185" localSheetId="13">#REF!</definedName>
    <definedName name="_obl185" localSheetId="23">#REF!</definedName>
    <definedName name="_obl185" localSheetId="24">#REF!</definedName>
    <definedName name="_obl185" localSheetId="21">#REF!</definedName>
    <definedName name="_obl185" localSheetId="20">#REF!</definedName>
    <definedName name="_obl185" localSheetId="1">#REF!</definedName>
    <definedName name="_obl185">#REF!</definedName>
    <definedName name="_obl186" localSheetId="2">#REF!</definedName>
    <definedName name="_obl186" localSheetId="4">#REF!</definedName>
    <definedName name="_obl186" localSheetId="5">#REF!</definedName>
    <definedName name="_obl186" localSheetId="6">#REF!</definedName>
    <definedName name="_obl186" localSheetId="7">#REF!</definedName>
    <definedName name="_obl186" localSheetId="8">#REF!</definedName>
    <definedName name="_obl186" localSheetId="10">#REF!</definedName>
    <definedName name="_obl186" localSheetId="11">#REF!</definedName>
    <definedName name="_obl186" localSheetId="19">#REF!</definedName>
    <definedName name="_obl186" localSheetId="14">#REF!</definedName>
    <definedName name="_obl186" localSheetId="13">#REF!</definedName>
    <definedName name="_obl186" localSheetId="23">#REF!</definedName>
    <definedName name="_obl186" localSheetId="24">#REF!</definedName>
    <definedName name="_obl186" localSheetId="21">#REF!</definedName>
    <definedName name="_obl186" localSheetId="20">#REF!</definedName>
    <definedName name="_obl186" localSheetId="1">#REF!</definedName>
    <definedName name="_obl186">#REF!</definedName>
    <definedName name="_obl187" localSheetId="2">#REF!</definedName>
    <definedName name="_obl187" localSheetId="4">#REF!</definedName>
    <definedName name="_obl187" localSheetId="5">#REF!</definedName>
    <definedName name="_obl187" localSheetId="6">#REF!</definedName>
    <definedName name="_obl187" localSheetId="7">#REF!</definedName>
    <definedName name="_obl187" localSheetId="8">#REF!</definedName>
    <definedName name="_obl187" localSheetId="10">#REF!</definedName>
    <definedName name="_obl187" localSheetId="11">#REF!</definedName>
    <definedName name="_obl187" localSheetId="19">#REF!</definedName>
    <definedName name="_obl187" localSheetId="14">#REF!</definedName>
    <definedName name="_obl187" localSheetId="13">#REF!</definedName>
    <definedName name="_obl187" localSheetId="23">#REF!</definedName>
    <definedName name="_obl187" localSheetId="24">#REF!</definedName>
    <definedName name="_obl187" localSheetId="21">#REF!</definedName>
    <definedName name="_obl187" localSheetId="20">#REF!</definedName>
    <definedName name="_obl187" localSheetId="1">#REF!</definedName>
    <definedName name="_obl187">#REF!</definedName>
    <definedName name="_SO16" localSheetId="2" hidden="1">{#N/A,#N/A,TRUE,"Krycí list"}</definedName>
    <definedName name="_SO16" localSheetId="4" hidden="1">{#N/A,#N/A,TRUE,"Krycí list"}</definedName>
    <definedName name="_SO16" localSheetId="5" hidden="1">{#N/A,#N/A,TRUE,"Krycí list"}</definedName>
    <definedName name="_SO16" localSheetId="6" hidden="1">{#N/A,#N/A,TRUE,"Krycí list"}</definedName>
    <definedName name="_SO16" localSheetId="7" hidden="1">{#N/A,#N/A,TRUE,"Krycí list"}</definedName>
    <definedName name="_SO16" localSheetId="8" hidden="1">{#N/A,#N/A,TRUE,"Krycí list"}</definedName>
    <definedName name="_SO16" localSheetId="9" hidden="1">{#N/A,#N/A,TRUE,"Krycí list"}</definedName>
    <definedName name="_SO16" localSheetId="10" hidden="1">{#N/A,#N/A,TRUE,"Krycí list"}</definedName>
    <definedName name="_SO16" localSheetId="11" hidden="1">{#N/A,#N/A,TRUE,"Krycí list"}</definedName>
    <definedName name="_SO16" localSheetId="19" hidden="1">{#N/A,#N/A,TRUE,"Krycí list"}</definedName>
    <definedName name="_SO16" localSheetId="14" hidden="1">{#N/A,#N/A,TRUE,"Krycí list"}</definedName>
    <definedName name="_SO16" localSheetId="12" hidden="1">{#N/A,#N/A,TRUE,"Krycí list"}</definedName>
    <definedName name="_SO16" localSheetId="13" hidden="1">{#N/A,#N/A,TRUE,"Krycí list"}</definedName>
    <definedName name="_SO16" localSheetId="16" hidden="1">{#N/A,#N/A,TRUE,"Krycí list"}</definedName>
    <definedName name="_SO16" localSheetId="17" hidden="1">{#N/A,#N/A,TRUE,"Krycí list"}</definedName>
    <definedName name="_SO16" localSheetId="23" hidden="1">{#N/A,#N/A,TRUE,"Krycí list"}</definedName>
    <definedName name="_SO16" localSheetId="24" hidden="1">{#N/A,#N/A,TRUE,"Krycí list"}</definedName>
    <definedName name="_SO16" localSheetId="0" hidden="1">{#N/A,#N/A,TRUE,"Krycí list"}</definedName>
    <definedName name="_SO16" localSheetId="21" hidden="1">{#N/A,#N/A,TRUE,"Krycí list"}</definedName>
    <definedName name="_SO16" localSheetId="3" hidden="1">{#N/A,#N/A,TRUE,"Krycí list"}</definedName>
    <definedName name="_SO16" localSheetId="18" hidden="1">{#N/A,#N/A,TRUE,"Krycí list"}</definedName>
    <definedName name="_SO16" localSheetId="22" hidden="1">{#N/A,#N/A,TRUE,"Krycí list"}</definedName>
    <definedName name="_SO16" localSheetId="2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4">Scheduled_Payment+Extra_Payment</definedName>
    <definedName name="_VZT1" localSheetId="5">Scheduled_Payment+Extra_Payment</definedName>
    <definedName name="_VZT1" localSheetId="6">Scheduled_Payment+Extra_Payment</definedName>
    <definedName name="_VZT1" localSheetId="7">Scheduled_Payment+Extra_Payment</definedName>
    <definedName name="_VZT1" localSheetId="8">Scheduled_Payment+Extra_Payment</definedName>
    <definedName name="_VZT1" localSheetId="9">Scheduled_Payment+Extra_Payment</definedName>
    <definedName name="_VZT1" localSheetId="10">Scheduled_Payment+Extra_Payment</definedName>
    <definedName name="_VZT1" localSheetId="11">Scheduled_Payment+Extra_Payment</definedName>
    <definedName name="_VZT1" localSheetId="19">Scheduled_Payment+Extra_Payment</definedName>
    <definedName name="_VZT1" localSheetId="14">Scheduled_Payment+Extra_Payment</definedName>
    <definedName name="_VZT1" localSheetId="12">Scheduled_Payment+Extra_Payment</definedName>
    <definedName name="_VZT1" localSheetId="13">Scheduled_Payment+Extra_Payment</definedName>
    <definedName name="_VZT1" localSheetId="16">Scheduled_Payment+Extra_Payment</definedName>
    <definedName name="_VZT1" localSheetId="17">Scheduled_Payment+Extra_Payment</definedName>
    <definedName name="_VZT1" localSheetId="23">Scheduled_Payment+Extra_Payment</definedName>
    <definedName name="_VZT1" localSheetId="24">Scheduled_Payment+Extra_Payment</definedName>
    <definedName name="_VZT1" localSheetId="0">Scheduled_Payment+Extra_Payment</definedName>
    <definedName name="_VZT1" localSheetId="21">Scheduled_Payment+Extra_Payment</definedName>
    <definedName name="_VZT1" localSheetId="3">Scheduled_Payment+Extra_Payment</definedName>
    <definedName name="_VZT1" localSheetId="18">Scheduled_Payment+Extra_Payment</definedName>
    <definedName name="_VZT1" localSheetId="22">Scheduled_Payment+Extra_Payment</definedName>
    <definedName name="_VZT1" localSheetId="20">Scheduled_Payment+Extra_Payment</definedName>
    <definedName name="_VZT1" localSheetId="1">Scheduled_Payment+Extra_Payment</definedName>
    <definedName name="_VZT1">Scheduled_Payment+Extra_Payment</definedName>
    <definedName name="_VZT2" localSheetId="2">DATE(YEAR([1]!Loan_Start),MONTH([1]!Loan_Start)+Payment_Number,DAY([1]!Loan_Start))</definedName>
    <definedName name="_VZT2" localSheetId="4">DATE(YEAR([1]!Loan_Start),MONTH([1]!Loan_Start)+Payment_Number,DAY([1]!Loan_Start))</definedName>
    <definedName name="_VZT2" localSheetId="5">DATE(YEAR([1]!Loan_Start),MONTH([1]!Loan_Start)+Payment_Number,DAY([1]!Loan_Start))</definedName>
    <definedName name="_VZT2" localSheetId="6">DATE(YEAR([1]!Loan_Start),MONTH([1]!Loan_Start)+Payment_Number,DAY([1]!Loan_Start))</definedName>
    <definedName name="_VZT2" localSheetId="7">DATE(YEAR([1]!Loan_Start),MONTH([1]!Loan_Start)+Payment_Number,DAY([1]!Loan_Start))</definedName>
    <definedName name="_VZT2" localSheetId="8">DATE(YEAR([1]!Loan_Start),MONTH([1]!Loan_Start)+Payment_Number,DAY([1]!Loan_Start))</definedName>
    <definedName name="_VZT2" localSheetId="9">DATE(YEAR([1]!Loan_Start),MONTH([1]!Loan_Start)+Payment_Number,DAY([1]!Loan_Start))</definedName>
    <definedName name="_VZT2" localSheetId="10">DATE(YEAR([1]!Loan_Start),MONTH([1]!Loan_Start)+Payment_Number,DAY([1]!Loan_Start))</definedName>
    <definedName name="_VZT2" localSheetId="11">DATE(YEAR([2]!Loan_Start),MONTH([2]!Loan_Start)+Payment_Number,DAY([2]!Loan_Start))</definedName>
    <definedName name="_VZT2" localSheetId="19">DATE(YEAR([3]!Loan_Start),MONTH([3]!Loan_Start)+Payment_Number,DAY([3]!Loan_Start))</definedName>
    <definedName name="_VZT2" localSheetId="14">DATE(YEAR([2]!Loan_Start),MONTH([2]!Loan_Start)+Payment_Number,DAY([2]!Loan_Start))</definedName>
    <definedName name="_VZT2" localSheetId="12">DATE(YEAR([4]!Loan_Start),MONTH([4]!Loan_Start)+Payment_Number,DAY([4]!Loan_Start))</definedName>
    <definedName name="_VZT2" localSheetId="13">DATE(YEAR([2]!Loan_Start),MONTH([2]!Loan_Start)+Payment_Number,DAY([2]!Loan_Start))</definedName>
    <definedName name="_VZT2" localSheetId="16">DATE(YEAR('D.1.4.7. SILNOPROUD'!Loan_Start),MONTH('D.1.4.7. SILNOPROUD'!Loan_Start)+Payment_Number,DAY('D.1.4.7. SILNOPROUD'!Loan_Start))</definedName>
    <definedName name="_VZT2" localSheetId="17">DATE(YEAR([4]!Loan_Start),MONTH([4]!Loan_Start)+Payment_Number,DAY([4]!Loan_Start))</definedName>
    <definedName name="_VZT2" localSheetId="23">DATE(YEAR([3]!Loan_Start),MONTH([3]!Loan_Start)+Payment_Number,DAY([3]!Loan_Start))</definedName>
    <definedName name="_VZT2" localSheetId="24">DATE(YEAR([3]!Loan_Start),MONTH([3]!Loan_Start)+Payment_Number,DAY([3]!Loan_Start))</definedName>
    <definedName name="_VZT2" localSheetId="0">DATE(YEAR([0]!Loan_Start),MONTH([0]!Loan_Start)+Payment_Number,DAY([0]!Loan_Start))</definedName>
    <definedName name="_VZT2" localSheetId="21">DATE(YEAR([3]!Loan_Start),MONTH([3]!Loan_Start)+Payment_Number,DAY([3]!Loan_Start))</definedName>
    <definedName name="_VZT2" localSheetId="3">DATE(YEAR([5]!Loan_Start),MONTH([5]!Loan_Start)+Payment_Number,DAY([5]!Loan_Start))</definedName>
    <definedName name="_VZT2" localSheetId="18">DATE(YEAR([5]!Loan_Start),MONTH([5]!Loan_Start)+Payment_Number,DAY([5]!Loan_Start))</definedName>
    <definedName name="_VZT2" localSheetId="22">DATE(YEAR([5]!Loan_Start),MONTH([5]!Loan_Start)+Payment_Number,DAY([5]!Loan_Start))</definedName>
    <definedName name="_VZT2" localSheetId="20">DATE(YEAR([3]!Loan_Start),MONTH([3]!Loan_Start)+Payment_Number,DAY([3]!Loan_Start))</definedName>
    <definedName name="_VZT2" localSheetId="1">DATE(YEAR(VRN!Loan_Start),MONTH(VRN!Loan_Start)+Payment_Number,DAY(VRN!Loan_Start))</definedName>
    <definedName name="_VZT2">DATE(YEAR([0]!Loan_Start),MONTH([0]!Loan_Start)+Payment_Number,DAY([0]!Loan_Start))</definedName>
    <definedName name="_VZT22" localSheetId="4">DATE(YEAR([1]!Loan_Start),MONTH([1]!Loan_Start)+Payment_Number,DAY([1]!Loan_Start))</definedName>
    <definedName name="_VZT22" localSheetId="5">DATE(YEAR([1]!Loan_Start),MONTH([1]!Loan_Start)+Payment_Number,DAY([1]!Loan_Start))</definedName>
    <definedName name="_VZT22" localSheetId="19">DATE(YEAR([6]!Loan_Start),MONTH([6]!Loan_Start)+Payment_Number,DAY([6]!Loan_Start))</definedName>
    <definedName name="_VZT22" localSheetId="12">DATE(YEAR([1]!Loan_Start),MONTH([1]!Loan_Start)+Payment_Number,DAY([1]!Loan_Start))</definedName>
    <definedName name="_VZT22" localSheetId="16">DATE(YEAR([1]!Loan_Start),MONTH([1]!Loan_Start)+Payment_Number,DAY([1]!Loan_Start))</definedName>
    <definedName name="_VZT22" localSheetId="17">DATE(YEAR([1]!Loan_Start),MONTH([1]!Loan_Start)+Payment_Number,DAY([1]!Loan_Start))</definedName>
    <definedName name="_VZT22" localSheetId="3">DATE(YEAR([1]!Loan_Start),MONTH([1]!Loan_Start)+Payment_Number,DAY([1]!Loan_Start))</definedName>
    <definedName name="_VZT22" localSheetId="18">DATE(YEAR([1]!Loan_Start),MONTH([1]!Loan_Start)+Payment_Number,DAY([1]!Loan_Start))</definedName>
    <definedName name="_VZT22" localSheetId="22">DATE(YEAR([1]!Loan_Start),MONTH([1]!Loan_Start)+Payment_Number,DAY([1]!Loan_Start))</definedName>
    <definedName name="_VZT22">DATE(YEAR([1]!Loan_Start),MONTH([1]!Loan_Start)+Payment_Number,DAY([1]!Loan_Start))</definedName>
    <definedName name="_vzt3" localSheetId="2">'[7]Rekapitulace roz.  vč. kapitol'!#REF!</definedName>
    <definedName name="_vzt3" localSheetId="4">'[7]Rekapitulace roz.  vč. kapitol'!#REF!</definedName>
    <definedName name="_vzt3" localSheetId="5">'[7]Rekapitulace roz.  vč. kapitol'!#REF!</definedName>
    <definedName name="_vzt3" localSheetId="6">'[7]Rekapitulace roz.  vč. kapitol'!#REF!</definedName>
    <definedName name="_vzt3" localSheetId="7">'[7]Rekapitulace roz.  vč. kapitol'!#REF!</definedName>
    <definedName name="_vzt3" localSheetId="8">'[7]Rekapitulace roz.  vč. kapitol'!#REF!</definedName>
    <definedName name="_vzt3" localSheetId="9">'[7]Rekapitulace roz.  vč. kapitol'!#REF!</definedName>
    <definedName name="_vzt3" localSheetId="10">'[7]Rekapitulace roz.  vč. kapitol'!#REF!</definedName>
    <definedName name="_vzt3" localSheetId="11">'[7]Rekapitulace roz.  vč. kapitol'!#REF!</definedName>
    <definedName name="_vzt3" localSheetId="19">'[7]Rekapitulace roz.  vč. kapitol'!#REF!</definedName>
    <definedName name="_vzt3" localSheetId="14">'[7]Rekapitulace roz.  vč. kapitol'!#REF!</definedName>
    <definedName name="_vzt3" localSheetId="12">'[7]Rekapitulace roz.  vč. kapitol'!#REF!</definedName>
    <definedName name="_vzt3" localSheetId="13">'[7]Rekapitulace roz.  vč. kapitol'!#REF!</definedName>
    <definedName name="_vzt3" localSheetId="16">'[7]Rekapitulace roz.  vč. kapitol'!#REF!</definedName>
    <definedName name="_vzt3" localSheetId="17">'[7]Rekapitulace roz.  vč. kapitol'!#REF!</definedName>
    <definedName name="_vzt3" localSheetId="23">'[7]Rekapitulace roz.  vč. kapitol'!#REF!</definedName>
    <definedName name="_vzt3" localSheetId="24">'[7]Rekapitulace roz.  vč. kapitol'!#REF!</definedName>
    <definedName name="_vzt3" localSheetId="21">'[7]Rekapitulace roz.  vč. kapitol'!#REF!</definedName>
    <definedName name="_vzt3" localSheetId="3">'[7]Rekapitulace roz.  vč. kapitol'!#REF!</definedName>
    <definedName name="_vzt3" localSheetId="18">'[7]Rekapitulace roz.  vč. kapitol'!#REF!</definedName>
    <definedName name="_vzt3" localSheetId="22">'[7]Rekapitulace roz.  vč. kapitol'!#REF!</definedName>
    <definedName name="_vzt3" localSheetId="20">'[7]Rekapitulace roz.  vč. kapitol'!#REF!</definedName>
    <definedName name="_vzt3" localSheetId="1">'[7]Rekapitulace roz.  vč. kapitol'!#REF!</definedName>
    <definedName name="_vzt3">'[7]Rekapitulace roz.  vč. kapitol'!#REF!</definedName>
    <definedName name="_VZT5" localSheetId="2">'[7]Rekapitulace roz.  vč. kapitol'!#REF!</definedName>
    <definedName name="_VZT5" localSheetId="4">'[7]Rekapitulace roz.  vč. kapitol'!#REF!</definedName>
    <definedName name="_VZT5" localSheetId="5">'[7]Rekapitulace roz.  vč. kapitol'!#REF!</definedName>
    <definedName name="_VZT5" localSheetId="6">'[7]Rekapitulace roz.  vč. kapitol'!#REF!</definedName>
    <definedName name="_VZT5" localSheetId="7">'[7]Rekapitulace roz.  vč. kapitol'!#REF!</definedName>
    <definedName name="_VZT5" localSheetId="8">'[7]Rekapitulace roz.  vč. kapitol'!#REF!</definedName>
    <definedName name="_VZT5" localSheetId="9">'[7]Rekapitulace roz.  vč. kapitol'!#REF!</definedName>
    <definedName name="_VZT5" localSheetId="10">'[7]Rekapitulace roz.  vč. kapitol'!#REF!</definedName>
    <definedName name="_VZT5" localSheetId="11">'[7]Rekapitulace roz.  vč. kapitol'!#REF!</definedName>
    <definedName name="_VZT5" localSheetId="19">'[7]Rekapitulace roz.  vč. kapitol'!#REF!</definedName>
    <definedName name="_VZT5" localSheetId="14">'[7]Rekapitulace roz.  vč. kapitol'!#REF!</definedName>
    <definedName name="_VZT5" localSheetId="12">'[7]Rekapitulace roz.  vč. kapitol'!#REF!</definedName>
    <definedName name="_VZT5" localSheetId="13">'[7]Rekapitulace roz.  vč. kapitol'!#REF!</definedName>
    <definedName name="_VZT5" localSheetId="16">'[7]Rekapitulace roz.  vč. kapitol'!#REF!</definedName>
    <definedName name="_VZT5" localSheetId="17">'[7]Rekapitulace roz.  vč. kapitol'!#REF!</definedName>
    <definedName name="_VZT5" localSheetId="23">'[7]Rekapitulace roz.  vč. kapitol'!#REF!</definedName>
    <definedName name="_VZT5" localSheetId="24">'[7]Rekapitulace roz.  vč. kapitol'!#REF!</definedName>
    <definedName name="_VZT5" localSheetId="21">'[7]Rekapitulace roz.  vč. kapitol'!#REF!</definedName>
    <definedName name="_VZT5" localSheetId="3">'[7]Rekapitulace roz.  vč. kapitol'!#REF!</definedName>
    <definedName name="_VZT5" localSheetId="18">'[7]Rekapitulace roz.  vč. kapitol'!#REF!</definedName>
    <definedName name="_VZT5" localSheetId="22">'[7]Rekapitulace roz.  vč. kapitol'!#REF!</definedName>
    <definedName name="_VZT5" localSheetId="20">'[7]Rekapitulace roz.  vč. kapitol'!#REF!</definedName>
    <definedName name="_VZT5" localSheetId="1">'[7]Rekapitulace roz.  vč. kapitol'!#REF!</definedName>
    <definedName name="_VZT5">'[7]Rekapitulace roz.  vč. kapitol'!#REF!</definedName>
    <definedName name="_VZT6" localSheetId="2">'[7]Rekapitulace roz.  vč. kapitol'!#REF!</definedName>
    <definedName name="_VZT6" localSheetId="4">'[7]Rekapitulace roz.  vč. kapitol'!#REF!</definedName>
    <definedName name="_VZT6" localSheetId="5">'[7]Rekapitulace roz.  vč. kapitol'!#REF!</definedName>
    <definedName name="_VZT6" localSheetId="6">'[7]Rekapitulace roz.  vč. kapitol'!#REF!</definedName>
    <definedName name="_VZT6" localSheetId="7">'[7]Rekapitulace roz.  vč. kapitol'!#REF!</definedName>
    <definedName name="_VZT6" localSheetId="8">'[7]Rekapitulace roz.  vč. kapitol'!#REF!</definedName>
    <definedName name="_VZT6" localSheetId="9">'[7]Rekapitulace roz.  vč. kapitol'!#REF!</definedName>
    <definedName name="_VZT6" localSheetId="10">'[7]Rekapitulace roz.  vč. kapitol'!#REF!</definedName>
    <definedName name="_VZT6" localSheetId="11">'[7]Rekapitulace roz.  vč. kapitol'!#REF!</definedName>
    <definedName name="_VZT6" localSheetId="19">'[7]Rekapitulace roz.  vč. kapitol'!#REF!</definedName>
    <definedName name="_VZT6" localSheetId="14">'[7]Rekapitulace roz.  vč. kapitol'!#REF!</definedName>
    <definedName name="_VZT6" localSheetId="12">'[7]Rekapitulace roz.  vč. kapitol'!#REF!</definedName>
    <definedName name="_VZT6" localSheetId="13">'[7]Rekapitulace roz.  vč. kapitol'!#REF!</definedName>
    <definedName name="_VZT6" localSheetId="16">'[7]Rekapitulace roz.  vč. kapitol'!#REF!</definedName>
    <definedName name="_VZT6" localSheetId="17">'[7]Rekapitulace roz.  vč. kapitol'!#REF!</definedName>
    <definedName name="_VZT6" localSheetId="23">'[7]Rekapitulace roz.  vč. kapitol'!#REF!</definedName>
    <definedName name="_VZT6" localSheetId="24">'[7]Rekapitulace roz.  vč. kapitol'!#REF!</definedName>
    <definedName name="_VZT6" localSheetId="21">'[7]Rekapitulace roz.  vč. kapitol'!#REF!</definedName>
    <definedName name="_VZT6" localSheetId="3">'[7]Rekapitulace roz.  vč. kapitol'!#REF!</definedName>
    <definedName name="_VZT6" localSheetId="18">'[7]Rekapitulace roz.  vč. kapitol'!#REF!</definedName>
    <definedName name="_VZT6" localSheetId="22">'[7]Rekapitulace roz.  vč. kapitol'!#REF!</definedName>
    <definedName name="_VZT6" localSheetId="20">'[7]Rekapitulace roz.  vč. kapitol'!#REF!</definedName>
    <definedName name="_VZT6" localSheetId="1">'[7]Rekapitulace roz.  vč. kapitol'!#REF!</definedName>
    <definedName name="_VZT6">'[7]Rekapitulace roz.  vč. kapitol'!#REF!</definedName>
    <definedName name="_VZT8" localSheetId="2">'[7]Rekapitulace roz.  vč. kapitol'!#REF!</definedName>
    <definedName name="_VZT8" localSheetId="4">'[7]Rekapitulace roz.  vč. kapitol'!#REF!</definedName>
    <definedName name="_VZT8" localSheetId="5">'[7]Rekapitulace roz.  vč. kapitol'!#REF!</definedName>
    <definedName name="_VZT8" localSheetId="6">'[7]Rekapitulace roz.  vč. kapitol'!#REF!</definedName>
    <definedName name="_VZT8" localSheetId="7">'[7]Rekapitulace roz.  vč. kapitol'!#REF!</definedName>
    <definedName name="_VZT8" localSheetId="8">'[7]Rekapitulace roz.  vč. kapitol'!#REF!</definedName>
    <definedName name="_VZT8" localSheetId="9">'[7]Rekapitulace roz.  vč. kapitol'!#REF!</definedName>
    <definedName name="_VZT8" localSheetId="10">'[7]Rekapitulace roz.  vč. kapitol'!#REF!</definedName>
    <definedName name="_VZT8" localSheetId="11">'[7]Rekapitulace roz.  vč. kapitol'!#REF!</definedName>
    <definedName name="_VZT8" localSheetId="19">'[7]Rekapitulace roz.  vč. kapitol'!#REF!</definedName>
    <definedName name="_VZT8" localSheetId="14">'[7]Rekapitulace roz.  vč. kapitol'!#REF!</definedName>
    <definedName name="_VZT8" localSheetId="12">'[7]Rekapitulace roz.  vč. kapitol'!#REF!</definedName>
    <definedName name="_VZT8" localSheetId="13">'[7]Rekapitulace roz.  vč. kapitol'!#REF!</definedName>
    <definedName name="_VZT8" localSheetId="16">'[7]Rekapitulace roz.  vč. kapitol'!#REF!</definedName>
    <definedName name="_VZT8" localSheetId="17">'[7]Rekapitulace roz.  vč. kapitol'!#REF!</definedName>
    <definedName name="_VZT8" localSheetId="23">'[7]Rekapitulace roz.  vč. kapitol'!#REF!</definedName>
    <definedName name="_VZT8" localSheetId="24">'[7]Rekapitulace roz.  vč. kapitol'!#REF!</definedName>
    <definedName name="_VZT8" localSheetId="21">'[7]Rekapitulace roz.  vč. kapitol'!#REF!</definedName>
    <definedName name="_VZT8" localSheetId="3">'[7]Rekapitulace roz.  vč. kapitol'!#REF!</definedName>
    <definedName name="_VZT8" localSheetId="18">'[7]Rekapitulace roz.  vč. kapitol'!#REF!</definedName>
    <definedName name="_VZT8" localSheetId="22">'[7]Rekapitulace roz.  vč. kapitol'!#REF!</definedName>
    <definedName name="_VZT8" localSheetId="20">'[7]Rekapitulace roz.  vč. kapitol'!#REF!</definedName>
    <definedName name="_VZT8" localSheetId="1">'[7]Rekapitulace roz.  vč. kapitol'!#REF!</definedName>
    <definedName name="_VZT8">'[7]Rekapitulace roz.  vč. kapitol'!#REF!</definedName>
    <definedName name="a" localSheetId="2">'[8]F.1.4.5. ZZTI'!#REF!</definedName>
    <definedName name="a" localSheetId="4">'[8]F.1.4.5. ZZTI'!#REF!</definedName>
    <definedName name="a" localSheetId="5">'[8]F.1.4.5. ZZTI'!#REF!</definedName>
    <definedName name="a" localSheetId="6">'[8]F.1.4.5. ZZTI'!#REF!</definedName>
    <definedName name="a" localSheetId="7">'[8]F.1.4.5. ZZTI'!#REF!</definedName>
    <definedName name="a" localSheetId="8">'[8]F.1.4.5. ZZTI'!#REF!</definedName>
    <definedName name="a" localSheetId="9">'[8]F.1.4.5. ZZTI'!#REF!</definedName>
    <definedName name="a" localSheetId="10">'[8]F.1.4.5. ZZTI'!#REF!</definedName>
    <definedName name="a" localSheetId="11">'[8]F.1.4.5. ZZTI'!#REF!</definedName>
    <definedName name="a" localSheetId="19">'[8]F.1.4.5. ZZTI'!#REF!</definedName>
    <definedName name="a" localSheetId="14">'[8]F.1.4.5. ZZTI'!#REF!</definedName>
    <definedName name="a" localSheetId="12">'[9]F.1.4.5. ZZTI'!#REF!</definedName>
    <definedName name="a" localSheetId="13">'[8]F.1.4.5. ZZTI'!#REF!</definedName>
    <definedName name="a" localSheetId="16">'[8]F.1.4.5. ZZTI'!#REF!</definedName>
    <definedName name="a" localSheetId="17">'[9]F.1.4.5. ZZTI'!#REF!</definedName>
    <definedName name="a" localSheetId="23">'[8]F.1.4.5. ZZTI'!#REF!</definedName>
    <definedName name="a" localSheetId="24">'[8]F.1.4.5. ZZTI'!#REF!</definedName>
    <definedName name="a" localSheetId="21">'[8]F.1.4.5. ZZTI'!#REF!</definedName>
    <definedName name="a" localSheetId="3">'[8]F.1.4.5. ZZTI'!#REF!</definedName>
    <definedName name="a" localSheetId="18">'[8]F.1.4.5. ZZTI'!#REF!</definedName>
    <definedName name="a" localSheetId="22">'[8]F.1.4.5. ZZTI'!#REF!</definedName>
    <definedName name="a" localSheetId="20">'[8]F.1.4.5. ZZTI'!#REF!</definedName>
    <definedName name="a" localSheetId="1">'[9]F.1.4.5. ZZTI'!#REF!</definedName>
    <definedName name="a">'[8]F.1.4.5. ZZTI'!#REF!</definedName>
    <definedName name="aaaaaaaa" localSheetId="2" hidden="1">{#N/A,#N/A,TRUE,"Krycí list"}</definedName>
    <definedName name="aaaaaaaa" localSheetId="4" hidden="1">{#N/A,#N/A,TRUE,"Krycí list"}</definedName>
    <definedName name="aaaaaaaa" localSheetId="5" hidden="1">{#N/A,#N/A,TRUE,"Krycí list"}</definedName>
    <definedName name="aaaaaaaa" localSheetId="6" hidden="1">{#N/A,#N/A,TRUE,"Krycí list"}</definedName>
    <definedName name="aaaaaaaa" localSheetId="7" hidden="1">{#N/A,#N/A,TRUE,"Krycí list"}</definedName>
    <definedName name="aaaaaaaa" localSheetId="8" hidden="1">{#N/A,#N/A,TRUE,"Krycí list"}</definedName>
    <definedName name="aaaaaaaa" localSheetId="9" hidden="1">{#N/A,#N/A,TRUE,"Krycí list"}</definedName>
    <definedName name="aaaaaaaa" localSheetId="10" hidden="1">{#N/A,#N/A,TRUE,"Krycí list"}</definedName>
    <definedName name="aaaaaaaa" localSheetId="11" hidden="1">{#N/A,#N/A,TRUE,"Krycí list"}</definedName>
    <definedName name="aaaaaaaa" localSheetId="19" hidden="1">{#N/A,#N/A,TRUE,"Krycí list"}</definedName>
    <definedName name="aaaaaaaa" localSheetId="14" hidden="1">{#N/A,#N/A,TRUE,"Krycí list"}</definedName>
    <definedName name="aaaaaaaa" localSheetId="12" hidden="1">{#N/A,#N/A,TRUE,"Krycí list"}</definedName>
    <definedName name="aaaaaaaa" localSheetId="13" hidden="1">{#N/A,#N/A,TRUE,"Krycí list"}</definedName>
    <definedName name="aaaaaaaa" localSheetId="16" hidden="1">{#N/A,#N/A,TRUE,"Krycí list"}</definedName>
    <definedName name="aaaaaaaa" localSheetId="17" hidden="1">{#N/A,#N/A,TRUE,"Krycí list"}</definedName>
    <definedName name="aaaaaaaa" localSheetId="23" hidden="1">{#N/A,#N/A,TRUE,"Krycí list"}</definedName>
    <definedName name="aaaaaaaa" localSheetId="24" hidden="1">{#N/A,#N/A,TRUE,"Krycí list"}</definedName>
    <definedName name="aaaaaaaa" localSheetId="0" hidden="1">{#N/A,#N/A,TRUE,"Krycí list"}</definedName>
    <definedName name="aaaaaaaa" localSheetId="21" hidden="1">{#N/A,#N/A,TRUE,"Krycí list"}</definedName>
    <definedName name="aaaaaaaa" localSheetId="3" hidden="1">{#N/A,#N/A,TRUE,"Krycí list"}</definedName>
    <definedName name="aaaaaaaa" localSheetId="18" hidden="1">{#N/A,#N/A,TRUE,"Krycí list"}</definedName>
    <definedName name="aaaaaaaa" localSheetId="22" hidden="1">{#N/A,#N/A,TRUE,"Krycí list"}</definedName>
    <definedName name="aaaaaaaa" localSheetId="2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 localSheetId="4">#REF!</definedName>
    <definedName name="baf" localSheetId="5">#REF!</definedName>
    <definedName name="baf" localSheetId="11">#REF!</definedName>
    <definedName name="baf" localSheetId="19">#REF!</definedName>
    <definedName name="baf" localSheetId="14">#REF!</definedName>
    <definedName name="baf" localSheetId="12">#REF!</definedName>
    <definedName name="baf" localSheetId="13">#REF!</definedName>
    <definedName name="baf" localSheetId="16">#REF!</definedName>
    <definedName name="baf" localSheetId="17">#REF!</definedName>
    <definedName name="baf" localSheetId="23">#REF!</definedName>
    <definedName name="baf" localSheetId="21">#REF!</definedName>
    <definedName name="baf" localSheetId="3">#REF!</definedName>
    <definedName name="baf" localSheetId="18">#REF!</definedName>
    <definedName name="baf" localSheetId="22">#REF!</definedName>
    <definedName name="baf" localSheetId="1">#REF!</definedName>
    <definedName name="baf">#REF!</definedName>
    <definedName name="Beg_Bal" localSheetId="2">#REF!</definedName>
    <definedName name="Beg_Bal" localSheetId="4">#REF!</definedName>
    <definedName name="Beg_Bal" localSheetId="5">#REF!</definedName>
    <definedName name="Beg_Bal" localSheetId="6">#REF!</definedName>
    <definedName name="Beg_Bal" localSheetId="7">#REF!</definedName>
    <definedName name="Beg_Bal" localSheetId="8">#REF!</definedName>
    <definedName name="Beg_Bal" localSheetId="9">#REF!</definedName>
    <definedName name="Beg_Bal" localSheetId="10">#REF!</definedName>
    <definedName name="Beg_Bal" localSheetId="11">#REF!</definedName>
    <definedName name="Beg_Bal" localSheetId="19">#REF!</definedName>
    <definedName name="Beg_Bal" localSheetId="14">#REF!</definedName>
    <definedName name="Beg_Bal" localSheetId="12">#REF!</definedName>
    <definedName name="Beg_Bal" localSheetId="13">#REF!</definedName>
    <definedName name="Beg_Bal" localSheetId="16">#REF!</definedName>
    <definedName name="Beg_Bal" localSheetId="17">#REF!</definedName>
    <definedName name="Beg_Bal" localSheetId="23">#REF!</definedName>
    <definedName name="Beg_Bal" localSheetId="24">#REF!</definedName>
    <definedName name="Beg_Bal" localSheetId="21">#REF!</definedName>
    <definedName name="Beg_Bal" localSheetId="3">#REF!</definedName>
    <definedName name="Beg_Bal" localSheetId="18">#REF!</definedName>
    <definedName name="Beg_Bal" localSheetId="22">#REF!</definedName>
    <definedName name="Beg_Bal" localSheetId="20">#REF!</definedName>
    <definedName name="Beg_Bal" localSheetId="1">#REF!</definedName>
    <definedName name="Beg_Bal">#REF!</definedName>
    <definedName name="bghrerr" localSheetId="2">#REF!</definedName>
    <definedName name="bghrerr" localSheetId="4">#REF!</definedName>
    <definedName name="bghrerr" localSheetId="5">#REF!</definedName>
    <definedName name="bghrerr" localSheetId="6">#REF!</definedName>
    <definedName name="bghrerr" localSheetId="7">#REF!</definedName>
    <definedName name="bghrerr" localSheetId="8">#REF!</definedName>
    <definedName name="bghrerr" localSheetId="9">#REF!</definedName>
    <definedName name="bghrerr" localSheetId="10">#REF!</definedName>
    <definedName name="bghrerr" localSheetId="11">#REF!</definedName>
    <definedName name="bghrerr" localSheetId="19">#REF!</definedName>
    <definedName name="bghrerr" localSheetId="14">#REF!</definedName>
    <definedName name="bghrerr" localSheetId="13">#REF!</definedName>
    <definedName name="bghrerr" localSheetId="23">#REF!</definedName>
    <definedName name="bghrerr" localSheetId="24">#REF!</definedName>
    <definedName name="bghrerr" localSheetId="21">#REF!</definedName>
    <definedName name="bghrerr" localSheetId="3">#REF!</definedName>
    <definedName name="bghrerr" localSheetId="18">#REF!</definedName>
    <definedName name="bghrerr" localSheetId="22">#REF!</definedName>
    <definedName name="bghrerr" localSheetId="20">#REF!</definedName>
    <definedName name="bghrerr" localSheetId="1">#REF!</definedName>
    <definedName name="bghrerr">#REF!</definedName>
    <definedName name="bhvfdgvf" localSheetId="2">#REF!</definedName>
    <definedName name="bhvfdgvf" localSheetId="4">#REF!</definedName>
    <definedName name="bhvfdgvf" localSheetId="5">#REF!</definedName>
    <definedName name="bhvfdgvf" localSheetId="6">#REF!</definedName>
    <definedName name="bhvfdgvf" localSheetId="7">#REF!</definedName>
    <definedName name="bhvfdgvf" localSheetId="8">#REF!</definedName>
    <definedName name="bhvfdgvf" localSheetId="9">#REF!</definedName>
    <definedName name="bhvfdgvf" localSheetId="10">#REF!</definedName>
    <definedName name="bhvfdgvf" localSheetId="11">#REF!</definedName>
    <definedName name="bhvfdgvf" localSheetId="19">#REF!</definedName>
    <definedName name="bhvfdgvf" localSheetId="14">#REF!</definedName>
    <definedName name="bhvfdgvf" localSheetId="13">#REF!</definedName>
    <definedName name="bhvfdgvf" localSheetId="23">#REF!</definedName>
    <definedName name="bhvfdgvf" localSheetId="24">#REF!</definedName>
    <definedName name="bhvfdgvf" localSheetId="21">#REF!</definedName>
    <definedName name="bhvfdgvf" localSheetId="3">#REF!</definedName>
    <definedName name="bhvfdgvf" localSheetId="18">#REF!</definedName>
    <definedName name="bhvfdgvf" localSheetId="22">#REF!</definedName>
    <definedName name="bhvfdgvf" localSheetId="20">#REF!</definedName>
    <definedName name="bhvfdgvf" localSheetId="1">#REF!</definedName>
    <definedName name="bhvfdgvf">#REF!</definedName>
    <definedName name="body_celkem" localSheetId="2">'[7]Rekapitulace roz.  vč. kapitol'!#REF!</definedName>
    <definedName name="body_celkem" localSheetId="4">'[7]Rekapitulace roz.  vč. kapitol'!#REF!</definedName>
    <definedName name="body_celkem" localSheetId="5">'[7]Rekapitulace roz.  vč. kapitol'!#REF!</definedName>
    <definedName name="body_celkem" localSheetId="6">'[7]Rekapitulace roz.  vč. kapitol'!#REF!</definedName>
    <definedName name="body_celkem" localSheetId="7">'[7]Rekapitulace roz.  vč. kapitol'!#REF!</definedName>
    <definedName name="body_celkem" localSheetId="8">'[7]Rekapitulace roz.  vč. kapitol'!#REF!</definedName>
    <definedName name="body_celkem" localSheetId="9">'[7]Rekapitulace roz.  vč. kapitol'!#REF!</definedName>
    <definedName name="body_celkem" localSheetId="10">'[7]Rekapitulace roz.  vč. kapitol'!#REF!</definedName>
    <definedName name="body_celkem" localSheetId="11">'[7]Rekapitulace roz.  vč. kapitol'!#REF!</definedName>
    <definedName name="body_celkem" localSheetId="19">'[7]Rekapitulace roz.  vč. kapitol'!#REF!</definedName>
    <definedName name="body_celkem" localSheetId="14">'[7]Rekapitulace roz.  vč. kapitol'!#REF!</definedName>
    <definedName name="body_celkem" localSheetId="13">'[7]Rekapitulace roz.  vč. kapitol'!#REF!</definedName>
    <definedName name="body_celkem" localSheetId="23">'[7]Rekapitulace roz.  vč. kapitol'!#REF!</definedName>
    <definedName name="body_celkem" localSheetId="24">'[7]Rekapitulace roz.  vč. kapitol'!#REF!</definedName>
    <definedName name="body_celkem" localSheetId="21">'[7]Rekapitulace roz.  vč. kapitol'!#REF!</definedName>
    <definedName name="body_celkem" localSheetId="20">'[7]Rekapitulace roz.  vč. kapitol'!#REF!</definedName>
    <definedName name="body_celkem" localSheetId="1">'[7]Rekapitulace roz.  vč. kapitol'!#REF!</definedName>
    <definedName name="body_celkem">'[7]Rekapitulace roz.  vč. kapitol'!#REF!</definedName>
    <definedName name="body_kapitoly" localSheetId="2">'[7]Rekapitulace roz.  vč. kapitol'!#REF!</definedName>
    <definedName name="body_kapitoly" localSheetId="4">'[7]Rekapitulace roz.  vč. kapitol'!#REF!</definedName>
    <definedName name="body_kapitoly" localSheetId="5">'[7]Rekapitulace roz.  vč. kapitol'!#REF!</definedName>
    <definedName name="body_kapitoly" localSheetId="6">'[7]Rekapitulace roz.  vč. kapitol'!#REF!</definedName>
    <definedName name="body_kapitoly" localSheetId="7">'[7]Rekapitulace roz.  vč. kapitol'!#REF!</definedName>
    <definedName name="body_kapitoly" localSheetId="8">'[7]Rekapitulace roz.  vč. kapitol'!#REF!</definedName>
    <definedName name="body_kapitoly" localSheetId="9">'[7]Rekapitulace roz.  vč. kapitol'!#REF!</definedName>
    <definedName name="body_kapitoly" localSheetId="10">'[7]Rekapitulace roz.  vč. kapitol'!#REF!</definedName>
    <definedName name="body_kapitoly" localSheetId="11">'[7]Rekapitulace roz.  vč. kapitol'!#REF!</definedName>
    <definedName name="body_kapitoly" localSheetId="19">'[7]Rekapitulace roz.  vč. kapitol'!#REF!</definedName>
    <definedName name="body_kapitoly" localSheetId="14">'[7]Rekapitulace roz.  vč. kapitol'!#REF!</definedName>
    <definedName name="body_kapitoly" localSheetId="13">'[7]Rekapitulace roz.  vč. kapitol'!#REF!</definedName>
    <definedName name="body_kapitoly" localSheetId="23">'[7]Rekapitulace roz.  vč. kapitol'!#REF!</definedName>
    <definedName name="body_kapitoly" localSheetId="24">'[7]Rekapitulace roz.  vč. kapitol'!#REF!</definedName>
    <definedName name="body_kapitoly" localSheetId="21">'[7]Rekapitulace roz.  vč. kapitol'!#REF!</definedName>
    <definedName name="body_kapitoly" localSheetId="20">'[7]Rekapitulace roz.  vč. kapitol'!#REF!</definedName>
    <definedName name="body_kapitoly" localSheetId="1">'[7]Rekapitulace roz.  vč. kapitol'!#REF!</definedName>
    <definedName name="body_kapitoly">'[7]Rekapitulace roz.  vč. kapitol'!#REF!</definedName>
    <definedName name="body_pomocny" localSheetId="2">'[7]Rekapitulace roz.  vč. kapitol'!#REF!</definedName>
    <definedName name="body_pomocny" localSheetId="4">'[7]Rekapitulace roz.  vč. kapitol'!#REF!</definedName>
    <definedName name="body_pomocny" localSheetId="5">'[7]Rekapitulace roz.  vč. kapitol'!#REF!</definedName>
    <definedName name="body_pomocny" localSheetId="6">'[7]Rekapitulace roz.  vč. kapitol'!#REF!</definedName>
    <definedName name="body_pomocny" localSheetId="7">'[7]Rekapitulace roz.  vč. kapitol'!#REF!</definedName>
    <definedName name="body_pomocny" localSheetId="8">'[7]Rekapitulace roz.  vč. kapitol'!#REF!</definedName>
    <definedName name="body_pomocny" localSheetId="9">'[7]Rekapitulace roz.  vč. kapitol'!#REF!</definedName>
    <definedName name="body_pomocny" localSheetId="10">'[7]Rekapitulace roz.  vč. kapitol'!#REF!</definedName>
    <definedName name="body_pomocny" localSheetId="11">'[7]Rekapitulace roz.  vč. kapitol'!#REF!</definedName>
    <definedName name="body_pomocny" localSheetId="19">'[7]Rekapitulace roz.  vč. kapitol'!#REF!</definedName>
    <definedName name="body_pomocny" localSheetId="14">'[7]Rekapitulace roz.  vč. kapitol'!#REF!</definedName>
    <definedName name="body_pomocny" localSheetId="13">'[7]Rekapitulace roz.  vč. kapitol'!#REF!</definedName>
    <definedName name="body_pomocny" localSheetId="23">'[7]Rekapitulace roz.  vč. kapitol'!#REF!</definedName>
    <definedName name="body_pomocny" localSheetId="24">'[7]Rekapitulace roz.  vč. kapitol'!#REF!</definedName>
    <definedName name="body_pomocny" localSheetId="21">'[7]Rekapitulace roz.  vč. kapitol'!#REF!</definedName>
    <definedName name="body_pomocny" localSheetId="20">'[7]Rekapitulace roz.  vč. kapitol'!#REF!</definedName>
    <definedName name="body_pomocny">'[7]Rekapitulace roz.  vč. kapitol'!#REF!</definedName>
    <definedName name="body_rozpocty" localSheetId="2">'[7]Rekapitulace roz.  vč. kapitol'!#REF!</definedName>
    <definedName name="body_rozpocty" localSheetId="4">'[7]Rekapitulace roz.  vč. kapitol'!#REF!</definedName>
    <definedName name="body_rozpocty" localSheetId="5">'[7]Rekapitulace roz.  vč. kapitol'!#REF!</definedName>
    <definedName name="body_rozpocty" localSheetId="6">'[7]Rekapitulace roz.  vč. kapitol'!#REF!</definedName>
    <definedName name="body_rozpocty" localSheetId="7">'[7]Rekapitulace roz.  vč. kapitol'!#REF!</definedName>
    <definedName name="body_rozpocty" localSheetId="8">'[7]Rekapitulace roz.  vč. kapitol'!#REF!</definedName>
    <definedName name="body_rozpocty" localSheetId="9">'[7]Rekapitulace roz.  vč. kapitol'!#REF!</definedName>
    <definedName name="body_rozpocty" localSheetId="10">'[7]Rekapitulace roz.  vč. kapitol'!#REF!</definedName>
    <definedName name="body_rozpocty" localSheetId="11">'[7]Rekapitulace roz.  vč. kapitol'!#REF!</definedName>
    <definedName name="body_rozpocty" localSheetId="19">'[7]Rekapitulace roz.  vč. kapitol'!#REF!</definedName>
    <definedName name="body_rozpocty" localSheetId="14">'[7]Rekapitulace roz.  vč. kapitol'!#REF!</definedName>
    <definedName name="body_rozpocty" localSheetId="13">'[7]Rekapitulace roz.  vč. kapitol'!#REF!</definedName>
    <definedName name="body_rozpocty" localSheetId="23">'[7]Rekapitulace roz.  vč. kapitol'!#REF!</definedName>
    <definedName name="body_rozpocty" localSheetId="24">'[7]Rekapitulace roz.  vč. kapitol'!#REF!</definedName>
    <definedName name="body_rozpocty" localSheetId="21">'[7]Rekapitulace roz.  vč. kapitol'!#REF!</definedName>
    <definedName name="body_rozpocty" localSheetId="20">'[7]Rekapitulace roz.  vč. kapitol'!#REF!</definedName>
    <definedName name="body_rozpocty">'[7]Rekapitulace roz.  vč. kapitol'!#REF!</definedName>
    <definedName name="category1" localSheetId="2">#REF!</definedName>
    <definedName name="category1" localSheetId="4">#REF!</definedName>
    <definedName name="category1" localSheetId="5">#REF!</definedName>
    <definedName name="category1" localSheetId="6">#REF!</definedName>
    <definedName name="category1" localSheetId="7">#REF!</definedName>
    <definedName name="category1" localSheetId="8">#REF!</definedName>
    <definedName name="category1" localSheetId="9">#REF!</definedName>
    <definedName name="category1" localSheetId="10">#REF!</definedName>
    <definedName name="category1" localSheetId="11">#REF!</definedName>
    <definedName name="category1" localSheetId="19">#REF!</definedName>
    <definedName name="category1" localSheetId="14">#REF!</definedName>
    <definedName name="category1" localSheetId="12">#REF!</definedName>
    <definedName name="category1" localSheetId="13">#REF!</definedName>
    <definedName name="category1" localSheetId="16">#REF!</definedName>
    <definedName name="category1" localSheetId="17">#REF!</definedName>
    <definedName name="category1" localSheetId="23">#REF!</definedName>
    <definedName name="category1" localSheetId="24">#REF!</definedName>
    <definedName name="category1" localSheetId="21">#REF!</definedName>
    <definedName name="category1" localSheetId="3">#REF!</definedName>
    <definedName name="category1" localSheetId="18">#REF!</definedName>
    <definedName name="category1" localSheetId="22">#REF!</definedName>
    <definedName name="category1" localSheetId="20">#REF!</definedName>
    <definedName name="category1" localSheetId="1">#REF!</definedName>
    <definedName name="category1">#REF!</definedName>
    <definedName name="CelkemObjekty" localSheetId="0">KL!$F$61</definedName>
    <definedName name="celkrozp" localSheetId="2">#REF!</definedName>
    <definedName name="celkrozp" localSheetId="4">#REF!</definedName>
    <definedName name="celkrozp" localSheetId="5">#REF!</definedName>
    <definedName name="celkrozp" localSheetId="6">#REF!</definedName>
    <definedName name="celkrozp" localSheetId="7">#REF!</definedName>
    <definedName name="celkrozp" localSheetId="8">#REF!</definedName>
    <definedName name="celkrozp" localSheetId="9">#REF!</definedName>
    <definedName name="celkrozp" localSheetId="10">#REF!</definedName>
    <definedName name="celkrozp" localSheetId="11">#REF!</definedName>
    <definedName name="celkrozp" localSheetId="19">#REF!</definedName>
    <definedName name="celkrozp" localSheetId="14">#REF!</definedName>
    <definedName name="celkrozp" localSheetId="13">#REF!</definedName>
    <definedName name="celkrozp" localSheetId="16">#REF!</definedName>
    <definedName name="celkrozp" localSheetId="17">#REF!</definedName>
    <definedName name="celkrozp" localSheetId="23">#REF!</definedName>
    <definedName name="celkrozp" localSheetId="24">#REF!</definedName>
    <definedName name="celkrozp" localSheetId="21">#REF!</definedName>
    <definedName name="celkrozp" localSheetId="3">#REF!</definedName>
    <definedName name="celkrozp" localSheetId="18">#REF!</definedName>
    <definedName name="celkrozp" localSheetId="22">#REF!</definedName>
    <definedName name="celkrozp" localSheetId="20">#REF!</definedName>
    <definedName name="celkrozp" localSheetId="1">#REF!</definedName>
    <definedName name="celkrozp">#REF!</definedName>
    <definedName name="cisloobjektu" localSheetId="2">#REF!</definedName>
    <definedName name="cisloobjektu" localSheetId="4">#REF!</definedName>
    <definedName name="cisloobjektu" localSheetId="5">#REF!</definedName>
    <definedName name="cisloobjektu" localSheetId="6">#REF!</definedName>
    <definedName name="cisloobjektu" localSheetId="7">#REF!</definedName>
    <definedName name="cisloobjektu" localSheetId="8">#REF!</definedName>
    <definedName name="cisloobjektu" localSheetId="9">#REF!</definedName>
    <definedName name="cisloobjektu" localSheetId="10">#REF!</definedName>
    <definedName name="cisloobjektu" localSheetId="11">#REF!</definedName>
    <definedName name="cisloobjektu" localSheetId="19">#REF!</definedName>
    <definedName name="cisloobjektu" localSheetId="14">#REF!</definedName>
    <definedName name="cisloobjektu" localSheetId="13">#REF!</definedName>
    <definedName name="cisloobjektu" localSheetId="16">#REF!</definedName>
    <definedName name="cisloobjektu" localSheetId="17">#REF!</definedName>
    <definedName name="cisloobjektu" localSheetId="23">#REF!</definedName>
    <definedName name="cisloobjektu" localSheetId="24">#REF!</definedName>
    <definedName name="cisloobjektu" localSheetId="0">#REF!</definedName>
    <definedName name="cisloobjektu" localSheetId="21">#REF!</definedName>
    <definedName name="cisloobjektu" localSheetId="3">#REF!</definedName>
    <definedName name="cisloobjektu" localSheetId="18">#REF!</definedName>
    <definedName name="cisloobjektu" localSheetId="22">#REF!</definedName>
    <definedName name="cisloobjektu" localSheetId="20">#REF!</definedName>
    <definedName name="cisloobjektu" localSheetId="1">#REF!</definedName>
    <definedName name="cisloobjektu">#REF!</definedName>
    <definedName name="cislostavby" localSheetId="2">#REF!</definedName>
    <definedName name="cislostavby" localSheetId="4">#REF!</definedName>
    <definedName name="cislostavby" localSheetId="5">#REF!</definedName>
    <definedName name="cislostavby" localSheetId="6">#REF!</definedName>
    <definedName name="cislostavby" localSheetId="7">#REF!</definedName>
    <definedName name="cislostavby" localSheetId="8">#REF!</definedName>
    <definedName name="cislostavby" localSheetId="9">#REF!</definedName>
    <definedName name="cislostavby" localSheetId="10">#REF!</definedName>
    <definedName name="cislostavby" localSheetId="11">#REF!</definedName>
    <definedName name="cislostavby" localSheetId="19">#REF!</definedName>
    <definedName name="cislostavby" localSheetId="14">#REF!</definedName>
    <definedName name="cislostavby" localSheetId="13">#REF!</definedName>
    <definedName name="cislostavby" localSheetId="23">#REF!</definedName>
    <definedName name="cislostavby" localSheetId="24">#REF!</definedName>
    <definedName name="CisloStavby" localSheetId="0">KL!#REF!</definedName>
    <definedName name="cislostavby" localSheetId="21">#REF!</definedName>
    <definedName name="cislostavby" localSheetId="3">#REF!</definedName>
    <definedName name="cislostavby" localSheetId="18">#REF!</definedName>
    <definedName name="cislostavby" localSheetId="22">#REF!</definedName>
    <definedName name="cislostavby" localSheetId="20">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4" hidden="1">{#N/A,#N/A,TRUE,"Krycí list"}</definedName>
    <definedName name="d" localSheetId="5" hidden="1">{#N/A,#N/A,TRUE,"Krycí list"}</definedName>
    <definedName name="d" localSheetId="6" hidden="1">{#N/A,#N/A,TRUE,"Krycí list"}</definedName>
    <definedName name="d" localSheetId="7" hidden="1">{#N/A,#N/A,TRUE,"Krycí list"}</definedName>
    <definedName name="d" localSheetId="8" hidden="1">{#N/A,#N/A,TRUE,"Krycí list"}</definedName>
    <definedName name="d" localSheetId="9" hidden="1">{#N/A,#N/A,TRUE,"Krycí list"}</definedName>
    <definedName name="d" localSheetId="10" hidden="1">{#N/A,#N/A,TRUE,"Krycí list"}</definedName>
    <definedName name="d" localSheetId="11" hidden="1">{#N/A,#N/A,TRUE,"Krycí list"}</definedName>
    <definedName name="d" localSheetId="19" hidden="1">{#N/A,#N/A,TRUE,"Krycí list"}</definedName>
    <definedName name="d" localSheetId="14" hidden="1">{#N/A,#N/A,TRUE,"Krycí list"}</definedName>
    <definedName name="d" localSheetId="12" hidden="1">{#N/A,#N/A,TRUE,"Krycí list"}</definedName>
    <definedName name="d" localSheetId="13" hidden="1">{#N/A,#N/A,TRUE,"Krycí list"}</definedName>
    <definedName name="d" localSheetId="16" hidden="1">{#N/A,#N/A,TRUE,"Krycí list"}</definedName>
    <definedName name="d" localSheetId="17" hidden="1">{#N/A,#N/A,TRUE,"Krycí list"}</definedName>
    <definedName name="d" localSheetId="23" hidden="1">{#N/A,#N/A,TRUE,"Krycí list"}</definedName>
    <definedName name="d" localSheetId="24" hidden="1">{#N/A,#N/A,TRUE,"Krycí list"}</definedName>
    <definedName name="d" localSheetId="0" hidden="1">{#N/A,#N/A,TRUE,"Krycí list"}</definedName>
    <definedName name="d" localSheetId="21" hidden="1">{#N/A,#N/A,TRUE,"Krycí list"}</definedName>
    <definedName name="d" localSheetId="3" hidden="1">{#N/A,#N/A,TRUE,"Krycí list"}</definedName>
    <definedName name="d" localSheetId="18" hidden="1">{#N/A,#N/A,TRUE,"Krycí list"}</definedName>
    <definedName name="d" localSheetId="22" hidden="1">{#N/A,#N/A,TRUE,"Krycí list"}</definedName>
    <definedName name="d" localSheetId="2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9">#REF!</definedName>
    <definedName name="Data" localSheetId="14">#REF!</definedName>
    <definedName name="Data" localSheetId="12">#REF!</definedName>
    <definedName name="Data" localSheetId="13">#REF!</definedName>
    <definedName name="Data" localSheetId="16">#REF!</definedName>
    <definedName name="Data" localSheetId="17">#REF!</definedName>
    <definedName name="Data" localSheetId="23">#REF!</definedName>
    <definedName name="Data" localSheetId="24">#REF!</definedName>
    <definedName name="Data" localSheetId="21">#REF!</definedName>
    <definedName name="Data" localSheetId="3">#REF!</definedName>
    <definedName name="Data" localSheetId="18">#REF!</definedName>
    <definedName name="Data" localSheetId="22">#REF!</definedName>
    <definedName name="Data" localSheetId="20">#REF!</definedName>
    <definedName name="Data" localSheetId="1">#REF!</definedName>
    <definedName name="Data">#REF!</definedName>
    <definedName name="Datum" localSheetId="2">#REF!</definedName>
    <definedName name="Datum" localSheetId="4">#REF!</definedName>
    <definedName name="Datum" localSheetId="5">#REF!</definedName>
    <definedName name="Datum" localSheetId="6">#REF!</definedName>
    <definedName name="Datum" localSheetId="7">#REF!</definedName>
    <definedName name="Datum" localSheetId="8">#REF!</definedName>
    <definedName name="Datum" localSheetId="9">#REF!</definedName>
    <definedName name="Datum" localSheetId="10">#REF!</definedName>
    <definedName name="Datum" localSheetId="11">#REF!</definedName>
    <definedName name="Datum" localSheetId="19">#REF!</definedName>
    <definedName name="Datum" localSheetId="14">#REF!</definedName>
    <definedName name="Datum" localSheetId="12">#REF!</definedName>
    <definedName name="Datum" localSheetId="13">#REF!</definedName>
    <definedName name="Datum" localSheetId="16">#REF!</definedName>
    <definedName name="Datum" localSheetId="17">#REF!</definedName>
    <definedName name="Datum" localSheetId="23">#REF!</definedName>
    <definedName name="Datum" localSheetId="24">#REF!</definedName>
    <definedName name="Datum" localSheetId="0">#REF!</definedName>
    <definedName name="Datum" localSheetId="21">#REF!</definedName>
    <definedName name="Datum" localSheetId="3">#REF!</definedName>
    <definedName name="Datum" localSheetId="18">#REF!</definedName>
    <definedName name="Datum" localSheetId="22">#REF!</definedName>
    <definedName name="Datum" localSheetId="20">#REF!</definedName>
    <definedName name="Datum" localSheetId="1">#REF!</definedName>
    <definedName name="Datum">#REF!</definedName>
    <definedName name="dfdaf" localSheetId="2">#REF!</definedName>
    <definedName name="dfdaf" localSheetId="4">#REF!</definedName>
    <definedName name="dfdaf" localSheetId="5">#REF!</definedName>
    <definedName name="dfdaf" localSheetId="6">#REF!</definedName>
    <definedName name="dfdaf" localSheetId="7">#REF!</definedName>
    <definedName name="dfdaf" localSheetId="8">#REF!</definedName>
    <definedName name="dfdaf" localSheetId="9">#REF!</definedName>
    <definedName name="dfdaf" localSheetId="10">#REF!</definedName>
    <definedName name="dfdaf" localSheetId="11">#REF!</definedName>
    <definedName name="dfdaf" localSheetId="19">#REF!</definedName>
    <definedName name="dfdaf" localSheetId="14">#REF!</definedName>
    <definedName name="dfdaf" localSheetId="12">#REF!</definedName>
    <definedName name="dfdaf" localSheetId="13">#REF!</definedName>
    <definedName name="dfdaf" localSheetId="16">#REF!</definedName>
    <definedName name="dfdaf" localSheetId="17">#REF!</definedName>
    <definedName name="dfdaf" localSheetId="23">#REF!</definedName>
    <definedName name="dfdaf" localSheetId="24">#REF!</definedName>
    <definedName name="dfdaf" localSheetId="21">#REF!</definedName>
    <definedName name="dfdaf" localSheetId="3">#REF!</definedName>
    <definedName name="dfdaf" localSheetId="18">#REF!</definedName>
    <definedName name="dfdaf" localSheetId="22">#REF!</definedName>
    <definedName name="dfdaf" localSheetId="20">#REF!</definedName>
    <definedName name="dfdaf" localSheetId="1">#REF!</definedName>
    <definedName name="dfdaf">#REF!</definedName>
    <definedName name="DIČ" localSheetId="0">KL!$J$8</definedName>
    <definedName name="Dil" localSheetId="2">#REF!</definedName>
    <definedName name="Dil" localSheetId="4">#REF!</definedName>
    <definedName name="Dil" localSheetId="5">#REF!</definedName>
    <definedName name="Dil" localSheetId="6">#REF!</definedName>
    <definedName name="Dil" localSheetId="7">#REF!</definedName>
    <definedName name="Dil" localSheetId="8">#REF!</definedName>
    <definedName name="Dil" localSheetId="10">#REF!</definedName>
    <definedName name="Dil" localSheetId="11">#REF!</definedName>
    <definedName name="Dil" localSheetId="19">#REF!</definedName>
    <definedName name="Dil" localSheetId="14">#REF!</definedName>
    <definedName name="Dil" localSheetId="13">#REF!</definedName>
    <definedName name="Dil" localSheetId="23">#REF!</definedName>
    <definedName name="Dil" localSheetId="24">#REF!</definedName>
    <definedName name="Dil" localSheetId="0">#REF!</definedName>
    <definedName name="Dil" localSheetId="21">#REF!</definedName>
    <definedName name="Dil" localSheetId="3">#REF!</definedName>
    <definedName name="Dil" localSheetId="18">#REF!</definedName>
    <definedName name="Dil" localSheetId="22">#REF!</definedName>
    <definedName name="Dil" localSheetId="20">#REF!</definedName>
    <definedName name="Dil" localSheetId="1">#REF!</definedName>
    <definedName name="Dil">#REF!</definedName>
    <definedName name="DKGJSDGS" localSheetId="2">#REF!</definedName>
    <definedName name="DKGJSDGS" localSheetId="4">#REF!</definedName>
    <definedName name="DKGJSDGS" localSheetId="5">#REF!</definedName>
    <definedName name="DKGJSDGS" localSheetId="6">#REF!</definedName>
    <definedName name="DKGJSDGS" localSheetId="7">#REF!</definedName>
    <definedName name="DKGJSDGS" localSheetId="8">#REF!</definedName>
    <definedName name="DKGJSDGS" localSheetId="10">#REF!</definedName>
    <definedName name="DKGJSDGS" localSheetId="11">#REF!</definedName>
    <definedName name="DKGJSDGS" localSheetId="19">#REF!</definedName>
    <definedName name="DKGJSDGS" localSheetId="14">#REF!</definedName>
    <definedName name="DKGJSDGS" localSheetId="13">#REF!</definedName>
    <definedName name="DKGJSDGS" localSheetId="23">#REF!</definedName>
    <definedName name="DKGJSDGS" localSheetId="24">#REF!</definedName>
    <definedName name="DKGJSDGS" localSheetId="21">#REF!</definedName>
    <definedName name="DKGJSDGS" localSheetId="3">#REF!</definedName>
    <definedName name="DKGJSDGS" localSheetId="18">#REF!</definedName>
    <definedName name="DKGJSDGS" localSheetId="22">#REF!</definedName>
    <definedName name="DKGJSDGS" localSheetId="20">#REF!</definedName>
    <definedName name="DKGJSDGS" localSheetId="1">#REF!</definedName>
    <definedName name="DKGJSDGS">#REF!</definedName>
    <definedName name="dmisto" localSheetId="0">KL!#REF!</definedName>
    <definedName name="dod" localSheetId="2">'[8]F.1.4.5. ZZTI'!#REF!</definedName>
    <definedName name="dod" localSheetId="4">'[8]F.1.4.5. ZZTI'!#REF!</definedName>
    <definedName name="dod" localSheetId="5">'[8]F.1.4.5. ZZTI'!#REF!</definedName>
    <definedName name="dod" localSheetId="6">'[8]F.1.4.5. ZZTI'!#REF!</definedName>
    <definedName name="dod" localSheetId="7">'[8]F.1.4.5. ZZTI'!#REF!</definedName>
    <definedName name="dod" localSheetId="8">'[8]F.1.4.5. ZZTI'!#REF!</definedName>
    <definedName name="dod" localSheetId="10">'[8]F.1.4.5. ZZTI'!#REF!</definedName>
    <definedName name="dod" localSheetId="11">'[8]F.1.4.5. ZZTI'!#REF!</definedName>
    <definedName name="dod" localSheetId="19">'[8]F.1.4.5. ZZTI'!#REF!</definedName>
    <definedName name="dod" localSheetId="14">'[8]F.1.4.5. ZZTI'!#REF!</definedName>
    <definedName name="dod" localSheetId="12">'[9]F.1.4.5. ZZTI'!#REF!</definedName>
    <definedName name="dod" localSheetId="13">'[8]F.1.4.5. ZZTI'!#REF!</definedName>
    <definedName name="dod" localSheetId="17">'[9]F.1.4.5. ZZTI'!#REF!</definedName>
    <definedName name="dod" localSheetId="23">'[8]F.1.4.5. ZZTI'!#REF!</definedName>
    <definedName name="dod" localSheetId="24">'[8]F.1.4.5. ZZTI'!#REF!</definedName>
    <definedName name="dod" localSheetId="21">'[8]F.1.4.5. ZZTI'!#REF!</definedName>
    <definedName name="dod" localSheetId="3">'[8]F.1.4.5. ZZTI'!#REF!</definedName>
    <definedName name="dod" localSheetId="18">'[8]F.1.4.5. ZZTI'!#REF!</definedName>
    <definedName name="dod" localSheetId="22">'[8]F.1.4.5. ZZTI'!#REF!</definedName>
    <definedName name="dod" localSheetId="20">'[8]F.1.4.5. ZZTI'!#REF!</definedName>
    <definedName name="dod" localSheetId="1">'[9]F.1.4.5. ZZTI'!#REF!</definedName>
    <definedName name="dod">'[8]F.1.4.5. ZZTI'!#REF!</definedName>
    <definedName name="Dodavka" localSheetId="2">#REF!</definedName>
    <definedName name="Dodavka" localSheetId="4">#REF!</definedName>
    <definedName name="Dodavka" localSheetId="5">#REF!</definedName>
    <definedName name="Dodavka" localSheetId="6">#REF!</definedName>
    <definedName name="Dodavka" localSheetId="7">#REF!</definedName>
    <definedName name="Dodavka" localSheetId="8">#REF!</definedName>
    <definedName name="Dodavka" localSheetId="9">#REF!</definedName>
    <definedName name="Dodavka" localSheetId="10">#REF!</definedName>
    <definedName name="Dodavka" localSheetId="11">#REF!</definedName>
    <definedName name="Dodavka" localSheetId="19">#REF!</definedName>
    <definedName name="Dodavka" localSheetId="14">#REF!</definedName>
    <definedName name="Dodavka" localSheetId="12">#REF!</definedName>
    <definedName name="Dodavka" localSheetId="13">#REF!</definedName>
    <definedName name="Dodavka" localSheetId="16">#REF!</definedName>
    <definedName name="Dodavka" localSheetId="17">#REF!</definedName>
    <definedName name="Dodavka" localSheetId="23">#REF!</definedName>
    <definedName name="Dodavka" localSheetId="24">#REF!</definedName>
    <definedName name="Dodavka" localSheetId="0">#REF!</definedName>
    <definedName name="Dodavka" localSheetId="21">#REF!</definedName>
    <definedName name="Dodavka" localSheetId="3">#REF!</definedName>
    <definedName name="Dodavka" localSheetId="18">#REF!</definedName>
    <definedName name="Dodavka" localSheetId="22">#REF!</definedName>
    <definedName name="Dodavka" localSheetId="20">#REF!</definedName>
    <definedName name="Dodavka" localSheetId="1">#REF!</definedName>
    <definedName name="Dodavka">#REF!</definedName>
    <definedName name="Dodavka0" localSheetId="2">#REF!</definedName>
    <definedName name="Dodavka0" localSheetId="4">#REF!</definedName>
    <definedName name="Dodavka0" localSheetId="5">#REF!</definedName>
    <definedName name="Dodavka0" localSheetId="6">#REF!</definedName>
    <definedName name="Dodavka0" localSheetId="7">#REF!</definedName>
    <definedName name="Dodavka0" localSheetId="8">#REF!</definedName>
    <definedName name="Dodavka0" localSheetId="9">#REF!</definedName>
    <definedName name="Dodavka0" localSheetId="10">#REF!</definedName>
    <definedName name="Dodavka0" localSheetId="11">#REF!</definedName>
    <definedName name="Dodavka0" localSheetId="19">#REF!</definedName>
    <definedName name="Dodavka0" localSheetId="14">#REF!</definedName>
    <definedName name="Dodavka0" localSheetId="13">#REF!</definedName>
    <definedName name="Dodavka0" localSheetId="16">#REF!</definedName>
    <definedName name="Dodavka0" localSheetId="17">#REF!</definedName>
    <definedName name="Dodavka0" localSheetId="23">#REF!</definedName>
    <definedName name="Dodavka0" localSheetId="24">#REF!</definedName>
    <definedName name="Dodavka0" localSheetId="0">'[10]002-A.1. Archstav  reseni'!#REF!</definedName>
    <definedName name="Dodavka0" localSheetId="21">#REF!</definedName>
    <definedName name="Dodavka0" localSheetId="3">#REF!</definedName>
    <definedName name="Dodavka0" localSheetId="18">#REF!</definedName>
    <definedName name="Dodavka0" localSheetId="22">#REF!</definedName>
    <definedName name="Dodavka0" localSheetId="20">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4">#REF!</definedName>
    <definedName name="dsfbhbg" localSheetId="5">#REF!</definedName>
    <definedName name="dsfbhbg" localSheetId="6">#REF!</definedName>
    <definedName name="dsfbhbg" localSheetId="7">#REF!</definedName>
    <definedName name="dsfbhbg" localSheetId="8">#REF!</definedName>
    <definedName name="dsfbhbg" localSheetId="9">#REF!</definedName>
    <definedName name="dsfbhbg" localSheetId="10">#REF!</definedName>
    <definedName name="dsfbhbg" localSheetId="11">#REF!</definedName>
    <definedName name="dsfbhbg" localSheetId="19">#REF!</definedName>
    <definedName name="dsfbhbg" localSheetId="14">#REF!</definedName>
    <definedName name="dsfbhbg" localSheetId="13">#REF!</definedName>
    <definedName name="dsfbhbg" localSheetId="16">#REF!</definedName>
    <definedName name="dsfbhbg" localSheetId="17">#REF!</definedName>
    <definedName name="dsfbhbg" localSheetId="23">#REF!</definedName>
    <definedName name="dsfbhbg" localSheetId="24">#REF!</definedName>
    <definedName name="dsfbhbg" localSheetId="21">#REF!</definedName>
    <definedName name="dsfbhbg" localSheetId="3">#REF!</definedName>
    <definedName name="dsfbhbg" localSheetId="18">#REF!</definedName>
    <definedName name="dsfbhbg" localSheetId="22">#REF!</definedName>
    <definedName name="dsfbhbg" localSheetId="20">#REF!</definedName>
    <definedName name="dsfbhbg" localSheetId="1">#REF!</definedName>
    <definedName name="dsfbhbg">#REF!</definedName>
    <definedName name="End_Bal" localSheetId="2">#REF!</definedName>
    <definedName name="End_Bal" localSheetId="4">#REF!</definedName>
    <definedName name="End_Bal" localSheetId="5">#REF!</definedName>
    <definedName name="End_Bal" localSheetId="6">#REF!</definedName>
    <definedName name="End_Bal" localSheetId="7">#REF!</definedName>
    <definedName name="End_Bal" localSheetId="8">#REF!</definedName>
    <definedName name="End_Bal" localSheetId="10">#REF!</definedName>
    <definedName name="End_Bal" localSheetId="11">#REF!</definedName>
    <definedName name="End_Bal" localSheetId="19">#REF!</definedName>
    <definedName name="End_Bal" localSheetId="14">#REF!</definedName>
    <definedName name="End_Bal" localSheetId="13">#REF!</definedName>
    <definedName name="End_Bal" localSheetId="23">#REF!</definedName>
    <definedName name="End_Bal" localSheetId="24">#REF!</definedName>
    <definedName name="End_Bal" localSheetId="21">#REF!</definedName>
    <definedName name="End_Bal" localSheetId="3">#REF!</definedName>
    <definedName name="End_Bal" localSheetId="18">#REF!</definedName>
    <definedName name="End_Bal" localSheetId="22">#REF!</definedName>
    <definedName name="End_Bal" localSheetId="20">#REF!</definedName>
    <definedName name="End_Bal" localSheetId="1">#REF!</definedName>
    <definedName name="End_Bal">#REF!</definedName>
    <definedName name="exter1" localSheetId="2">#REF!</definedName>
    <definedName name="exter1" localSheetId="4">#REF!</definedName>
    <definedName name="exter1" localSheetId="5">#REF!</definedName>
    <definedName name="exter1" localSheetId="6">#REF!</definedName>
    <definedName name="exter1" localSheetId="7">#REF!</definedName>
    <definedName name="exter1" localSheetId="8">#REF!</definedName>
    <definedName name="exter1" localSheetId="10">#REF!</definedName>
    <definedName name="exter1" localSheetId="11">#REF!</definedName>
    <definedName name="exter1" localSheetId="19">#REF!</definedName>
    <definedName name="exter1" localSheetId="14">#REF!</definedName>
    <definedName name="exter1" localSheetId="13">#REF!</definedName>
    <definedName name="exter1" localSheetId="23">#REF!</definedName>
    <definedName name="exter1" localSheetId="24">#REF!</definedName>
    <definedName name="exter1" localSheetId="21">#REF!</definedName>
    <definedName name="exter1" localSheetId="3">#REF!</definedName>
    <definedName name="exter1" localSheetId="18">#REF!</definedName>
    <definedName name="exter1" localSheetId="22">#REF!</definedName>
    <definedName name="exter1" localSheetId="20">#REF!</definedName>
    <definedName name="exter1" localSheetId="1">#REF!</definedName>
    <definedName name="exter1">#REF!</definedName>
    <definedName name="Extra_Pay" localSheetId="2">#REF!</definedName>
    <definedName name="Extra_Pay" localSheetId="4">#REF!</definedName>
    <definedName name="Extra_Pay" localSheetId="5">#REF!</definedName>
    <definedName name="Extra_Pay" localSheetId="6">#REF!</definedName>
    <definedName name="Extra_Pay" localSheetId="7">#REF!</definedName>
    <definedName name="Extra_Pay" localSheetId="8">#REF!</definedName>
    <definedName name="Extra_Pay" localSheetId="10">#REF!</definedName>
    <definedName name="Extra_Pay" localSheetId="11">#REF!</definedName>
    <definedName name="Extra_Pay" localSheetId="19">#REF!</definedName>
    <definedName name="Extra_Pay" localSheetId="14">#REF!</definedName>
    <definedName name="Extra_Pay" localSheetId="13">#REF!</definedName>
    <definedName name="Extra_Pay" localSheetId="23">#REF!</definedName>
    <definedName name="Extra_Pay" localSheetId="24">#REF!</definedName>
    <definedName name="Extra_Pay" localSheetId="21">#REF!</definedName>
    <definedName name="Extra_Pay" localSheetId="3">#REF!</definedName>
    <definedName name="Extra_Pay" localSheetId="18">#REF!</definedName>
    <definedName name="Extra_Pay" localSheetId="22">#REF!</definedName>
    <definedName name="Extra_Pay" localSheetId="20">#REF!</definedName>
    <definedName name="Extra_Pay" localSheetId="1">#REF!</definedName>
    <definedName name="Extra_Pay">#REF!</definedName>
    <definedName name="f" localSheetId="2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10">#REF!</definedName>
    <definedName name="f" localSheetId="11">#REF!</definedName>
    <definedName name="f" localSheetId="19">#REF!</definedName>
    <definedName name="f" localSheetId="14">#REF!</definedName>
    <definedName name="f" localSheetId="13">#REF!</definedName>
    <definedName name="f" localSheetId="23">#REF!</definedName>
    <definedName name="f" localSheetId="24">#REF!</definedName>
    <definedName name="f" localSheetId="21">#REF!</definedName>
    <definedName name="f" localSheetId="3">#REF!</definedName>
    <definedName name="f" localSheetId="18">#REF!</definedName>
    <definedName name="f" localSheetId="22">#REF!</definedName>
    <definedName name="f" localSheetId="20">#REF!</definedName>
    <definedName name="f" localSheetId="1">#REF!</definedName>
    <definedName name="f">#REF!</definedName>
    <definedName name="Full_Print" localSheetId="2">#REF!</definedName>
    <definedName name="Full_Print" localSheetId="4">#REF!</definedName>
    <definedName name="Full_Print" localSheetId="5">#REF!</definedName>
    <definedName name="Full_Print" localSheetId="6">#REF!</definedName>
    <definedName name="Full_Print" localSheetId="7">#REF!</definedName>
    <definedName name="Full_Print" localSheetId="8">#REF!</definedName>
    <definedName name="Full_Print" localSheetId="10">#REF!</definedName>
    <definedName name="Full_Print" localSheetId="11">#REF!</definedName>
    <definedName name="Full_Print" localSheetId="19">#REF!</definedName>
    <definedName name="Full_Print" localSheetId="14">#REF!</definedName>
    <definedName name="Full_Print" localSheetId="13">#REF!</definedName>
    <definedName name="Full_Print" localSheetId="23">#REF!</definedName>
    <definedName name="Full_Print" localSheetId="24">#REF!</definedName>
    <definedName name="Full_Print" localSheetId="21">#REF!</definedName>
    <definedName name="Full_Print" localSheetId="3">#REF!</definedName>
    <definedName name="Full_Print" localSheetId="18">#REF!</definedName>
    <definedName name="Full_Print" localSheetId="22">#REF!</definedName>
    <definedName name="Full_Print" localSheetId="20">#REF!</definedName>
    <definedName name="Full_Print" localSheetId="1">#REF!</definedName>
    <definedName name="Full_Print">#REF!</definedName>
    <definedName name="H" localSheetId="19">'[7]Rekapitulace roz.  vč. kapitol'!#REF!</definedName>
    <definedName name="H" localSheetId="23">'[7]Rekapitulace roz.  vč. kapitol'!#REF!</definedName>
    <definedName name="H" localSheetId="21">'[7]Rekapitulace roz.  vč. kapitol'!#REF!</definedName>
    <definedName name="H">'[7]Rekapitulace roz.  vč. kapitol'!#REF!</definedName>
    <definedName name="ha" localSheetId="2">'[8]F.1.4.5. ZZTI'!#REF!</definedName>
    <definedName name="ha" localSheetId="4">'[8]F.1.4.5. ZZTI'!#REF!</definedName>
    <definedName name="ha" localSheetId="5">'[8]F.1.4.5. ZZTI'!#REF!</definedName>
    <definedName name="ha" localSheetId="6">'[8]F.1.4.5. ZZTI'!#REF!</definedName>
    <definedName name="ha" localSheetId="7">'[8]F.1.4.5. ZZTI'!#REF!</definedName>
    <definedName name="ha" localSheetId="8">'[8]F.1.4.5. ZZTI'!#REF!</definedName>
    <definedName name="ha" localSheetId="10">'[8]F.1.4.5. ZZTI'!#REF!</definedName>
    <definedName name="ha" localSheetId="11">'[8]F.1.4.5. ZZTI'!#REF!</definedName>
    <definedName name="ha" localSheetId="19">'[8]F.1.4.5. ZZTI'!#REF!</definedName>
    <definedName name="ha" localSheetId="14">'[8]F.1.4.5. ZZTI'!#REF!</definedName>
    <definedName name="ha" localSheetId="12">'[9]F.1.4.5. ZZTI'!#REF!</definedName>
    <definedName name="ha" localSheetId="13">'[8]F.1.4.5. ZZTI'!#REF!</definedName>
    <definedName name="ha" localSheetId="17">'[9]F.1.4.5. ZZTI'!#REF!</definedName>
    <definedName name="ha" localSheetId="23">'[8]F.1.4.5. ZZTI'!#REF!</definedName>
    <definedName name="ha" localSheetId="24">'[8]F.1.4.5. ZZTI'!#REF!</definedName>
    <definedName name="ha" localSheetId="21">'[8]F.1.4.5. ZZTI'!#REF!</definedName>
    <definedName name="ha" localSheetId="3">'[8]F.1.4.5. ZZTI'!#REF!</definedName>
    <definedName name="ha" localSheetId="18">'[8]F.1.4.5. ZZTI'!#REF!</definedName>
    <definedName name="ha" localSheetId="22">'[8]F.1.4.5. ZZTI'!#REF!</definedName>
    <definedName name="ha" localSheetId="20">'[8]F.1.4.5. ZZTI'!#REF!</definedName>
    <definedName name="ha" localSheetId="1">'[9]F.1.4.5. ZZTI'!#REF!</definedName>
    <definedName name="ha">'[8]F.1.4.5. ZZTI'!#REF!</definedName>
    <definedName name="Header_Row" localSheetId="2">ROW(#REF!)</definedName>
    <definedName name="Header_Row" localSheetId="4">ROW(#REF!)</definedName>
    <definedName name="Header_Row" localSheetId="5">ROW(#REF!)</definedName>
    <definedName name="Header_Row" localSheetId="6">ROW(#REF!)</definedName>
    <definedName name="Header_Row" localSheetId="7">ROW(#REF!)</definedName>
    <definedName name="Header_Row" localSheetId="8">ROW(#REF!)</definedName>
    <definedName name="Header_Row" localSheetId="10">ROW(#REF!)</definedName>
    <definedName name="Header_Row" localSheetId="11">ROW(#REF!)</definedName>
    <definedName name="Header_Row" localSheetId="19">ROW(#REF!)</definedName>
    <definedName name="Header_Row" localSheetId="14">ROW(#REF!)</definedName>
    <definedName name="Header_Row" localSheetId="13">ROW(#REF!)</definedName>
    <definedName name="Header_Row" localSheetId="23">ROW(#REF!)</definedName>
    <definedName name="Header_Row" localSheetId="24">ROW(#REF!)</definedName>
    <definedName name="Header_Row" localSheetId="21">ROW(#REF!)</definedName>
    <definedName name="Header_Row" localSheetId="3">ROW(#REF!)</definedName>
    <definedName name="Header_Row" localSheetId="18">ROW(#REF!)</definedName>
    <definedName name="Header_Row" localSheetId="22">ROW(#REF!)</definedName>
    <definedName name="Header_Row" localSheetId="20">ROW(#REF!)</definedName>
    <definedName name="Header_Row">ROW(#REF!)</definedName>
    <definedName name="hovno" localSheetId="2">#REF!</definedName>
    <definedName name="hovno" localSheetId="4">#REF!</definedName>
    <definedName name="hovno" localSheetId="5">#REF!</definedName>
    <definedName name="hovno" localSheetId="6">#REF!</definedName>
    <definedName name="hovno" localSheetId="7">#REF!</definedName>
    <definedName name="hovno" localSheetId="8">#REF!</definedName>
    <definedName name="hovno" localSheetId="10">#REF!</definedName>
    <definedName name="hovno" localSheetId="11">#REF!</definedName>
    <definedName name="hovno" localSheetId="19">#REF!</definedName>
    <definedName name="hovno" localSheetId="14">#REF!</definedName>
    <definedName name="hovno" localSheetId="13">#REF!</definedName>
    <definedName name="hovno" localSheetId="23">#REF!</definedName>
    <definedName name="hovno" localSheetId="24">#REF!</definedName>
    <definedName name="hovno" localSheetId="21">#REF!</definedName>
    <definedName name="hovno" localSheetId="3">#REF!</definedName>
    <definedName name="hovno" localSheetId="18">#REF!</definedName>
    <definedName name="hovno" localSheetId="22">#REF!</definedName>
    <definedName name="hovno" localSheetId="20">#REF!</definedName>
    <definedName name="hovno" localSheetId="1">#REF!</definedName>
    <definedName name="hovno">#REF!</definedName>
    <definedName name="hs" localSheetId="2">#REF!</definedName>
    <definedName name="hs" localSheetId="4">#REF!</definedName>
    <definedName name="hs" localSheetId="5">#REF!</definedName>
    <definedName name="hs" localSheetId="6">#REF!</definedName>
    <definedName name="hs" localSheetId="7">#REF!</definedName>
    <definedName name="hs" localSheetId="8">#REF!</definedName>
    <definedName name="hs" localSheetId="10">#REF!</definedName>
    <definedName name="hs" localSheetId="11">#REF!</definedName>
    <definedName name="hs" localSheetId="19">#REF!</definedName>
    <definedName name="hs" localSheetId="14">#REF!</definedName>
    <definedName name="hs" localSheetId="13">#REF!</definedName>
    <definedName name="hs" localSheetId="23">#REF!</definedName>
    <definedName name="hs" localSheetId="24">#REF!</definedName>
    <definedName name="hs" localSheetId="21">#REF!</definedName>
    <definedName name="hs" localSheetId="3">#REF!</definedName>
    <definedName name="hs" localSheetId="18">#REF!</definedName>
    <definedName name="hs" localSheetId="22">#REF!</definedName>
    <definedName name="hs" localSheetId="20">#REF!</definedName>
    <definedName name="hs" localSheetId="1">#REF!</definedName>
    <definedName name="hs">#REF!</definedName>
    <definedName name="HSV" localSheetId="2">#REF!</definedName>
    <definedName name="HSV" localSheetId="4">#REF!</definedName>
    <definedName name="HSV" localSheetId="5">#REF!</definedName>
    <definedName name="HSV" localSheetId="6">#REF!</definedName>
    <definedName name="HSV" localSheetId="7">#REF!</definedName>
    <definedName name="HSV" localSheetId="8">#REF!</definedName>
    <definedName name="HSV" localSheetId="10">#REF!</definedName>
    <definedName name="HSV" localSheetId="11">#REF!</definedName>
    <definedName name="HSV" localSheetId="19">#REF!</definedName>
    <definedName name="HSV" localSheetId="14">#REF!</definedName>
    <definedName name="HSV" localSheetId="13">#REF!</definedName>
    <definedName name="HSV" localSheetId="23">#REF!</definedName>
    <definedName name="HSV" localSheetId="24">#REF!</definedName>
    <definedName name="HSV" localSheetId="0">#REF!</definedName>
    <definedName name="HSV" localSheetId="21">#REF!</definedName>
    <definedName name="HSV" localSheetId="3">#REF!</definedName>
    <definedName name="HSV" localSheetId="18">#REF!</definedName>
    <definedName name="HSV" localSheetId="22">#REF!</definedName>
    <definedName name="HSV" localSheetId="20">#REF!</definedName>
    <definedName name="HSV" localSheetId="1">#REF!</definedName>
    <definedName name="HSV">#REF!</definedName>
    <definedName name="HSV0" localSheetId="2">#REF!</definedName>
    <definedName name="HSV0" localSheetId="4">#REF!</definedName>
    <definedName name="HSV0" localSheetId="5">#REF!</definedName>
    <definedName name="HSV0" localSheetId="6">#REF!</definedName>
    <definedName name="HSV0" localSheetId="7">#REF!</definedName>
    <definedName name="HSV0" localSheetId="8">#REF!</definedName>
    <definedName name="HSV0" localSheetId="9">#REF!</definedName>
    <definedName name="HSV0" localSheetId="10">#REF!</definedName>
    <definedName name="HSV0" localSheetId="11">#REF!</definedName>
    <definedName name="HSV0" localSheetId="19">#REF!</definedName>
    <definedName name="HSV0" localSheetId="14">#REF!</definedName>
    <definedName name="HSV0" localSheetId="13">#REF!</definedName>
    <definedName name="HSV0" localSheetId="23">#REF!</definedName>
    <definedName name="HSV0" localSheetId="24">#REF!</definedName>
    <definedName name="HSV0" localSheetId="0">'[10]002-A.1. Archstav  reseni'!#REF!</definedName>
    <definedName name="HSV0" localSheetId="21">#REF!</definedName>
    <definedName name="HSV0" localSheetId="3">#REF!</definedName>
    <definedName name="HSV0" localSheetId="18">#REF!</definedName>
    <definedName name="HSV0" localSheetId="22">#REF!</definedName>
    <definedName name="HSV0" localSheetId="20">#REF!</definedName>
    <definedName name="HSV0" localSheetId="1">#REF!</definedName>
    <definedName name="HSV0">#REF!</definedName>
    <definedName name="HZS" localSheetId="2">#REF!</definedName>
    <definedName name="HZS" localSheetId="4">#REF!</definedName>
    <definedName name="HZS" localSheetId="5">#REF!</definedName>
    <definedName name="HZS" localSheetId="6">#REF!</definedName>
    <definedName name="HZS" localSheetId="7">#REF!</definedName>
    <definedName name="HZS" localSheetId="8">#REF!</definedName>
    <definedName name="HZS" localSheetId="10">#REF!</definedName>
    <definedName name="HZS" localSheetId="11">#REF!</definedName>
    <definedName name="HZS" localSheetId="19">#REF!</definedName>
    <definedName name="HZS" localSheetId="14">#REF!</definedName>
    <definedName name="HZS" localSheetId="13">#REF!</definedName>
    <definedName name="HZS" localSheetId="23">#REF!</definedName>
    <definedName name="HZS" localSheetId="24">#REF!</definedName>
    <definedName name="HZS" localSheetId="0">#REF!</definedName>
    <definedName name="HZS" localSheetId="21">#REF!</definedName>
    <definedName name="HZS" localSheetId="3">#REF!</definedName>
    <definedName name="HZS" localSheetId="18">#REF!</definedName>
    <definedName name="HZS" localSheetId="22">#REF!</definedName>
    <definedName name="HZS" localSheetId="20">#REF!</definedName>
    <definedName name="HZS" localSheetId="1">#REF!</definedName>
    <definedName name="HZS">#REF!</definedName>
    <definedName name="HZS0" localSheetId="2">#REF!</definedName>
    <definedName name="HZS0" localSheetId="4">#REF!</definedName>
    <definedName name="HZS0" localSheetId="5">#REF!</definedName>
    <definedName name="HZS0" localSheetId="6">#REF!</definedName>
    <definedName name="HZS0" localSheetId="7">#REF!</definedName>
    <definedName name="HZS0" localSheetId="8">#REF!</definedName>
    <definedName name="HZS0" localSheetId="9">#REF!</definedName>
    <definedName name="HZS0" localSheetId="10">#REF!</definedName>
    <definedName name="HZS0" localSheetId="11">#REF!</definedName>
    <definedName name="HZS0" localSheetId="19">#REF!</definedName>
    <definedName name="HZS0" localSheetId="14">#REF!</definedName>
    <definedName name="HZS0" localSheetId="13">#REF!</definedName>
    <definedName name="HZS0" localSheetId="23">#REF!</definedName>
    <definedName name="HZS0" localSheetId="24">#REF!</definedName>
    <definedName name="HZS0" localSheetId="0">'[10]002-A.1. Archstav  reseni'!#REF!</definedName>
    <definedName name="HZS0" localSheetId="21">#REF!</definedName>
    <definedName name="HZS0" localSheetId="3">#REF!</definedName>
    <definedName name="HZS0" localSheetId="18">#REF!</definedName>
    <definedName name="HZS0" localSheetId="22">#REF!</definedName>
    <definedName name="HZS0" localSheetId="20">#REF!</definedName>
    <definedName name="HZS0" localSheetId="1">#REF!</definedName>
    <definedName name="HZS0">#REF!</definedName>
    <definedName name="IČO" localSheetId="0">KL!$J$7</definedName>
    <definedName name="Int" localSheetId="2">#REF!</definedName>
    <definedName name="Int" localSheetId="4">#REF!</definedName>
    <definedName name="Int" localSheetId="5">#REF!</definedName>
    <definedName name="Int" localSheetId="6">#REF!</definedName>
    <definedName name="Int" localSheetId="7">#REF!</definedName>
    <definedName name="Int" localSheetId="8">#REF!</definedName>
    <definedName name="Int" localSheetId="10">#REF!</definedName>
    <definedName name="Int" localSheetId="11">#REF!</definedName>
    <definedName name="Int" localSheetId="19">#REF!</definedName>
    <definedName name="Int" localSheetId="14">#REF!</definedName>
    <definedName name="Int" localSheetId="13">#REF!</definedName>
    <definedName name="Int" localSheetId="23">#REF!</definedName>
    <definedName name="Int" localSheetId="24">#REF!</definedName>
    <definedName name="Int" localSheetId="21">#REF!</definedName>
    <definedName name="Int" localSheetId="3">#REF!</definedName>
    <definedName name="Int" localSheetId="18">#REF!</definedName>
    <definedName name="Int" localSheetId="22">#REF!</definedName>
    <definedName name="Int" localSheetId="20">#REF!</definedName>
    <definedName name="Int" localSheetId="1">#REF!</definedName>
    <definedName name="Int">#REF!</definedName>
    <definedName name="inter1" localSheetId="2">#REF!</definedName>
    <definedName name="inter1" localSheetId="4">#REF!</definedName>
    <definedName name="inter1" localSheetId="5">#REF!</definedName>
    <definedName name="inter1" localSheetId="6">#REF!</definedName>
    <definedName name="inter1" localSheetId="7">#REF!</definedName>
    <definedName name="inter1" localSheetId="8">#REF!</definedName>
    <definedName name="inter1" localSheetId="10">#REF!</definedName>
    <definedName name="inter1" localSheetId="11">#REF!</definedName>
    <definedName name="inter1" localSheetId="19">#REF!</definedName>
    <definedName name="inter1" localSheetId="14">#REF!</definedName>
    <definedName name="inter1" localSheetId="13">#REF!</definedName>
    <definedName name="inter1" localSheetId="23">#REF!</definedName>
    <definedName name="inter1" localSheetId="24">#REF!</definedName>
    <definedName name="inter1" localSheetId="21">#REF!</definedName>
    <definedName name="inter1" localSheetId="3">#REF!</definedName>
    <definedName name="inter1" localSheetId="18">#REF!</definedName>
    <definedName name="inter1" localSheetId="22">#REF!</definedName>
    <definedName name="inter1" localSheetId="20">#REF!</definedName>
    <definedName name="inter1" localSheetId="1">#REF!</definedName>
    <definedName name="inter1">#REF!</definedName>
    <definedName name="Interest_Rate" localSheetId="2">#REF!</definedName>
    <definedName name="Interest_Rate" localSheetId="4">#REF!</definedName>
    <definedName name="Interest_Rate" localSheetId="5">#REF!</definedName>
    <definedName name="Interest_Rate" localSheetId="6">#REF!</definedName>
    <definedName name="Interest_Rate" localSheetId="7">#REF!</definedName>
    <definedName name="Interest_Rate" localSheetId="8">#REF!</definedName>
    <definedName name="Interest_Rate" localSheetId="10">#REF!</definedName>
    <definedName name="Interest_Rate" localSheetId="11">#REF!</definedName>
    <definedName name="Interest_Rate" localSheetId="19">#REF!</definedName>
    <definedName name="Interest_Rate" localSheetId="14">#REF!</definedName>
    <definedName name="Interest_Rate" localSheetId="13">#REF!</definedName>
    <definedName name="Interest_Rate" localSheetId="23">#REF!</definedName>
    <definedName name="Interest_Rate" localSheetId="24">#REF!</definedName>
    <definedName name="Interest_Rate" localSheetId="21">#REF!</definedName>
    <definedName name="Interest_Rate" localSheetId="3">#REF!</definedName>
    <definedName name="Interest_Rate" localSheetId="18">#REF!</definedName>
    <definedName name="Interest_Rate" localSheetId="22">#REF!</definedName>
    <definedName name="Interest_Rate" localSheetId="20">#REF!</definedName>
    <definedName name="Interest_Rate" localSheetId="1">#REF!</definedName>
    <definedName name="Interest_Rate">#REF!</definedName>
    <definedName name="JKSO" localSheetId="2">#REF!</definedName>
    <definedName name="JKSO" localSheetId="4">#REF!</definedName>
    <definedName name="JKSO" localSheetId="5">#REF!</definedName>
    <definedName name="JKSO" localSheetId="6">#REF!</definedName>
    <definedName name="JKSO" localSheetId="7">#REF!</definedName>
    <definedName name="JKSO" localSheetId="8">#REF!</definedName>
    <definedName name="JKSO" localSheetId="10">#REF!</definedName>
    <definedName name="JKSO" localSheetId="11">#REF!</definedName>
    <definedName name="JKSO" localSheetId="19">#REF!</definedName>
    <definedName name="JKSO" localSheetId="14">#REF!</definedName>
    <definedName name="JKSO" localSheetId="13">#REF!</definedName>
    <definedName name="JKSO" localSheetId="23">#REF!</definedName>
    <definedName name="JKSO" localSheetId="24">#REF!</definedName>
    <definedName name="JKSO" localSheetId="0">#REF!</definedName>
    <definedName name="JKSO" localSheetId="21">#REF!</definedName>
    <definedName name="JKSO" localSheetId="3">#REF!</definedName>
    <definedName name="JKSO" localSheetId="18">#REF!</definedName>
    <definedName name="JKSO" localSheetId="22">#REF!</definedName>
    <definedName name="JKSO" localSheetId="20">#REF!</definedName>
    <definedName name="JKSO" localSheetId="1">#REF!</definedName>
    <definedName name="JKSO">#REF!</definedName>
    <definedName name="jzzuggt" localSheetId="2">#REF!</definedName>
    <definedName name="jzzuggt" localSheetId="4">#REF!</definedName>
    <definedName name="jzzuggt" localSheetId="5">#REF!</definedName>
    <definedName name="jzzuggt" localSheetId="6">#REF!</definedName>
    <definedName name="jzzuggt" localSheetId="7">#REF!</definedName>
    <definedName name="jzzuggt" localSheetId="8">#REF!</definedName>
    <definedName name="jzzuggt" localSheetId="10">#REF!</definedName>
    <definedName name="jzzuggt" localSheetId="11">#REF!</definedName>
    <definedName name="jzzuggt" localSheetId="19">#REF!</definedName>
    <definedName name="jzzuggt" localSheetId="14">#REF!</definedName>
    <definedName name="jzzuggt" localSheetId="13">#REF!</definedName>
    <definedName name="jzzuggt" localSheetId="23">#REF!</definedName>
    <definedName name="jzzuggt" localSheetId="24">#REF!</definedName>
    <definedName name="jzzuggt" localSheetId="21">#REF!</definedName>
    <definedName name="jzzuggt" localSheetId="3">#REF!</definedName>
    <definedName name="jzzuggt" localSheetId="18">#REF!</definedName>
    <definedName name="jzzuggt" localSheetId="22">#REF!</definedName>
    <definedName name="jzzuggt" localSheetId="20">#REF!</definedName>
    <definedName name="jzzuggt" localSheetId="1">#REF!</definedName>
    <definedName name="jzzuggt">#REF!</definedName>
    <definedName name="Last_Row" localSheetId="2">IF('D.1.1. ASŘ - BOURACÍ PRÁCE'!Values_Entered,'D.1.1. ASŘ - BOURACÍ PRÁCE'!Header_Row+'D.1.1. ASŘ - BOURACÍ PRÁCE'!Number_of_Payments,'D.1.1. ASŘ - BOURACÍ PRÁCE'!Header_Row)</definedName>
    <definedName name="Last_Row" localSheetId="4">IF('D.1.1. ASŘ - NOVÝ STAV'!Values_Entered,'D.1.1. ASŘ - NOVÝ STAV'!Header_Row+'D.1.1. ASŘ - NOVÝ STAV'!Number_of_Payments,'D.1.1. ASŘ - NOVÝ STAV'!Header_Row)</definedName>
    <definedName name="Last_Row" localSheetId="5">IF('D.1.1. VÝPIS DVEŘÍ'!Values_Entered,'D.1.1. VÝPIS DVEŘÍ'!Header_Row+'D.1.1. VÝPIS DVEŘÍ'!Number_of_Payments,'D.1.1. VÝPIS DVEŘÍ'!Header_Row)</definedName>
    <definedName name="Last_Row" localSheetId="6">IF('D.1.1.c.02 - VÝPIS OKEN'!Values_Entered,'D.1.1.c.02 - VÝPIS OKEN'!Header_Row+'D.1.1.c.02 - VÝPIS OKEN'!Number_of_Payments,'D.1.1.c.02 - VÝPIS OKEN'!Header_Row)</definedName>
    <definedName name="Last_Row" localSheetId="7">IF('D.1.1.c.04. VÝPIS TRUHLÁŘ.'!Values_Entered,'D.1.1.c.04. VÝPIS TRUHLÁŘ.'!Header_Row+'D.1.1.c.04. VÝPIS TRUHLÁŘ.'!Number_of_Payments,'D.1.1.c.04. VÝPIS TRUHLÁŘ.'!Header_Row)</definedName>
    <definedName name="Last_Row" localSheetId="8">IF('D.1.1.c.05. VÝPIS ZÁMEČN. VÝR.'!Values_Entered,'D.1.1.c.05. VÝPIS ZÁMEČN. VÝR.'!Header_Row+'D.1.1.c.05. VÝPIS ZÁMEČN. VÝR.'!Number_of_Payments,'D.1.1.c.05. VÝPIS ZÁMEČN. VÝR.'!Header_Row)</definedName>
    <definedName name="Last_Row" localSheetId="9">IF('D.1.1.c.06. VÝPIS KLEMP.'!Values_Entered,Header_Row+'D.1.1.c.06. VÝPIS KLEMP.'!Number_of_Payments,Header_Row)</definedName>
    <definedName name="Last_Row" localSheetId="10">IF('D.1.1.c.07 VÝPIS OSTAT.'!Values_Entered,'D.1.1.c.07 VÝPIS OSTAT.'!Header_Row+'D.1.1.c.07 VÝPIS OSTAT.'!Number_of_Payments,'D.1.1.c.07 VÝPIS OSTAT.'!Header_Row)</definedName>
    <definedName name="Last_Row" localSheetId="11">IF('D.1.4.1. ZTI'!Values_Entered,'D.1.4.1. ZTI'!Header_Row+'D.1.4.1. ZTI'!Number_of_Payments,'D.1.4.1. ZTI'!Header_Row)</definedName>
    <definedName name="Last_Row" localSheetId="19">IF('D.1.4.10.2. POZEMNÍ KOMUNIKACE'!Values_Entered,'D.1.4.10.2. POZEMNÍ KOMUNIKACE'!Header_Row+'D.1.4.10.2. POZEMNÍ KOMUNIKACE'!Number_of_Payments,'D.1.4.10.2. POZEMNÍ KOMUNIKACE'!Header_Row)</definedName>
    <definedName name="Last_Row" localSheetId="14">IF('D.1.4.2. ODBĚR. PLYN. ZAŘÍZ.'!Values_Entered,'D.1.4.2. ODBĚR. PLYN. ZAŘÍZ.'!Header_Row+'D.1.4.2. ODBĚR. PLYN. ZAŘÍZ.'!Number_of_Payments,'D.1.4.2. ODBĚR. PLYN. ZAŘÍZ.'!Header_Row)</definedName>
    <definedName name="Last_Row" localSheetId="12">IF('D.1.4.3. VZDUCHOTECHNIKA'!Values_Entered,Header_Row+'D.1.4.3. VZDUCHOTECHNIKA'!Number_of_Payments,Header_Row)</definedName>
    <definedName name="Last_Row" localSheetId="13">IF('D.1.4.4. VYTÁPENÍ'!Values_Entered,'D.1.4.4. VYTÁPENÍ'!Header_Row+'D.1.4.4. VYTÁPENÍ'!Number_of_Payments,'D.1.4.4. VYTÁPENÍ'!Header_Row)</definedName>
    <definedName name="Last_Row" localSheetId="16">IF('D.1.4.7. SILNOPROUD'!Values_Entered,Header_Row+'D.1.4.7. SILNOPROUD'!Number_of_Payments,Header_Row)</definedName>
    <definedName name="Last_Row" localSheetId="17">IF('D.1.4.8. EL. KOMUNIKACE'!Values_Entered,Header_Row+'D.1.4.8. EL. KOMUNIKACE'!Number_of_Payments,Header_Row)</definedName>
    <definedName name="Last_Row" localSheetId="23">IF('D.2.2 VENKOVNÍ ROZVOD TEPLA-BP'!Values_Entered,'D.2.2 VENKOVNÍ ROZVOD TEPLA-BP'!Header_Row+'D.2.2 VENKOVNÍ ROZVOD TEPLA-BP'!Number_of_Payments,'D.2.2 VENKOVNÍ ROZVOD TEPLA-BP'!Header_Row)</definedName>
    <definedName name="Last_Row" localSheetId="24">IF('D.2.2. VENKOVNÍ ROZVOD TEPLA'!Values_Entered,'D.2.2. VENKOVNÍ ROZVOD TEPLA'!Header_Row+'D.2.2. VENKOVNÍ ROZVOD TEPLA'!Number_of_Payments,'D.2.2. VENKOVNÍ ROZVOD TEPLA'!Header_Row)</definedName>
    <definedName name="Last_Row" localSheetId="0">IF(KL!Values_Entered,Header_Row+KL!Number_of_Payments,Header_Row)</definedName>
    <definedName name="Last_Row" localSheetId="21">IF(OPLOCENÍ!Values_Entered,OPLOCENÍ!Header_Row+OPLOCENÍ!Number_of_Payments,OPLOCENÍ!Header_Row)</definedName>
    <definedName name="Last_Row" localSheetId="3">IF('REKAPITULACE - NS'!Values_Entered,'REKAPITULACE - NS'!Header_Row+'REKAPITULACE - NS'!Number_of_Payments,'REKAPITULACE - NS'!Header_Row)</definedName>
    <definedName name="Last_Row" localSheetId="18">IF('REKAPITULACE - POZEMN.KOM.+SADO'!Values_Entered,'REKAPITULACE - POZEMN.KOM.+SADO'!Header_Row+'REKAPITULACE - POZEMN.KOM.+SADO'!Number_of_Payments,'REKAPITULACE - POZEMN.KOM.+SADO'!Header_Row)</definedName>
    <definedName name="Last_Row" localSheetId="22">IF('REKAPITULACE - ROZVOD TEPLA'!Values_Entered,'REKAPITULACE - ROZVOD TEPLA'!Header_Row+'REKAPITULACE - ROZVOD TEPLA'!Number_of_Payments,'REKAPITULACE - ROZVOD TEPLA'!Header_Row)</definedName>
    <definedName name="Last_Row" localSheetId="20">IF('SADOVÉ ÚPRAVY'!Values_Entered,'SADOVÉ ÚPRAVY'!Header_Row+'SADOVÉ ÚPRAVY'!Number_of_Payments,'SADOVÉ ÚPRAVY'!Header_Row)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4" hidden="1">{#N/A,#N/A,TRUE,"Krycí list"}</definedName>
    <definedName name="Light" localSheetId="5" hidden="1">{#N/A,#N/A,TRUE,"Krycí list"}</definedName>
    <definedName name="Light" localSheetId="6" hidden="1">{#N/A,#N/A,TRUE,"Krycí list"}</definedName>
    <definedName name="Light" localSheetId="7" hidden="1">{#N/A,#N/A,TRUE,"Krycí list"}</definedName>
    <definedName name="Light" localSheetId="8" hidden="1">{#N/A,#N/A,TRUE,"Krycí list"}</definedName>
    <definedName name="Light" localSheetId="9" hidden="1">{#N/A,#N/A,TRUE,"Krycí list"}</definedName>
    <definedName name="Light" localSheetId="10" hidden="1">{#N/A,#N/A,TRUE,"Krycí list"}</definedName>
    <definedName name="Light" localSheetId="11" hidden="1">{#N/A,#N/A,TRUE,"Krycí list"}</definedName>
    <definedName name="Light" localSheetId="19" hidden="1">{#N/A,#N/A,TRUE,"Krycí list"}</definedName>
    <definedName name="Light" localSheetId="14" hidden="1">{#N/A,#N/A,TRUE,"Krycí list"}</definedName>
    <definedName name="Light" localSheetId="12" hidden="1">{#N/A,#N/A,TRUE,"Krycí list"}</definedName>
    <definedName name="Light" localSheetId="13" hidden="1">{#N/A,#N/A,TRUE,"Krycí list"}</definedName>
    <definedName name="Light" localSheetId="16" hidden="1">{#N/A,#N/A,TRUE,"Krycí list"}</definedName>
    <definedName name="Light" localSheetId="17" hidden="1">{#N/A,#N/A,TRUE,"Krycí list"}</definedName>
    <definedName name="Light" localSheetId="23" hidden="1">{#N/A,#N/A,TRUE,"Krycí list"}</definedName>
    <definedName name="Light" localSheetId="24" hidden="1">{#N/A,#N/A,TRUE,"Krycí list"}</definedName>
    <definedName name="Light" localSheetId="0" hidden="1">{#N/A,#N/A,TRUE,"Krycí list"}</definedName>
    <definedName name="Light" localSheetId="21" hidden="1">{#N/A,#N/A,TRUE,"Krycí list"}</definedName>
    <definedName name="Light" localSheetId="3" hidden="1">{#N/A,#N/A,TRUE,"Krycí list"}</definedName>
    <definedName name="Light" localSheetId="18" hidden="1">{#N/A,#N/A,TRUE,"Krycí list"}</definedName>
    <definedName name="Light" localSheetId="22" hidden="1">{#N/A,#N/A,TRUE,"Krycí list"}</definedName>
    <definedName name="Light" localSheetId="2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4" hidden="1">{#N/A,#N/A,TRUE,"Krycí list"}</definedName>
    <definedName name="Lighting" localSheetId="5" hidden="1">{#N/A,#N/A,TRUE,"Krycí list"}</definedName>
    <definedName name="Lighting" localSheetId="6" hidden="1">{#N/A,#N/A,TRUE,"Krycí list"}</definedName>
    <definedName name="Lighting" localSheetId="7" hidden="1">{#N/A,#N/A,TRUE,"Krycí list"}</definedName>
    <definedName name="Lighting" localSheetId="8" hidden="1">{#N/A,#N/A,TRUE,"Krycí list"}</definedName>
    <definedName name="Lighting" localSheetId="9" hidden="1">{#N/A,#N/A,TRUE,"Krycí list"}</definedName>
    <definedName name="Lighting" localSheetId="10" hidden="1">{#N/A,#N/A,TRUE,"Krycí list"}</definedName>
    <definedName name="Lighting" localSheetId="11" hidden="1">{#N/A,#N/A,TRUE,"Krycí list"}</definedName>
    <definedName name="Lighting" localSheetId="19" hidden="1">{#N/A,#N/A,TRUE,"Krycí list"}</definedName>
    <definedName name="Lighting" localSheetId="14" hidden="1">{#N/A,#N/A,TRUE,"Krycí list"}</definedName>
    <definedName name="Lighting" localSheetId="12" hidden="1">{#N/A,#N/A,TRUE,"Krycí list"}</definedName>
    <definedName name="Lighting" localSheetId="13" hidden="1">{#N/A,#N/A,TRUE,"Krycí list"}</definedName>
    <definedName name="Lighting" localSheetId="16" hidden="1">{#N/A,#N/A,TRUE,"Krycí list"}</definedName>
    <definedName name="Lighting" localSheetId="17" hidden="1">{#N/A,#N/A,TRUE,"Krycí list"}</definedName>
    <definedName name="Lighting" localSheetId="23" hidden="1">{#N/A,#N/A,TRUE,"Krycí list"}</definedName>
    <definedName name="Lighting" localSheetId="24" hidden="1">{#N/A,#N/A,TRUE,"Krycí list"}</definedName>
    <definedName name="Lighting" localSheetId="0" hidden="1">{#N/A,#N/A,TRUE,"Krycí list"}</definedName>
    <definedName name="Lighting" localSheetId="21" hidden="1">{#N/A,#N/A,TRUE,"Krycí list"}</definedName>
    <definedName name="Lighting" localSheetId="3" hidden="1">{#N/A,#N/A,TRUE,"Krycí list"}</definedName>
    <definedName name="Lighting" localSheetId="18" hidden="1">{#N/A,#N/A,TRUE,"Krycí list"}</definedName>
    <definedName name="Lighting" localSheetId="22" hidden="1">{#N/A,#N/A,TRUE,"Krycí list"}</definedName>
    <definedName name="Lighting" localSheetId="2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4">#REF!</definedName>
    <definedName name="Loan_Amount" localSheetId="5">#REF!</definedName>
    <definedName name="Loan_Amount" localSheetId="6">#REF!</definedName>
    <definedName name="Loan_Amount" localSheetId="7">#REF!</definedName>
    <definedName name="Loan_Amount" localSheetId="8">#REF!</definedName>
    <definedName name="Loan_Amount" localSheetId="9">#REF!</definedName>
    <definedName name="Loan_Amount" localSheetId="10">#REF!</definedName>
    <definedName name="Loan_Amount" localSheetId="11">#REF!</definedName>
    <definedName name="Loan_Amount" localSheetId="19">#REF!</definedName>
    <definedName name="Loan_Amount" localSheetId="14">#REF!</definedName>
    <definedName name="Loan_Amount" localSheetId="12">#REF!</definedName>
    <definedName name="Loan_Amount" localSheetId="13">#REF!</definedName>
    <definedName name="Loan_Amount" localSheetId="16">#REF!</definedName>
    <definedName name="Loan_Amount" localSheetId="17">#REF!</definedName>
    <definedName name="Loan_Amount" localSheetId="23">#REF!</definedName>
    <definedName name="Loan_Amount" localSheetId="24">#REF!</definedName>
    <definedName name="Loan_Amount" localSheetId="21">#REF!</definedName>
    <definedName name="Loan_Amount" localSheetId="3">#REF!</definedName>
    <definedName name="Loan_Amount" localSheetId="18">#REF!</definedName>
    <definedName name="Loan_Amount" localSheetId="22">#REF!</definedName>
    <definedName name="Loan_Amount" localSheetId="20">#REF!</definedName>
    <definedName name="Loan_Amount" localSheetId="1">#REF!</definedName>
    <definedName name="Loan_Amount">#REF!</definedName>
    <definedName name="Loan_Start" localSheetId="2">#REF!</definedName>
    <definedName name="Loan_Start" localSheetId="4">#REF!</definedName>
    <definedName name="Loan_Start" localSheetId="5">#REF!</definedName>
    <definedName name="Loan_Start" localSheetId="6">#REF!</definedName>
    <definedName name="Loan_Start" localSheetId="7">#REF!</definedName>
    <definedName name="Loan_Start" localSheetId="8">#REF!</definedName>
    <definedName name="Loan_Start" localSheetId="9">#REF!</definedName>
    <definedName name="Loan_Start" localSheetId="10">#REF!</definedName>
    <definedName name="Loan_Start" localSheetId="11">#REF!</definedName>
    <definedName name="Loan_Start" localSheetId="19">#REF!</definedName>
    <definedName name="Loan_Start" localSheetId="14">#REF!</definedName>
    <definedName name="Loan_Start" localSheetId="12">#REF!</definedName>
    <definedName name="Loan_Start" localSheetId="13">#REF!</definedName>
    <definedName name="Loan_Start" localSheetId="16">#REF!</definedName>
    <definedName name="Loan_Start" localSheetId="17">#REF!</definedName>
    <definedName name="Loan_Start" localSheetId="23">#REF!</definedName>
    <definedName name="Loan_Start" localSheetId="24">#REF!</definedName>
    <definedName name="Loan_Start" localSheetId="21">#REF!</definedName>
    <definedName name="Loan_Start" localSheetId="3">#REF!</definedName>
    <definedName name="Loan_Start" localSheetId="18">#REF!</definedName>
    <definedName name="Loan_Start" localSheetId="22">#REF!</definedName>
    <definedName name="Loan_Start" localSheetId="20">#REF!</definedName>
    <definedName name="Loan_Start" localSheetId="1">#REF!</definedName>
    <definedName name="Loan_Start">#REF!</definedName>
    <definedName name="Loan_Years" localSheetId="2">#REF!</definedName>
    <definedName name="Loan_Years" localSheetId="4">#REF!</definedName>
    <definedName name="Loan_Years" localSheetId="5">#REF!</definedName>
    <definedName name="Loan_Years" localSheetId="6">#REF!</definedName>
    <definedName name="Loan_Years" localSheetId="7">#REF!</definedName>
    <definedName name="Loan_Years" localSheetId="8">#REF!</definedName>
    <definedName name="Loan_Years" localSheetId="9">#REF!</definedName>
    <definedName name="Loan_Years" localSheetId="10">#REF!</definedName>
    <definedName name="Loan_Years" localSheetId="11">#REF!</definedName>
    <definedName name="Loan_Years" localSheetId="19">#REF!</definedName>
    <definedName name="Loan_Years" localSheetId="14">#REF!</definedName>
    <definedName name="Loan_Years" localSheetId="12">#REF!</definedName>
    <definedName name="Loan_Years" localSheetId="13">#REF!</definedName>
    <definedName name="Loan_Years" localSheetId="16">#REF!</definedName>
    <definedName name="Loan_Years" localSheetId="17">#REF!</definedName>
    <definedName name="Loan_Years" localSheetId="23">#REF!</definedName>
    <definedName name="Loan_Years" localSheetId="24">#REF!</definedName>
    <definedName name="Loan_Years" localSheetId="21">#REF!</definedName>
    <definedName name="Loan_Years" localSheetId="3">#REF!</definedName>
    <definedName name="Loan_Years" localSheetId="18">#REF!</definedName>
    <definedName name="Loan_Years" localSheetId="22">#REF!</definedName>
    <definedName name="Loan_Years" localSheetId="2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4" hidden="1">{#N/A,#N/A,TRUE,"Krycí list"}</definedName>
    <definedName name="MaR" localSheetId="5" hidden="1">{#N/A,#N/A,TRUE,"Krycí list"}</definedName>
    <definedName name="MaR" localSheetId="6" hidden="1">{#N/A,#N/A,TRUE,"Krycí list"}</definedName>
    <definedName name="MaR" localSheetId="7" hidden="1">{#N/A,#N/A,TRUE,"Krycí list"}</definedName>
    <definedName name="MaR" localSheetId="8" hidden="1">{#N/A,#N/A,TRUE,"Krycí list"}</definedName>
    <definedName name="MaR" localSheetId="9" hidden="1">{#N/A,#N/A,TRUE,"Krycí list"}</definedName>
    <definedName name="MaR" localSheetId="10" hidden="1">{#N/A,#N/A,TRUE,"Krycí list"}</definedName>
    <definedName name="MaR" localSheetId="11" hidden="1">{#N/A,#N/A,TRUE,"Krycí list"}</definedName>
    <definedName name="MaR" localSheetId="19" hidden="1">{#N/A,#N/A,TRUE,"Krycí list"}</definedName>
    <definedName name="MaR" localSheetId="14" hidden="1">{#N/A,#N/A,TRUE,"Krycí list"}</definedName>
    <definedName name="MaR" localSheetId="12" hidden="1">{#N/A,#N/A,TRUE,"Krycí list"}</definedName>
    <definedName name="MaR" localSheetId="13" hidden="1">{#N/A,#N/A,TRUE,"Krycí list"}</definedName>
    <definedName name="MaR" localSheetId="16" hidden="1">{#N/A,#N/A,TRUE,"Krycí list"}</definedName>
    <definedName name="MaR" localSheetId="17" hidden="1">{#N/A,#N/A,TRUE,"Krycí list"}</definedName>
    <definedName name="MaR" localSheetId="23" hidden="1">{#N/A,#N/A,TRUE,"Krycí list"}</definedName>
    <definedName name="MaR" localSheetId="24" hidden="1">{#N/A,#N/A,TRUE,"Krycí list"}</definedName>
    <definedName name="MaR" localSheetId="0" hidden="1">{#N/A,#N/A,TRUE,"Krycí list"}</definedName>
    <definedName name="MaR" localSheetId="21" hidden="1">{#N/A,#N/A,TRUE,"Krycí list"}</definedName>
    <definedName name="MaR" localSheetId="3" hidden="1">{#N/A,#N/A,TRUE,"Krycí list"}</definedName>
    <definedName name="MaR" localSheetId="18" hidden="1">{#N/A,#N/A,TRUE,"Krycí list"}</definedName>
    <definedName name="MaR" localSheetId="22" hidden="1">{#N/A,#N/A,TRUE,"Krycí list"}</definedName>
    <definedName name="MaR" localSheetId="2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4" hidden="1">{#N/A,#N/A,TRUE,"Krycí list"}</definedName>
    <definedName name="meraregulace" localSheetId="5" hidden="1">{#N/A,#N/A,TRUE,"Krycí list"}</definedName>
    <definedName name="meraregulace" localSheetId="6" hidden="1">{#N/A,#N/A,TRUE,"Krycí list"}</definedName>
    <definedName name="meraregulace" localSheetId="7" hidden="1">{#N/A,#N/A,TRUE,"Krycí list"}</definedName>
    <definedName name="meraregulace" localSheetId="8" hidden="1">{#N/A,#N/A,TRUE,"Krycí list"}</definedName>
    <definedName name="meraregulace" localSheetId="9" hidden="1">{#N/A,#N/A,TRUE,"Krycí list"}</definedName>
    <definedName name="meraregulace" localSheetId="10" hidden="1">{#N/A,#N/A,TRUE,"Krycí list"}</definedName>
    <definedName name="meraregulace" localSheetId="11" hidden="1">{#N/A,#N/A,TRUE,"Krycí list"}</definedName>
    <definedName name="meraregulace" localSheetId="19" hidden="1">{#N/A,#N/A,TRUE,"Krycí list"}</definedName>
    <definedName name="meraregulace" localSheetId="14" hidden="1">{#N/A,#N/A,TRUE,"Krycí list"}</definedName>
    <definedName name="meraregulace" localSheetId="12" hidden="1">{#N/A,#N/A,TRUE,"Krycí list"}</definedName>
    <definedName name="meraregulace" localSheetId="13" hidden="1">{#N/A,#N/A,TRUE,"Krycí list"}</definedName>
    <definedName name="meraregulace" localSheetId="16" hidden="1">{#N/A,#N/A,TRUE,"Krycí list"}</definedName>
    <definedName name="meraregulace" localSheetId="17" hidden="1">{#N/A,#N/A,TRUE,"Krycí list"}</definedName>
    <definedName name="meraregulace" localSheetId="23" hidden="1">{#N/A,#N/A,TRUE,"Krycí list"}</definedName>
    <definedName name="meraregulace" localSheetId="24" hidden="1">{#N/A,#N/A,TRUE,"Krycí list"}</definedName>
    <definedName name="meraregulace" localSheetId="0" hidden="1">{#N/A,#N/A,TRUE,"Krycí list"}</definedName>
    <definedName name="meraregulace" localSheetId="21" hidden="1">{#N/A,#N/A,TRUE,"Krycí list"}</definedName>
    <definedName name="meraregulace" localSheetId="3" hidden="1">{#N/A,#N/A,TRUE,"Krycí list"}</definedName>
    <definedName name="meraregulace" localSheetId="18" hidden="1">{#N/A,#N/A,TRUE,"Krycí list"}</definedName>
    <definedName name="meraregulace" localSheetId="22" hidden="1">{#N/A,#N/A,TRUE,"Krycí list"}</definedName>
    <definedName name="meraregulace" localSheetId="2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4">Scheduled_Payment+Extra_Payment</definedName>
    <definedName name="mereni" localSheetId="5">Scheduled_Payment+Extra_Payment</definedName>
    <definedName name="mereni" localSheetId="6">Scheduled_Payment+Extra_Payment</definedName>
    <definedName name="mereni" localSheetId="7">Scheduled_Payment+Extra_Payment</definedName>
    <definedName name="mereni" localSheetId="8">Scheduled_Payment+Extra_Payment</definedName>
    <definedName name="mereni" localSheetId="9">Scheduled_Payment+Extra_Payment</definedName>
    <definedName name="mereni" localSheetId="10">Scheduled_Payment+Extra_Payment</definedName>
    <definedName name="mereni" localSheetId="11">Scheduled_Payment+Extra_Payment</definedName>
    <definedName name="mereni" localSheetId="19">Scheduled_Payment+Extra_Payment</definedName>
    <definedName name="mereni" localSheetId="14">Scheduled_Payment+Extra_Payment</definedName>
    <definedName name="mereni" localSheetId="12">Scheduled_Payment+Extra_Payment</definedName>
    <definedName name="mereni" localSheetId="13">Scheduled_Payment+Extra_Payment</definedName>
    <definedName name="mereni" localSheetId="16">Scheduled_Payment+Extra_Payment</definedName>
    <definedName name="mereni" localSheetId="17">Scheduled_Payment+Extra_Payment</definedName>
    <definedName name="mereni" localSheetId="23">Scheduled_Payment+Extra_Payment</definedName>
    <definedName name="mereni" localSheetId="24">Scheduled_Payment+Extra_Payment</definedName>
    <definedName name="mereni" localSheetId="0">Scheduled_Payment+Extra_Payment</definedName>
    <definedName name="mereni" localSheetId="21">Scheduled_Payment+Extra_Payment</definedName>
    <definedName name="mereni" localSheetId="3">Scheduled_Payment+Extra_Payment</definedName>
    <definedName name="mereni" localSheetId="18">Scheduled_Payment+Extra_Payment</definedName>
    <definedName name="mereni" localSheetId="22">Scheduled_Payment+Extra_Payment</definedName>
    <definedName name="mereni" localSheetId="2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4">#REF!</definedName>
    <definedName name="MJ" localSheetId="5">#REF!</definedName>
    <definedName name="MJ" localSheetId="6">#REF!</definedName>
    <definedName name="MJ" localSheetId="7">#REF!</definedName>
    <definedName name="MJ" localSheetId="8">#REF!</definedName>
    <definedName name="MJ" localSheetId="9">#REF!</definedName>
    <definedName name="MJ" localSheetId="10">#REF!</definedName>
    <definedName name="MJ" localSheetId="11">#REF!</definedName>
    <definedName name="MJ" localSheetId="19">#REF!</definedName>
    <definedName name="MJ" localSheetId="14">#REF!</definedName>
    <definedName name="MJ" localSheetId="12">#REF!</definedName>
    <definedName name="MJ" localSheetId="13">#REF!</definedName>
    <definedName name="MJ" localSheetId="16">#REF!</definedName>
    <definedName name="MJ" localSheetId="17">#REF!</definedName>
    <definedName name="MJ" localSheetId="23">#REF!</definedName>
    <definedName name="MJ" localSheetId="24">#REF!</definedName>
    <definedName name="MJ" localSheetId="0">#REF!</definedName>
    <definedName name="MJ" localSheetId="21">#REF!</definedName>
    <definedName name="MJ" localSheetId="3">#REF!</definedName>
    <definedName name="MJ" localSheetId="18">#REF!</definedName>
    <definedName name="MJ" localSheetId="22">#REF!</definedName>
    <definedName name="MJ" localSheetId="20">#REF!</definedName>
    <definedName name="MJ" localSheetId="1">#REF!</definedName>
    <definedName name="MJ">#REF!</definedName>
    <definedName name="Mont" localSheetId="2">#REF!</definedName>
    <definedName name="Mont" localSheetId="4">#REF!</definedName>
    <definedName name="Mont" localSheetId="5">#REF!</definedName>
    <definedName name="Mont" localSheetId="6">#REF!</definedName>
    <definedName name="Mont" localSheetId="7">#REF!</definedName>
    <definedName name="Mont" localSheetId="8">#REF!</definedName>
    <definedName name="Mont" localSheetId="9">#REF!</definedName>
    <definedName name="Mont" localSheetId="10">#REF!</definedName>
    <definedName name="Mont" localSheetId="11">#REF!</definedName>
    <definedName name="Mont" localSheetId="19">#REF!</definedName>
    <definedName name="Mont" localSheetId="14">#REF!</definedName>
    <definedName name="Mont" localSheetId="13">#REF!</definedName>
    <definedName name="Mont" localSheetId="16">#REF!</definedName>
    <definedName name="Mont" localSheetId="17">#REF!</definedName>
    <definedName name="Mont" localSheetId="23">#REF!</definedName>
    <definedName name="Mont" localSheetId="24">#REF!</definedName>
    <definedName name="Mont" localSheetId="0">#REF!</definedName>
    <definedName name="Mont" localSheetId="21">#REF!</definedName>
    <definedName name="Mont" localSheetId="3">#REF!</definedName>
    <definedName name="Mont" localSheetId="18">#REF!</definedName>
    <definedName name="Mont" localSheetId="22">#REF!</definedName>
    <definedName name="Mont" localSheetId="20">#REF!</definedName>
    <definedName name="Mont" localSheetId="1">#REF!</definedName>
    <definedName name="Mont">#REF!</definedName>
    <definedName name="Montaz0" localSheetId="2">#REF!</definedName>
    <definedName name="Montaz0" localSheetId="4">#REF!</definedName>
    <definedName name="Montaz0" localSheetId="5">#REF!</definedName>
    <definedName name="Montaz0" localSheetId="6">#REF!</definedName>
    <definedName name="Montaz0" localSheetId="7">#REF!</definedName>
    <definedName name="Montaz0" localSheetId="8">#REF!</definedName>
    <definedName name="Montaz0" localSheetId="9">#REF!</definedName>
    <definedName name="Montaz0" localSheetId="10">#REF!</definedName>
    <definedName name="Montaz0" localSheetId="11">#REF!</definedName>
    <definedName name="Montaz0" localSheetId="19">#REF!</definedName>
    <definedName name="Montaz0" localSheetId="14">#REF!</definedName>
    <definedName name="Montaz0" localSheetId="13">#REF!</definedName>
    <definedName name="Montaz0" localSheetId="16">#REF!</definedName>
    <definedName name="Montaz0" localSheetId="17">#REF!</definedName>
    <definedName name="Montaz0" localSheetId="23">#REF!</definedName>
    <definedName name="Montaz0" localSheetId="24">#REF!</definedName>
    <definedName name="Montaz0" localSheetId="0">'[10]002-A.1. Archstav  reseni'!#REF!</definedName>
    <definedName name="Montaz0" localSheetId="21">#REF!</definedName>
    <definedName name="Montaz0" localSheetId="3">#REF!</definedName>
    <definedName name="Montaz0" localSheetId="18">#REF!</definedName>
    <definedName name="Montaz0" localSheetId="22">#REF!</definedName>
    <definedName name="Montaz0" localSheetId="20">#REF!</definedName>
    <definedName name="Montaz0" localSheetId="1">#REF!</definedName>
    <definedName name="Montaz0">#REF!</definedName>
    <definedName name="mts" localSheetId="2">#REF!</definedName>
    <definedName name="mts" localSheetId="4">#REF!</definedName>
    <definedName name="mts" localSheetId="5">#REF!</definedName>
    <definedName name="mts" localSheetId="6">#REF!</definedName>
    <definedName name="mts" localSheetId="7">#REF!</definedName>
    <definedName name="mts" localSheetId="8">#REF!</definedName>
    <definedName name="mts" localSheetId="10">#REF!</definedName>
    <definedName name="mts" localSheetId="11">#REF!</definedName>
    <definedName name="mts" localSheetId="19">#REF!</definedName>
    <definedName name="mts" localSheetId="14">#REF!</definedName>
    <definedName name="mts" localSheetId="13">#REF!</definedName>
    <definedName name="mts" localSheetId="23">#REF!</definedName>
    <definedName name="mts" localSheetId="24">#REF!</definedName>
    <definedName name="mts" localSheetId="21">#REF!</definedName>
    <definedName name="mts" localSheetId="3">#REF!</definedName>
    <definedName name="mts" localSheetId="18">#REF!</definedName>
    <definedName name="mts" localSheetId="22">#REF!</definedName>
    <definedName name="mts" localSheetId="20">#REF!</definedName>
    <definedName name="mts" localSheetId="1">#REF!</definedName>
    <definedName name="mts">#REF!</definedName>
    <definedName name="n" localSheetId="2">Scheduled_Payment+Extra_Payment</definedName>
    <definedName name="n" localSheetId="4">Scheduled_Payment+Extra_Payment</definedName>
    <definedName name="n" localSheetId="5">Scheduled_Payment+Extra_Payment</definedName>
    <definedName name="n" localSheetId="6">Scheduled_Payment+Extra_Payment</definedName>
    <definedName name="n" localSheetId="7">Scheduled_Payment+Extra_Payment</definedName>
    <definedName name="n" localSheetId="8">Scheduled_Payment+Extra_Payment</definedName>
    <definedName name="n" localSheetId="9">Scheduled_Payment+Extra_Payment</definedName>
    <definedName name="n" localSheetId="10">Scheduled_Payment+Extra_Payment</definedName>
    <definedName name="n" localSheetId="11">Scheduled_Payment+Extra_Payment</definedName>
    <definedName name="n" localSheetId="19">Scheduled_Payment+Extra_Payment</definedName>
    <definedName name="n" localSheetId="14">Scheduled_Payment+Extra_Payment</definedName>
    <definedName name="n" localSheetId="12">Scheduled_Payment+Extra_Payment</definedName>
    <definedName name="n" localSheetId="13">Scheduled_Payment+Extra_Payment</definedName>
    <definedName name="n" localSheetId="16">Scheduled_Payment+Extra_Payment</definedName>
    <definedName name="n" localSheetId="17">Scheduled_Payment+Extra_Payment</definedName>
    <definedName name="n" localSheetId="23">Scheduled_Payment+Extra_Payment</definedName>
    <definedName name="n" localSheetId="24">Scheduled_Payment+Extra_Payment</definedName>
    <definedName name="n" localSheetId="0">Scheduled_Payment+Extra_Payment</definedName>
    <definedName name="n" localSheetId="21">Scheduled_Payment+Extra_Payment</definedName>
    <definedName name="n" localSheetId="3">Scheduled_Payment+Extra_Payment</definedName>
    <definedName name="n" localSheetId="18">Scheduled_Payment+Extra_Payment</definedName>
    <definedName name="n" localSheetId="22">Scheduled_Payment+Extra_Payment</definedName>
    <definedName name="n" localSheetId="2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4">#REF!</definedName>
    <definedName name="NazevDilu" localSheetId="5">#REF!</definedName>
    <definedName name="NazevDilu" localSheetId="6">#REF!</definedName>
    <definedName name="NazevDilu" localSheetId="7">#REF!</definedName>
    <definedName name="NazevDilu" localSheetId="8">#REF!</definedName>
    <definedName name="NazevDilu" localSheetId="9">#REF!</definedName>
    <definedName name="NazevDilu" localSheetId="10">#REF!</definedName>
    <definedName name="NazevDilu" localSheetId="11">#REF!</definedName>
    <definedName name="NazevDilu" localSheetId="19">#REF!</definedName>
    <definedName name="NazevDilu" localSheetId="14">#REF!</definedName>
    <definedName name="NazevDilu" localSheetId="12">#REF!</definedName>
    <definedName name="NazevDilu" localSheetId="13">#REF!</definedName>
    <definedName name="NazevDilu" localSheetId="16">#REF!</definedName>
    <definedName name="NazevDilu" localSheetId="17">#REF!</definedName>
    <definedName name="NazevDilu" localSheetId="23">#REF!</definedName>
    <definedName name="NazevDilu" localSheetId="24">#REF!</definedName>
    <definedName name="NazevDilu" localSheetId="0">#REF!</definedName>
    <definedName name="NazevDilu" localSheetId="21">#REF!</definedName>
    <definedName name="NazevDilu" localSheetId="3">#REF!</definedName>
    <definedName name="NazevDilu" localSheetId="18">#REF!</definedName>
    <definedName name="NazevDilu" localSheetId="22">#REF!</definedName>
    <definedName name="NazevDilu" localSheetId="20">#REF!</definedName>
    <definedName name="NazevDilu" localSheetId="1">#REF!</definedName>
    <definedName name="NazevDilu">#REF!</definedName>
    <definedName name="nazevobjektu" localSheetId="2">#REF!</definedName>
    <definedName name="nazevobjektu" localSheetId="4">#REF!</definedName>
    <definedName name="nazevobjektu" localSheetId="5">#REF!</definedName>
    <definedName name="nazevobjektu" localSheetId="6">#REF!</definedName>
    <definedName name="nazevobjektu" localSheetId="7">#REF!</definedName>
    <definedName name="nazevobjektu" localSheetId="8">#REF!</definedName>
    <definedName name="nazevobjektu" localSheetId="9">#REF!</definedName>
    <definedName name="nazevobjektu" localSheetId="10">#REF!</definedName>
    <definedName name="nazevobjektu" localSheetId="11">#REF!</definedName>
    <definedName name="nazevobjektu" localSheetId="19">#REF!</definedName>
    <definedName name="nazevobjektu" localSheetId="14">#REF!</definedName>
    <definedName name="nazevobjektu" localSheetId="13">#REF!</definedName>
    <definedName name="nazevobjektu" localSheetId="16">#REF!</definedName>
    <definedName name="nazevobjektu" localSheetId="17">#REF!</definedName>
    <definedName name="nazevobjektu" localSheetId="23">#REF!</definedName>
    <definedName name="nazevobjektu" localSheetId="24">#REF!</definedName>
    <definedName name="NazevObjektu" localSheetId="0">KL!$C$35</definedName>
    <definedName name="nazevobjektu" localSheetId="21">#REF!</definedName>
    <definedName name="nazevobjektu" localSheetId="3">#REF!</definedName>
    <definedName name="nazevobjektu" localSheetId="18">#REF!</definedName>
    <definedName name="nazevobjektu" localSheetId="22">#REF!</definedName>
    <definedName name="nazevobjektu" localSheetId="20">#REF!</definedName>
    <definedName name="nazevobjektu" localSheetId="1">#REF!</definedName>
    <definedName name="nazevobjektu">#REF!</definedName>
    <definedName name="nazevstavby" localSheetId="2">#REF!</definedName>
    <definedName name="nazevstavby" localSheetId="4">#REF!</definedName>
    <definedName name="nazevstavby" localSheetId="5">#REF!</definedName>
    <definedName name="nazevstavby" localSheetId="6">#REF!</definedName>
    <definedName name="nazevstavby" localSheetId="7">#REF!</definedName>
    <definedName name="nazevstavby" localSheetId="8">#REF!</definedName>
    <definedName name="nazevstavby" localSheetId="9">#REF!</definedName>
    <definedName name="nazevstavby" localSheetId="10">#REF!</definedName>
    <definedName name="nazevstavby" localSheetId="11">#REF!</definedName>
    <definedName name="nazevstavby" localSheetId="19">#REF!</definedName>
    <definedName name="nazevstavby" localSheetId="14">#REF!</definedName>
    <definedName name="nazevstavby" localSheetId="13">#REF!</definedName>
    <definedName name="nazevstavby" localSheetId="16">#REF!</definedName>
    <definedName name="nazevstavby" localSheetId="17">#REF!</definedName>
    <definedName name="nazevstavby" localSheetId="23">#REF!</definedName>
    <definedName name="nazevstavby" localSheetId="24">#REF!</definedName>
    <definedName name="NazevStavby" localSheetId="0">KL!$D$5</definedName>
    <definedName name="nazevstavby" localSheetId="21">#REF!</definedName>
    <definedName name="nazevstavby" localSheetId="3">#REF!</definedName>
    <definedName name="nazevstavby" localSheetId="18">#REF!</definedName>
    <definedName name="nazevstavby" localSheetId="22">#REF!</definedName>
    <definedName name="nazevstavby" localSheetId="20">#REF!</definedName>
    <definedName name="nazevstavby" localSheetId="1">#REF!</definedName>
    <definedName name="nazevstavby">#REF!</definedName>
    <definedName name="_xlnm.Print_Titles" localSheetId="15">'D.1.4.6. MĚŘENÍ A REGULACE'!$1:$7</definedName>
    <definedName name="Num_Pmt_Per_Year" localSheetId="2">#REF!</definedName>
    <definedName name="Num_Pmt_Per_Year" localSheetId="4">#REF!</definedName>
    <definedName name="Num_Pmt_Per_Year" localSheetId="5">#REF!</definedName>
    <definedName name="Num_Pmt_Per_Year" localSheetId="6">#REF!</definedName>
    <definedName name="Num_Pmt_Per_Year" localSheetId="7">#REF!</definedName>
    <definedName name="Num_Pmt_Per_Year" localSheetId="8">#REF!</definedName>
    <definedName name="Num_Pmt_Per_Year" localSheetId="10">#REF!</definedName>
    <definedName name="Num_Pmt_Per_Year" localSheetId="11">#REF!</definedName>
    <definedName name="Num_Pmt_Per_Year" localSheetId="19">#REF!</definedName>
    <definedName name="Num_Pmt_Per_Year" localSheetId="14">#REF!</definedName>
    <definedName name="Num_Pmt_Per_Year" localSheetId="12">#REF!</definedName>
    <definedName name="Num_Pmt_Per_Year" localSheetId="13">#REF!</definedName>
    <definedName name="Num_Pmt_Per_Year" localSheetId="23">#REF!</definedName>
    <definedName name="Num_Pmt_Per_Year" localSheetId="24">#REF!</definedName>
    <definedName name="Num_Pmt_Per_Year" localSheetId="21">#REF!</definedName>
    <definedName name="Num_Pmt_Per_Year" localSheetId="3">#REF!</definedName>
    <definedName name="Num_Pmt_Per_Year" localSheetId="18">#REF!</definedName>
    <definedName name="Num_Pmt_Per_Year" localSheetId="22">#REF!</definedName>
    <definedName name="Num_Pmt_Per_Year" localSheetId="20">#REF!</definedName>
    <definedName name="Num_Pmt_Per_Year" localSheetId="1">#REF!</definedName>
    <definedName name="Num_Pmt_Per_Year">#REF!</definedName>
    <definedName name="Number_of_Payments" localSheetId="2">MATCH(0.01,'D.1.1. ASŘ - BOURACÍ PRÁCE'!End_Bal,-1)+1</definedName>
    <definedName name="Number_of_Payments" localSheetId="4">MATCH(0.01,'D.1.1. ASŘ - NOVÝ STAV'!End_Bal,-1)+1</definedName>
    <definedName name="Number_of_Payments" localSheetId="5">MATCH(0.01,'D.1.1. VÝPIS DVEŘÍ'!End_Bal,-1)+1</definedName>
    <definedName name="Number_of_Payments" localSheetId="6">MATCH(0.01,'D.1.1.c.02 - VÝPIS OKEN'!End_Bal,-1)+1</definedName>
    <definedName name="Number_of_Payments" localSheetId="7">MATCH(0.01,'D.1.1.c.04. VÝPIS TRUHLÁŘ.'!End_Bal,-1)+1</definedName>
    <definedName name="Number_of_Payments" localSheetId="8">MATCH(0.01,'D.1.1.c.05. VÝPIS ZÁMEČN. VÝR.'!End_Bal,-1)+1</definedName>
    <definedName name="Number_of_Payments" localSheetId="9">MATCH(0.01,End_Bal,-1)+1</definedName>
    <definedName name="Number_of_Payments" localSheetId="10">MATCH(0.01,'D.1.1.c.07 VÝPIS OSTAT.'!End_Bal,-1)+1</definedName>
    <definedName name="Number_of_Payments" localSheetId="11">MATCH(0.01,'D.1.4.1. ZTI'!End_Bal,-1)+1</definedName>
    <definedName name="Number_of_Payments" localSheetId="19">MATCH(0.01,'D.1.4.10.2. POZEMNÍ KOMUNIKACE'!End_Bal,-1)+1</definedName>
    <definedName name="Number_of_Payments" localSheetId="14">MATCH(0.01,'D.1.4.2. ODBĚR. PLYN. ZAŘÍZ.'!End_Bal,-1)+1</definedName>
    <definedName name="Number_of_Payments" localSheetId="12">MATCH(0.01,End_Bal,-1)+1</definedName>
    <definedName name="Number_of_Payments" localSheetId="13">MATCH(0.01,'D.1.4.4. VYTÁPENÍ'!End_Bal,-1)+1</definedName>
    <definedName name="Number_of_Payments" localSheetId="16">MATCH(0.01,End_Bal,-1)+1</definedName>
    <definedName name="Number_of_Payments" localSheetId="17">MATCH(0.01,End_Bal,-1)+1</definedName>
    <definedName name="Number_of_Payments" localSheetId="23">MATCH(0.01,'D.2.2 VENKOVNÍ ROZVOD TEPLA-BP'!End_Bal,-1)+1</definedName>
    <definedName name="Number_of_Payments" localSheetId="24">MATCH(0.01,'D.2.2. VENKOVNÍ ROZVOD TEPLA'!End_Bal,-1)+1</definedName>
    <definedName name="Number_of_Payments" localSheetId="0">MATCH(0.01,End_Bal,-1)+1</definedName>
    <definedName name="Number_of_Payments" localSheetId="21">MATCH(0.01,OPLOCENÍ!End_Bal,-1)+1</definedName>
    <definedName name="Number_of_Payments" localSheetId="3">MATCH(0.01,'REKAPITULACE - NS'!End_Bal,-1)+1</definedName>
    <definedName name="Number_of_Payments" localSheetId="18">MATCH(0.01,'REKAPITULACE - POZEMN.KOM.+SADO'!End_Bal,-1)+1</definedName>
    <definedName name="Number_of_Payments" localSheetId="22">MATCH(0.01,'REKAPITULACE - ROZVOD TEPLA'!End_Bal,-1)+1</definedName>
    <definedName name="Number_of_Payments" localSheetId="20">MATCH(0.01,'SADOVÉ ÚPRAVY'!End_Bal,-1)+1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4">#REF!</definedName>
    <definedName name="obch_sleva" localSheetId="5">#REF!</definedName>
    <definedName name="obch_sleva" localSheetId="6">#REF!</definedName>
    <definedName name="obch_sleva" localSheetId="7">#REF!</definedName>
    <definedName name="obch_sleva" localSheetId="8">#REF!</definedName>
    <definedName name="obch_sleva" localSheetId="9">#REF!</definedName>
    <definedName name="obch_sleva" localSheetId="10">#REF!</definedName>
    <definedName name="obch_sleva" localSheetId="11">#REF!</definedName>
    <definedName name="obch_sleva" localSheetId="19">#REF!</definedName>
    <definedName name="obch_sleva" localSheetId="14">#REF!</definedName>
    <definedName name="obch_sleva" localSheetId="12">#REF!</definedName>
    <definedName name="obch_sleva" localSheetId="13">#REF!</definedName>
    <definedName name="obch_sleva" localSheetId="16">#REF!</definedName>
    <definedName name="obch_sleva" localSheetId="17">#REF!</definedName>
    <definedName name="obch_sleva" localSheetId="23">#REF!</definedName>
    <definedName name="obch_sleva" localSheetId="24">#REF!</definedName>
    <definedName name="obch_sleva" localSheetId="21">#REF!</definedName>
    <definedName name="obch_sleva" localSheetId="3">#REF!</definedName>
    <definedName name="obch_sleva" localSheetId="18">#REF!</definedName>
    <definedName name="obch_sleva" localSheetId="22">#REF!</definedName>
    <definedName name="obch_sleva" localSheetId="20">#REF!</definedName>
    <definedName name="obch_sleva" localSheetId="1">#REF!</definedName>
    <definedName name="obch_sleva">#REF!</definedName>
    <definedName name="Objednatel" localSheetId="2">#REF!</definedName>
    <definedName name="Objednatel" localSheetId="4">#REF!</definedName>
    <definedName name="Objednatel" localSheetId="5">#REF!</definedName>
    <definedName name="Objednatel" localSheetId="6">#REF!</definedName>
    <definedName name="Objednatel" localSheetId="7">#REF!</definedName>
    <definedName name="Objednatel" localSheetId="8">#REF!</definedName>
    <definedName name="Objednatel" localSheetId="9">#REF!</definedName>
    <definedName name="Objednatel" localSheetId="10">#REF!</definedName>
    <definedName name="Objednatel" localSheetId="11">#REF!</definedName>
    <definedName name="Objednatel" localSheetId="19">#REF!</definedName>
    <definedName name="Objednatel" localSheetId="14">#REF!</definedName>
    <definedName name="Objednatel" localSheetId="12">#REF!</definedName>
    <definedName name="Objednatel" localSheetId="13">#REF!</definedName>
    <definedName name="Objednatel" localSheetId="16">#REF!</definedName>
    <definedName name="Objednatel" localSheetId="17">#REF!</definedName>
    <definedName name="Objednatel" localSheetId="23">#REF!</definedName>
    <definedName name="Objednatel" localSheetId="24">#REF!</definedName>
    <definedName name="Objednatel" localSheetId="0">KL!$D$9</definedName>
    <definedName name="Objednatel" localSheetId="21">#REF!</definedName>
    <definedName name="Objednatel" localSheetId="3">#REF!</definedName>
    <definedName name="Objednatel" localSheetId="18">#REF!</definedName>
    <definedName name="Objednatel" localSheetId="22">#REF!</definedName>
    <definedName name="Objednatel" localSheetId="20">#REF!</definedName>
    <definedName name="Objednatel" localSheetId="1">#REF!</definedName>
    <definedName name="Objednatel">#REF!</definedName>
    <definedName name="Objekt" localSheetId="0">KL!$B$35</definedName>
    <definedName name="_xlnm.Print_Area" localSheetId="2">'D.1.1. ASŘ - BOURACÍ PRÁCE'!$A$1:$I$329</definedName>
    <definedName name="_xlnm.Print_Area" localSheetId="4">'D.1.1. ASŘ - NOVÝ STAV'!$A$1:$I$894</definedName>
    <definedName name="_xlnm.Print_Area" localSheetId="5">'D.1.1. VÝPIS DVEŘÍ'!$A$1:$I$213</definedName>
    <definedName name="_xlnm.Print_Area" localSheetId="6">'D.1.1.c.02 - VÝPIS OKEN'!$A$1:$I$165</definedName>
    <definedName name="_xlnm.Print_Area" localSheetId="7">'D.1.1.c.04. VÝPIS TRUHLÁŘ.'!$A$1:$I$105</definedName>
    <definedName name="_xlnm.Print_Area" localSheetId="8">'D.1.1.c.05. VÝPIS ZÁMEČN. VÝR.'!$A$1:$I$111</definedName>
    <definedName name="_xlnm.Print_Area" localSheetId="9">'D.1.1.c.06. VÝPIS KLEMP.'!$A$1:$I$86</definedName>
    <definedName name="_xlnm.Print_Area" localSheetId="10">'D.1.1.c.07 VÝPIS OSTAT.'!$A$1:$I$239</definedName>
    <definedName name="_xlnm.Print_Area" localSheetId="11">'D.1.4.1. ZTI'!$A$1:$I$516</definedName>
    <definedName name="_xlnm.Print_Area" localSheetId="19">'D.1.4.10.2. POZEMNÍ KOMUNIKACE'!$A$1:$I$117</definedName>
    <definedName name="_xlnm.Print_Area" localSheetId="14">'D.1.4.2. ODBĚR. PLYN. ZAŘÍZ.'!$A$1:$I$94</definedName>
    <definedName name="_xlnm.Print_Area" localSheetId="12">'D.1.4.3. VZDUCHOTECHNIKA'!$A$1:$I$361</definedName>
    <definedName name="_xlnm.Print_Area" localSheetId="13">'D.1.4.4. VYTÁPENÍ'!$A$1:$I$397</definedName>
    <definedName name="_xlnm.Print_Area" localSheetId="15">'D.1.4.6. MĚŘENÍ A REGULACE'!$A$1:$F$133</definedName>
    <definedName name="_xlnm.Print_Area" localSheetId="16">'D.1.4.7. SILNOPROUD'!$A$1:$I$351</definedName>
    <definedName name="_xlnm.Print_Area" localSheetId="17">'D.1.4.8. EL. KOMUNIKACE'!$A$1:$I$271</definedName>
    <definedName name="_xlnm.Print_Area" localSheetId="23">'D.2.2 VENKOVNÍ ROZVOD TEPLA-BP'!$A$1:$I$43</definedName>
    <definedName name="_xlnm.Print_Area" localSheetId="24">'D.2.2. VENKOVNÍ ROZVOD TEPLA'!$A$1:$I$44</definedName>
    <definedName name="_xlnm.Print_Area" localSheetId="0">KL!$A$1:$I$73</definedName>
    <definedName name="_xlnm.Print_Area" localSheetId="21">OPLOCENÍ!$A$1:$I$48</definedName>
    <definedName name="_xlnm.Print_Area" localSheetId="3">'REKAPITULACE - NS'!$A$1:$C$32</definedName>
    <definedName name="_xlnm.Print_Area" localSheetId="18">'REKAPITULACE - POZEMN.KOM.+SADO'!$A$1:$C$32</definedName>
    <definedName name="_xlnm.Print_Area" localSheetId="22">'REKAPITULACE - ROZVOD TEPLA'!$A$1:$C$33</definedName>
    <definedName name="_xlnm.Print_Area" localSheetId="20">'SADOVÉ ÚPRAVY'!$A$1:$I$56</definedName>
    <definedName name="_xlnm.Print_Area" localSheetId="1">VRN!$A$1:$H$45</definedName>
    <definedName name="odic" localSheetId="0">KL!#REF!</definedName>
    <definedName name="oico" localSheetId="0">KL!$J$9</definedName>
    <definedName name="omisto" localSheetId="0">KL!#REF!</definedName>
    <definedName name="onazev" localSheetId="0">KL!#REF!</definedName>
    <definedName name="op" localSheetId="2">#REF!</definedName>
    <definedName name="op" localSheetId="4">#REF!</definedName>
    <definedName name="op" localSheetId="5">#REF!</definedName>
    <definedName name="op" localSheetId="6">#REF!</definedName>
    <definedName name="op" localSheetId="7">#REF!</definedName>
    <definedName name="op" localSheetId="8">#REF!</definedName>
    <definedName name="op" localSheetId="9">#REF!</definedName>
    <definedName name="op" localSheetId="10">#REF!</definedName>
    <definedName name="op" localSheetId="11">#REF!</definedName>
    <definedName name="op" localSheetId="19">#REF!</definedName>
    <definedName name="op" localSheetId="14">#REF!</definedName>
    <definedName name="op" localSheetId="12">#REF!</definedName>
    <definedName name="op" localSheetId="13">#REF!</definedName>
    <definedName name="op" localSheetId="16">#REF!</definedName>
    <definedName name="op" localSheetId="17">#REF!</definedName>
    <definedName name="op" localSheetId="23">#REF!</definedName>
    <definedName name="op" localSheetId="24">#REF!</definedName>
    <definedName name="op" localSheetId="21">#REF!</definedName>
    <definedName name="op" localSheetId="3">#REF!</definedName>
    <definedName name="op" localSheetId="18">#REF!</definedName>
    <definedName name="op" localSheetId="22">#REF!</definedName>
    <definedName name="op" localSheetId="2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4" hidden="1">{#N/A,#N/A,TRUE,"Krycí list"}</definedName>
    <definedName name="Outside" localSheetId="5" hidden="1">{#N/A,#N/A,TRUE,"Krycí list"}</definedName>
    <definedName name="Outside" localSheetId="6" hidden="1">{#N/A,#N/A,TRUE,"Krycí list"}</definedName>
    <definedName name="Outside" localSheetId="7" hidden="1">{#N/A,#N/A,TRUE,"Krycí list"}</definedName>
    <definedName name="Outside" localSheetId="8" hidden="1">{#N/A,#N/A,TRUE,"Krycí list"}</definedName>
    <definedName name="Outside" localSheetId="9" hidden="1">{#N/A,#N/A,TRUE,"Krycí list"}</definedName>
    <definedName name="Outside" localSheetId="10" hidden="1">{#N/A,#N/A,TRUE,"Krycí list"}</definedName>
    <definedName name="Outside" localSheetId="11" hidden="1">{#N/A,#N/A,TRUE,"Krycí list"}</definedName>
    <definedName name="Outside" localSheetId="19" hidden="1">{#N/A,#N/A,TRUE,"Krycí list"}</definedName>
    <definedName name="Outside" localSheetId="14" hidden="1">{#N/A,#N/A,TRUE,"Krycí list"}</definedName>
    <definedName name="Outside" localSheetId="12" hidden="1">{#N/A,#N/A,TRUE,"Krycí list"}</definedName>
    <definedName name="Outside" localSheetId="13" hidden="1">{#N/A,#N/A,TRUE,"Krycí list"}</definedName>
    <definedName name="Outside" localSheetId="16" hidden="1">{#N/A,#N/A,TRUE,"Krycí list"}</definedName>
    <definedName name="Outside" localSheetId="17" hidden="1">{#N/A,#N/A,TRUE,"Krycí list"}</definedName>
    <definedName name="Outside" localSheetId="23" hidden="1">{#N/A,#N/A,TRUE,"Krycí list"}</definedName>
    <definedName name="Outside" localSheetId="24" hidden="1">{#N/A,#N/A,TRUE,"Krycí list"}</definedName>
    <definedName name="Outside" localSheetId="0" hidden="1">{#N/A,#N/A,TRUE,"Krycí list"}</definedName>
    <definedName name="Outside" localSheetId="21" hidden="1">{#N/A,#N/A,TRUE,"Krycí list"}</definedName>
    <definedName name="Outside" localSheetId="3" hidden="1">{#N/A,#N/A,TRUE,"Krycí list"}</definedName>
    <definedName name="Outside" localSheetId="18" hidden="1">{#N/A,#N/A,TRUE,"Krycí list"}</definedName>
    <definedName name="Outside" localSheetId="22" hidden="1">{#N/A,#N/A,TRUE,"Krycí list"}</definedName>
    <definedName name="Outside" localSheetId="2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4">#REF!</definedName>
    <definedName name="Pay_Date" localSheetId="5">#REF!</definedName>
    <definedName name="Pay_Date" localSheetId="6">#REF!</definedName>
    <definedName name="Pay_Date" localSheetId="7">#REF!</definedName>
    <definedName name="Pay_Date" localSheetId="8">#REF!</definedName>
    <definedName name="Pay_Date" localSheetId="9">#REF!</definedName>
    <definedName name="Pay_Date" localSheetId="10">#REF!</definedName>
    <definedName name="Pay_Date" localSheetId="11">#REF!</definedName>
    <definedName name="Pay_Date" localSheetId="19">#REF!</definedName>
    <definedName name="Pay_Date" localSheetId="14">#REF!</definedName>
    <definedName name="Pay_Date" localSheetId="12">#REF!</definedName>
    <definedName name="Pay_Date" localSheetId="13">#REF!</definedName>
    <definedName name="Pay_Date" localSheetId="16">#REF!</definedName>
    <definedName name="Pay_Date" localSheetId="17">#REF!</definedName>
    <definedName name="Pay_Date" localSheetId="23">#REF!</definedName>
    <definedName name="Pay_Date" localSheetId="24">#REF!</definedName>
    <definedName name="Pay_Date" localSheetId="21">#REF!</definedName>
    <definedName name="Pay_Date" localSheetId="3">#REF!</definedName>
    <definedName name="Pay_Date" localSheetId="18">#REF!</definedName>
    <definedName name="Pay_Date" localSheetId="22">#REF!</definedName>
    <definedName name="Pay_Date" localSheetId="20">#REF!</definedName>
    <definedName name="Pay_Date" localSheetId="1">#REF!</definedName>
    <definedName name="Pay_Date">#REF!</definedName>
    <definedName name="Pay_Num" localSheetId="2">#REF!</definedName>
    <definedName name="Pay_Num" localSheetId="4">#REF!</definedName>
    <definedName name="Pay_Num" localSheetId="5">#REF!</definedName>
    <definedName name="Pay_Num" localSheetId="6">#REF!</definedName>
    <definedName name="Pay_Num" localSheetId="7">#REF!</definedName>
    <definedName name="Pay_Num" localSheetId="8">#REF!</definedName>
    <definedName name="Pay_Num" localSheetId="9">#REF!</definedName>
    <definedName name="Pay_Num" localSheetId="10">#REF!</definedName>
    <definedName name="Pay_Num" localSheetId="11">#REF!</definedName>
    <definedName name="Pay_Num" localSheetId="19">#REF!</definedName>
    <definedName name="Pay_Num" localSheetId="14">#REF!</definedName>
    <definedName name="Pay_Num" localSheetId="12">#REF!</definedName>
    <definedName name="Pay_Num" localSheetId="13">#REF!</definedName>
    <definedName name="Pay_Num" localSheetId="16">#REF!</definedName>
    <definedName name="Pay_Num" localSheetId="17">#REF!</definedName>
    <definedName name="Pay_Num" localSheetId="23">#REF!</definedName>
    <definedName name="Pay_Num" localSheetId="24">#REF!</definedName>
    <definedName name="Pay_Num" localSheetId="21">#REF!</definedName>
    <definedName name="Pay_Num" localSheetId="3">#REF!</definedName>
    <definedName name="Pay_Num" localSheetId="18">#REF!</definedName>
    <definedName name="Pay_Num" localSheetId="22">#REF!</definedName>
    <definedName name="Pay_Num" localSheetId="20">#REF!</definedName>
    <definedName name="Pay_Num" localSheetId="1">#REF!</definedName>
    <definedName name="Pay_Num">#REF!</definedName>
    <definedName name="Payment_Date" localSheetId="2">DATE(YEAR('D.1.1. ASŘ - BOURACÍ PRÁCE'!Loan_Start),MONTH('D.1.1. ASŘ - BOURACÍ PRÁCE'!Loan_Start)+Payment_Number,DAY('D.1.1. ASŘ - BOURACÍ PRÁCE'!Loan_Start))</definedName>
    <definedName name="Payment_Date" localSheetId="4">DATE(YEAR('D.1.1. ASŘ - NOVÝ STAV'!Loan_Start),MONTH('D.1.1. ASŘ - NOVÝ STAV'!Loan_Start)+Payment_Number,DAY('D.1.1. ASŘ - NOVÝ STAV'!Loan_Start))</definedName>
    <definedName name="Payment_Date" localSheetId="5">DATE(YEAR('D.1.1. VÝPIS DVEŘÍ'!Loan_Start),MONTH('D.1.1. VÝPIS DVEŘÍ'!Loan_Start)+Payment_Number,DAY('D.1.1. VÝPIS DVEŘÍ'!Loan_Start))</definedName>
    <definedName name="Payment_Date" localSheetId="6">DATE(YEAR('D.1.1.c.02 - VÝPIS OKEN'!Loan_Start),MONTH('D.1.1.c.02 - VÝPIS OKEN'!Loan_Start)+Payment_Number,DAY('D.1.1.c.02 - VÝPIS OKEN'!Loan_Start))</definedName>
    <definedName name="Payment_Date" localSheetId="7">DATE(YEAR('D.1.1.c.04. VÝPIS TRUHLÁŘ.'!Loan_Start),MONTH('D.1.1.c.04. VÝPIS TRUHLÁŘ.'!Loan_Start)+Payment_Number,DAY('D.1.1.c.04. VÝPIS TRUHLÁŘ.'!Loan_Start))</definedName>
    <definedName name="Payment_Date" localSheetId="8">DATE(YEAR('D.1.1.c.05. VÝPIS ZÁMEČN. VÝR.'!Loan_Start),MONTH('D.1.1.c.05. VÝPIS ZÁMEČN. VÝR.'!Loan_Start)+Payment_Number,DAY('D.1.1.c.05. VÝPIS ZÁMEČN. VÝR.'!Loan_Start))</definedName>
    <definedName name="Payment_Date" localSheetId="9">DATE(YEAR('D.1.1.c.06. VÝPIS KLEMP.'!Loan_Start),MONTH('D.1.1.c.06. VÝPIS KLEMP.'!Loan_Start)+Payment_Number,DAY('D.1.1.c.06. VÝPIS KLEMP.'!Loan_Start))</definedName>
    <definedName name="Payment_Date" localSheetId="10">DATE(YEAR('D.1.1.c.07 VÝPIS OSTAT.'!Loan_Start),MONTH('D.1.1.c.07 VÝPIS OSTAT.'!Loan_Start)+Payment_Number,DAY('D.1.1.c.07 VÝPIS OSTAT.'!Loan_Start))</definedName>
    <definedName name="Payment_Date" localSheetId="11">DATE(YEAR('D.1.4.1. ZTI'!Loan_Start),MONTH('D.1.4.1. ZTI'!Loan_Start)+Payment_Number,DAY('D.1.4.1. ZTI'!Loan_Start))</definedName>
    <definedName name="Payment_Date" localSheetId="19">DATE(YEAR('D.1.4.10.2. POZEMNÍ KOMUNIKACE'!Loan_Start),MONTH('D.1.4.10.2. POZEMNÍ KOMUNIKACE'!Loan_Start)+Payment_Number,DAY('D.1.4.10.2. POZEMNÍ KOMUNIKACE'!Loan_Start))</definedName>
    <definedName name="Payment_Date" localSheetId="14">DATE(YEAR('D.1.4.2. ODBĚR. PLYN. ZAŘÍZ.'!Loan_Start),MONTH('D.1.4.2. ODBĚR. PLYN. ZAŘÍZ.'!Loan_Start)+Payment_Number,DAY('D.1.4.2. ODBĚR. PLYN. ZAŘÍZ.'!Loan_Start))</definedName>
    <definedName name="Payment_Date" localSheetId="12">DATE(YEAR('D.1.4.3. VZDUCHOTECHNIKA'!Loan_Start),MONTH('D.1.4.3. VZDUCHOTECHNIKA'!Loan_Start)+Payment_Number,DAY('D.1.4.3. VZDUCHOTECHNIKA'!Loan_Start))</definedName>
    <definedName name="Payment_Date" localSheetId="13">DATE(YEAR('D.1.4.4. VYTÁPENÍ'!Loan_Start),MONTH('D.1.4.4. VYTÁPENÍ'!Loan_Start)+Payment_Number,DAY('D.1.4.4. VYTÁPENÍ'!Loan_Start))</definedName>
    <definedName name="Payment_Date" localSheetId="16">DATE(YEAR('D.1.4.7. SILNOPROUD'!Loan_Start),MONTH('D.1.4.7. SILNOPROUD'!Loan_Start)+Payment_Number,DAY('D.1.4.7. SILNOPROUD'!Loan_Start))</definedName>
    <definedName name="Payment_Date" localSheetId="17">DATE(YEAR('D.1.4.8. EL. KOMUNIKACE'!Loan_Start),MONTH('D.1.4.8. EL. KOMUNIKACE'!Loan_Start)+Payment_Number,DAY('D.1.4.8. EL. KOMUNIKACE'!Loan_Start))</definedName>
    <definedName name="Payment_Date" localSheetId="23">DATE(YEAR('D.2.2 VENKOVNÍ ROZVOD TEPLA-BP'!Loan_Start),MONTH('D.2.2 VENKOVNÍ ROZVOD TEPLA-BP'!Loan_Start)+Payment_Number,DAY('D.2.2 VENKOVNÍ ROZVOD TEPLA-BP'!Loan_Start))</definedName>
    <definedName name="Payment_Date" localSheetId="24">DATE(YEAR('D.2.2. VENKOVNÍ ROZVOD TEPLA'!Loan_Start),MONTH('D.2.2. VENKOVNÍ ROZVOD TEPLA'!Loan_Start)+Payment_Number,DAY('D.2.2. VENKOVNÍ ROZVOD TEPLA'!Loan_Start))</definedName>
    <definedName name="Payment_Date" localSheetId="0">DATE(YEAR(Loan_Start),MONTH(Loan_Start)+Payment_Number,DAY(Loan_Start))</definedName>
    <definedName name="Payment_Date" localSheetId="21">DATE(YEAR(OPLOCENÍ!Loan_Start),MONTH(OPLOCENÍ!Loan_Start)+Payment_Number,DAY(OPLOCENÍ!Loan_Start))</definedName>
    <definedName name="Payment_Date" localSheetId="3">DATE(YEAR('REKAPITULACE - NS'!Loan_Start),MONTH('REKAPITULACE - NS'!Loan_Start)+Payment_Number,DAY('REKAPITULACE - NS'!Loan_Start))</definedName>
    <definedName name="Payment_Date" localSheetId="18">DATE(YEAR('REKAPITULACE - POZEMN.KOM.+SADO'!Loan_Start),MONTH('REKAPITULACE - POZEMN.KOM.+SADO'!Loan_Start)+Payment_Number,DAY('REKAPITULACE - POZEMN.KOM.+SADO'!Loan_Start))</definedName>
    <definedName name="Payment_Date" localSheetId="22">DATE(YEAR('REKAPITULACE - ROZVOD TEPLA'!Loan_Start),MONTH('REKAPITULACE - ROZVOD TEPLA'!Loan_Start)+Payment_Number,DAY('REKAPITULACE - ROZVOD TEPLA'!Loan_Start))</definedName>
    <definedName name="Payment_Date" localSheetId="20">DATE(YEAR('SADOVÉ ÚPRAVY'!Loan_Start),MONTH('SADOVÉ ÚPRAVY'!Loan_Start)+Payment_Number,DAY('SADOVÉ ÚPRAVY'!Loan_Start))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1">#REF!</definedName>
    <definedName name="PocetMJ" localSheetId="19">#REF!</definedName>
    <definedName name="PocetMJ" localSheetId="14">#REF!</definedName>
    <definedName name="PocetMJ" localSheetId="12">#REF!</definedName>
    <definedName name="PocetMJ" localSheetId="13">#REF!</definedName>
    <definedName name="PocetMJ" localSheetId="16">#REF!</definedName>
    <definedName name="PocetMJ" localSheetId="17">#REF!</definedName>
    <definedName name="PocetMJ" localSheetId="23">#REF!</definedName>
    <definedName name="PocetMJ" localSheetId="24">#REF!</definedName>
    <definedName name="PocetMJ" localSheetId="0">#REF!</definedName>
    <definedName name="PocetMJ" localSheetId="21">#REF!</definedName>
    <definedName name="PocetMJ" localSheetId="3">#REF!</definedName>
    <definedName name="PocetMJ" localSheetId="18">#REF!</definedName>
    <definedName name="PocetMJ" localSheetId="22">#REF!</definedName>
    <definedName name="PocetMJ" localSheetId="20">#REF!</definedName>
    <definedName name="PocetMJ" localSheetId="1">#REF!</definedName>
    <definedName name="PocetMJ">#REF!</definedName>
    <definedName name="pokusAAAA" localSheetId="2">#REF!</definedName>
    <definedName name="pokusAAAA" localSheetId="4">#REF!</definedName>
    <definedName name="pokusAAAA" localSheetId="5">#REF!</definedName>
    <definedName name="pokusAAAA" localSheetId="6">#REF!</definedName>
    <definedName name="pokusAAAA" localSheetId="7">#REF!</definedName>
    <definedName name="pokusAAAA" localSheetId="8">#REF!</definedName>
    <definedName name="pokusAAAA" localSheetId="9">#REF!</definedName>
    <definedName name="pokusAAAA" localSheetId="10">#REF!</definedName>
    <definedName name="pokusAAAA" localSheetId="11">#REF!</definedName>
    <definedName name="pokusAAAA" localSheetId="19">#REF!</definedName>
    <definedName name="pokusAAAA" localSheetId="14">#REF!</definedName>
    <definedName name="pokusAAAA" localSheetId="13">#REF!</definedName>
    <definedName name="pokusAAAA" localSheetId="16">#REF!</definedName>
    <definedName name="pokusAAAA" localSheetId="17">#REF!</definedName>
    <definedName name="pokusAAAA" localSheetId="23">#REF!</definedName>
    <definedName name="pokusAAAA" localSheetId="24">#REF!</definedName>
    <definedName name="pokusAAAA" localSheetId="21">#REF!</definedName>
    <definedName name="pokusAAAA" localSheetId="3">#REF!</definedName>
    <definedName name="pokusAAAA" localSheetId="18">#REF!</definedName>
    <definedName name="pokusAAAA" localSheetId="22">#REF!</definedName>
    <definedName name="pokusAAAA" localSheetId="20">#REF!</definedName>
    <definedName name="pokusAAAA" localSheetId="1">#REF!</definedName>
    <definedName name="pokusAAAA">#REF!</definedName>
    <definedName name="pokusadres" localSheetId="2">#REF!</definedName>
    <definedName name="pokusadres" localSheetId="4">#REF!</definedName>
    <definedName name="pokusadres" localSheetId="5">#REF!</definedName>
    <definedName name="pokusadres" localSheetId="6">#REF!</definedName>
    <definedName name="pokusadres" localSheetId="7">#REF!</definedName>
    <definedName name="pokusadres" localSheetId="8">#REF!</definedName>
    <definedName name="pokusadres" localSheetId="9">#REF!</definedName>
    <definedName name="pokusadres" localSheetId="10">#REF!</definedName>
    <definedName name="pokusadres" localSheetId="11">#REF!</definedName>
    <definedName name="pokusadres" localSheetId="19">#REF!</definedName>
    <definedName name="pokusadres" localSheetId="14">#REF!</definedName>
    <definedName name="pokusadres" localSheetId="13">#REF!</definedName>
    <definedName name="pokusadres" localSheetId="16">#REF!</definedName>
    <definedName name="pokusadres" localSheetId="17">#REF!</definedName>
    <definedName name="pokusadres" localSheetId="23">#REF!</definedName>
    <definedName name="pokusadres" localSheetId="24">#REF!</definedName>
    <definedName name="pokusadres" localSheetId="21">#REF!</definedName>
    <definedName name="pokusadres" localSheetId="3">#REF!</definedName>
    <definedName name="pokusadres" localSheetId="18">#REF!</definedName>
    <definedName name="pokusadres" localSheetId="22">#REF!</definedName>
    <definedName name="pokusadres" localSheetId="20">#REF!</definedName>
    <definedName name="pokusadres" localSheetId="1">#REF!</definedName>
    <definedName name="pokusadres">#REF!</definedName>
    <definedName name="položka_A1" localSheetId="2">#REF!</definedName>
    <definedName name="položka_A1" localSheetId="4">#REF!</definedName>
    <definedName name="položka_A1" localSheetId="5">#REF!</definedName>
    <definedName name="položka_A1" localSheetId="6">#REF!</definedName>
    <definedName name="položka_A1" localSheetId="7">#REF!</definedName>
    <definedName name="položka_A1" localSheetId="8">#REF!</definedName>
    <definedName name="položka_A1" localSheetId="10">#REF!</definedName>
    <definedName name="položka_A1" localSheetId="11">#REF!</definedName>
    <definedName name="položka_A1" localSheetId="19">#REF!</definedName>
    <definedName name="položka_A1" localSheetId="14">#REF!</definedName>
    <definedName name="položka_A1" localSheetId="13">#REF!</definedName>
    <definedName name="položka_A1" localSheetId="23">#REF!</definedName>
    <definedName name="položka_A1" localSheetId="24">#REF!</definedName>
    <definedName name="položka_A1" localSheetId="21">#REF!</definedName>
    <definedName name="položka_A1" localSheetId="3">#REF!</definedName>
    <definedName name="položka_A1" localSheetId="18">#REF!</definedName>
    <definedName name="položka_A1" localSheetId="22">#REF!</definedName>
    <definedName name="položka_A1" localSheetId="20">#REF!</definedName>
    <definedName name="položka_A1" localSheetId="1">#REF!</definedName>
    <definedName name="položka_A1">#REF!</definedName>
    <definedName name="položky" localSheetId="2">#REF!</definedName>
    <definedName name="položky" localSheetId="4">#REF!</definedName>
    <definedName name="položky" localSheetId="5">#REF!</definedName>
    <definedName name="položky" localSheetId="6">#REF!</definedName>
    <definedName name="položky" localSheetId="7">#REF!</definedName>
    <definedName name="položky" localSheetId="8">#REF!</definedName>
    <definedName name="položky" localSheetId="10">#REF!</definedName>
    <definedName name="položky" localSheetId="11">#REF!</definedName>
    <definedName name="položky" localSheetId="19">#REF!</definedName>
    <definedName name="položky" localSheetId="14">#REF!</definedName>
    <definedName name="položky" localSheetId="13">#REF!</definedName>
    <definedName name="položky" localSheetId="23">#REF!</definedName>
    <definedName name="položky" localSheetId="24">#REF!</definedName>
    <definedName name="položky" localSheetId="21">#REF!</definedName>
    <definedName name="položky" localSheetId="3">#REF!</definedName>
    <definedName name="položky" localSheetId="18">#REF!</definedName>
    <definedName name="položky" localSheetId="22">#REF!</definedName>
    <definedName name="položky" localSheetId="20">#REF!</definedName>
    <definedName name="položky" localSheetId="1">#REF!</definedName>
    <definedName name="položky">#REF!</definedName>
    <definedName name="pom_výp_zač" localSheetId="2">#REF!</definedName>
    <definedName name="pom_výp_zač" localSheetId="4">#REF!</definedName>
    <definedName name="pom_výp_zač" localSheetId="5">#REF!</definedName>
    <definedName name="pom_výp_zač" localSheetId="6">#REF!</definedName>
    <definedName name="pom_výp_zač" localSheetId="7">#REF!</definedName>
    <definedName name="pom_výp_zač" localSheetId="8">#REF!</definedName>
    <definedName name="pom_výp_zač" localSheetId="10">#REF!</definedName>
    <definedName name="pom_výp_zač" localSheetId="11">#REF!</definedName>
    <definedName name="pom_výp_zač" localSheetId="19">#REF!</definedName>
    <definedName name="pom_výp_zač" localSheetId="14">#REF!</definedName>
    <definedName name="pom_výp_zač" localSheetId="13">#REF!</definedName>
    <definedName name="pom_výp_zač" localSheetId="23">#REF!</definedName>
    <definedName name="pom_výp_zač" localSheetId="24">#REF!</definedName>
    <definedName name="pom_výp_zač" localSheetId="21">#REF!</definedName>
    <definedName name="pom_výp_zač" localSheetId="3">#REF!</definedName>
    <definedName name="pom_výp_zač" localSheetId="18">#REF!</definedName>
    <definedName name="pom_výp_zač" localSheetId="22">#REF!</definedName>
    <definedName name="pom_výp_zač" localSheetId="20">#REF!</definedName>
    <definedName name="pom_výp_zač" localSheetId="1">#REF!</definedName>
    <definedName name="pom_výp_zač">#REF!</definedName>
    <definedName name="pom_výpočty" localSheetId="2">#REF!</definedName>
    <definedName name="pom_výpočty" localSheetId="4">#REF!</definedName>
    <definedName name="pom_výpočty" localSheetId="5">#REF!</definedName>
    <definedName name="pom_výpočty" localSheetId="6">#REF!</definedName>
    <definedName name="pom_výpočty" localSheetId="7">#REF!</definedName>
    <definedName name="pom_výpočty" localSheetId="8">#REF!</definedName>
    <definedName name="pom_výpočty" localSheetId="10">#REF!</definedName>
    <definedName name="pom_výpočty" localSheetId="11">#REF!</definedName>
    <definedName name="pom_výpočty" localSheetId="19">#REF!</definedName>
    <definedName name="pom_výpočty" localSheetId="14">#REF!</definedName>
    <definedName name="pom_výpočty" localSheetId="13">#REF!</definedName>
    <definedName name="pom_výpočty" localSheetId="23">#REF!</definedName>
    <definedName name="pom_výpočty" localSheetId="24">#REF!</definedName>
    <definedName name="pom_výpočty" localSheetId="21">#REF!</definedName>
    <definedName name="pom_výpočty" localSheetId="3">#REF!</definedName>
    <definedName name="pom_výpočty" localSheetId="18">#REF!</definedName>
    <definedName name="pom_výpočty" localSheetId="22">#REF!</definedName>
    <definedName name="pom_výpočty" localSheetId="20">#REF!</definedName>
    <definedName name="pom_výpočty" localSheetId="1">#REF!</definedName>
    <definedName name="pom_výpočty">#REF!</definedName>
    <definedName name="powersock" localSheetId="2" hidden="1">{#N/A,#N/A,TRUE,"Krycí list"}</definedName>
    <definedName name="powersock" localSheetId="4" hidden="1">{#N/A,#N/A,TRUE,"Krycí list"}</definedName>
    <definedName name="powersock" localSheetId="5" hidden="1">{#N/A,#N/A,TRUE,"Krycí list"}</definedName>
    <definedName name="powersock" localSheetId="6" hidden="1">{#N/A,#N/A,TRUE,"Krycí list"}</definedName>
    <definedName name="powersock" localSheetId="7" hidden="1">{#N/A,#N/A,TRUE,"Krycí list"}</definedName>
    <definedName name="powersock" localSheetId="8" hidden="1">{#N/A,#N/A,TRUE,"Krycí list"}</definedName>
    <definedName name="powersock" localSheetId="9" hidden="1">{#N/A,#N/A,TRUE,"Krycí list"}</definedName>
    <definedName name="powersock" localSheetId="10" hidden="1">{#N/A,#N/A,TRUE,"Krycí list"}</definedName>
    <definedName name="powersock" localSheetId="11" hidden="1">{#N/A,#N/A,TRUE,"Krycí list"}</definedName>
    <definedName name="powersock" localSheetId="19" hidden="1">{#N/A,#N/A,TRUE,"Krycí list"}</definedName>
    <definedName name="powersock" localSheetId="14" hidden="1">{#N/A,#N/A,TRUE,"Krycí list"}</definedName>
    <definedName name="powersock" localSheetId="12" hidden="1">{#N/A,#N/A,TRUE,"Krycí list"}</definedName>
    <definedName name="powersock" localSheetId="13" hidden="1">{#N/A,#N/A,TRUE,"Krycí list"}</definedName>
    <definedName name="powersock" localSheetId="16" hidden="1">{#N/A,#N/A,TRUE,"Krycí list"}</definedName>
    <definedName name="powersock" localSheetId="17" hidden="1">{#N/A,#N/A,TRUE,"Krycí list"}</definedName>
    <definedName name="powersock" localSheetId="23" hidden="1">{#N/A,#N/A,TRUE,"Krycí list"}</definedName>
    <definedName name="powersock" localSheetId="24" hidden="1">{#N/A,#N/A,TRUE,"Krycí list"}</definedName>
    <definedName name="powersock" localSheetId="0" hidden="1">{#N/A,#N/A,TRUE,"Krycí list"}</definedName>
    <definedName name="powersock" localSheetId="21" hidden="1">{#N/A,#N/A,TRUE,"Krycí list"}</definedName>
    <definedName name="powersock" localSheetId="3" hidden="1">{#N/A,#N/A,TRUE,"Krycí list"}</definedName>
    <definedName name="powersock" localSheetId="18" hidden="1">{#N/A,#N/A,TRUE,"Krycí list"}</definedName>
    <definedName name="powersock" localSheetId="22" hidden="1">{#N/A,#N/A,TRUE,"Krycí list"}</definedName>
    <definedName name="powersock" localSheetId="2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4" hidden="1">{#N/A,#N/A,TRUE,"Krycí list"}</definedName>
    <definedName name="PowerSocket" localSheetId="5" hidden="1">{#N/A,#N/A,TRUE,"Krycí list"}</definedName>
    <definedName name="PowerSocket" localSheetId="6" hidden="1">{#N/A,#N/A,TRUE,"Krycí list"}</definedName>
    <definedName name="PowerSocket" localSheetId="7" hidden="1">{#N/A,#N/A,TRUE,"Krycí list"}</definedName>
    <definedName name="PowerSocket" localSheetId="8" hidden="1">{#N/A,#N/A,TRUE,"Krycí list"}</definedName>
    <definedName name="PowerSocket" localSheetId="9" hidden="1">{#N/A,#N/A,TRUE,"Krycí list"}</definedName>
    <definedName name="PowerSocket" localSheetId="10" hidden="1">{#N/A,#N/A,TRUE,"Krycí list"}</definedName>
    <definedName name="PowerSocket" localSheetId="11" hidden="1">{#N/A,#N/A,TRUE,"Krycí list"}</definedName>
    <definedName name="PowerSocket" localSheetId="19" hidden="1">{#N/A,#N/A,TRUE,"Krycí list"}</definedName>
    <definedName name="PowerSocket" localSheetId="14" hidden="1">{#N/A,#N/A,TRUE,"Krycí list"}</definedName>
    <definedName name="PowerSocket" localSheetId="12" hidden="1">{#N/A,#N/A,TRUE,"Krycí list"}</definedName>
    <definedName name="PowerSocket" localSheetId="13" hidden="1">{#N/A,#N/A,TRUE,"Krycí list"}</definedName>
    <definedName name="PowerSocket" localSheetId="16" hidden="1">{#N/A,#N/A,TRUE,"Krycí list"}</definedName>
    <definedName name="PowerSocket" localSheetId="17" hidden="1">{#N/A,#N/A,TRUE,"Krycí list"}</definedName>
    <definedName name="PowerSocket" localSheetId="23" hidden="1">{#N/A,#N/A,TRUE,"Krycí list"}</definedName>
    <definedName name="PowerSocket" localSheetId="24" hidden="1">{#N/A,#N/A,TRUE,"Krycí list"}</definedName>
    <definedName name="PowerSocket" localSheetId="0" hidden="1">{#N/A,#N/A,TRUE,"Krycí list"}</definedName>
    <definedName name="PowerSocket" localSheetId="21" hidden="1">{#N/A,#N/A,TRUE,"Krycí list"}</definedName>
    <definedName name="PowerSocket" localSheetId="3" hidden="1">{#N/A,#N/A,TRUE,"Krycí list"}</definedName>
    <definedName name="PowerSocket" localSheetId="18" hidden="1">{#N/A,#N/A,TRUE,"Krycí list"}</definedName>
    <definedName name="PowerSocket" localSheetId="22" hidden="1">{#N/A,#N/A,TRUE,"Krycí list"}</definedName>
    <definedName name="PowerSocket" localSheetId="2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4">#REF!</definedName>
    <definedName name="Poznamka" localSheetId="5">#REF!</definedName>
    <definedName name="Poznamka" localSheetId="6">#REF!</definedName>
    <definedName name="Poznamka" localSheetId="7">#REF!</definedName>
    <definedName name="Poznamka" localSheetId="8">#REF!</definedName>
    <definedName name="Poznamka" localSheetId="9">#REF!</definedName>
    <definedName name="Poznamka" localSheetId="10">#REF!</definedName>
    <definedName name="Poznamka" localSheetId="11">#REF!</definedName>
    <definedName name="Poznamka" localSheetId="19">#REF!</definedName>
    <definedName name="Poznamka" localSheetId="14">#REF!</definedName>
    <definedName name="Poznamka" localSheetId="12">#REF!</definedName>
    <definedName name="Poznamka" localSheetId="13">#REF!</definedName>
    <definedName name="Poznamka" localSheetId="16">#REF!</definedName>
    <definedName name="Poznamka" localSheetId="17">#REF!</definedName>
    <definedName name="Poznamka" localSheetId="23">#REF!</definedName>
    <definedName name="Poznamka" localSheetId="24">#REF!</definedName>
    <definedName name="Poznamka" localSheetId="0">#REF!</definedName>
    <definedName name="Poznamka" localSheetId="21">#REF!</definedName>
    <definedName name="Poznamka" localSheetId="3">#REF!</definedName>
    <definedName name="Poznamka" localSheetId="18">#REF!</definedName>
    <definedName name="Poznamka" localSheetId="22">#REF!</definedName>
    <definedName name="Poznamka" localSheetId="20">#REF!</definedName>
    <definedName name="Poznamka" localSheetId="1">#REF!</definedName>
    <definedName name="Poznamka">#REF!</definedName>
    <definedName name="poznámka" localSheetId="2">#REF!</definedName>
    <definedName name="poznámka" localSheetId="4">#REF!</definedName>
    <definedName name="poznámka" localSheetId="5">#REF!</definedName>
    <definedName name="poznámka" localSheetId="6">#REF!</definedName>
    <definedName name="poznámka" localSheetId="7">#REF!</definedName>
    <definedName name="poznámka" localSheetId="8">#REF!</definedName>
    <definedName name="poznámka" localSheetId="9">#REF!</definedName>
    <definedName name="poznámka" localSheetId="10">#REF!</definedName>
    <definedName name="poznámka" localSheetId="11">#REF!</definedName>
    <definedName name="poznámka" localSheetId="19">#REF!</definedName>
    <definedName name="poznámka" localSheetId="14">#REF!</definedName>
    <definedName name="poznámka" localSheetId="12">#REF!</definedName>
    <definedName name="poznámka" localSheetId="13">#REF!</definedName>
    <definedName name="poznámka" localSheetId="16">#REF!</definedName>
    <definedName name="poznámka" localSheetId="17">#REF!</definedName>
    <definedName name="poznámka" localSheetId="23">#REF!</definedName>
    <definedName name="poznámka" localSheetId="24">#REF!</definedName>
    <definedName name="poznámka" localSheetId="21">#REF!</definedName>
    <definedName name="poznámka" localSheetId="3">#REF!</definedName>
    <definedName name="poznámka" localSheetId="18">#REF!</definedName>
    <definedName name="poznámka" localSheetId="22">#REF!</definedName>
    <definedName name="poznámka" localSheetId="20">#REF!</definedName>
    <definedName name="poznámka" localSheetId="1">#REF!</definedName>
    <definedName name="poznámka">#REF!</definedName>
    <definedName name="prep_schem" localSheetId="2">#REF!</definedName>
    <definedName name="prep_schem" localSheetId="4">#REF!</definedName>
    <definedName name="prep_schem" localSheetId="5">#REF!</definedName>
    <definedName name="prep_schem" localSheetId="6">#REF!</definedName>
    <definedName name="prep_schem" localSheetId="7">#REF!</definedName>
    <definedName name="prep_schem" localSheetId="8">#REF!</definedName>
    <definedName name="prep_schem" localSheetId="9">#REF!</definedName>
    <definedName name="prep_schem" localSheetId="10">#REF!</definedName>
    <definedName name="prep_schem" localSheetId="11">#REF!</definedName>
    <definedName name="prep_schem" localSheetId="19">#REF!</definedName>
    <definedName name="prep_schem" localSheetId="14">#REF!</definedName>
    <definedName name="prep_schem" localSheetId="12">#REF!</definedName>
    <definedName name="prep_schem" localSheetId="13">#REF!</definedName>
    <definedName name="prep_schem" localSheetId="16">#REF!</definedName>
    <definedName name="prep_schem" localSheetId="17">#REF!</definedName>
    <definedName name="prep_schem" localSheetId="23">#REF!</definedName>
    <definedName name="prep_schem" localSheetId="24">#REF!</definedName>
    <definedName name="prep_schem" localSheetId="21">#REF!</definedName>
    <definedName name="prep_schem" localSheetId="3">#REF!</definedName>
    <definedName name="prep_schem" localSheetId="18">#REF!</definedName>
    <definedName name="prep_schem" localSheetId="22">#REF!</definedName>
    <definedName name="prep_schem" localSheetId="20">#REF!</definedName>
    <definedName name="prep_schem" localSheetId="1">#REF!</definedName>
    <definedName name="prep_schem">#REF!</definedName>
    <definedName name="Princ" localSheetId="2">#REF!</definedName>
    <definedName name="Princ" localSheetId="4">#REF!</definedName>
    <definedName name="Princ" localSheetId="5">#REF!</definedName>
    <definedName name="Princ" localSheetId="6">#REF!</definedName>
    <definedName name="Princ" localSheetId="7">#REF!</definedName>
    <definedName name="Princ" localSheetId="8">#REF!</definedName>
    <definedName name="Princ" localSheetId="10">#REF!</definedName>
    <definedName name="Princ" localSheetId="11">#REF!</definedName>
    <definedName name="Princ" localSheetId="19">#REF!</definedName>
    <definedName name="Princ" localSheetId="14">#REF!</definedName>
    <definedName name="Princ" localSheetId="13">#REF!</definedName>
    <definedName name="Princ" localSheetId="23">#REF!</definedName>
    <definedName name="Princ" localSheetId="24">#REF!</definedName>
    <definedName name="Princ" localSheetId="21">#REF!</definedName>
    <definedName name="Princ" localSheetId="3">#REF!</definedName>
    <definedName name="Princ" localSheetId="18">#REF!</definedName>
    <definedName name="Princ" localSheetId="22">#REF!</definedName>
    <definedName name="Princ" localSheetId="20">#REF!</definedName>
    <definedName name="Princ" localSheetId="1">#REF!</definedName>
    <definedName name="Princ">#REF!</definedName>
    <definedName name="Print_Area" localSheetId="6">'D.1.1.c.02 - VÝPIS OKEN'!$A$1:$I$164</definedName>
    <definedName name="Print_Area" localSheetId="7">'D.1.1.c.04. VÝPIS TRUHLÁŘ.'!$A$1:$I$106</definedName>
    <definedName name="Print_Area" localSheetId="9">'D.1.1.c.06. VÝPIS KLEMP.'!$A$1:$I$84</definedName>
    <definedName name="Print_Area" localSheetId="0">KL!$A$1:$I$73</definedName>
    <definedName name="Print_Area_Reset" localSheetId="2">OFFSET('D.1.1. ASŘ - BOURACÍ PRÁCE'!Full_Print,0,0,'D.1.1. ASŘ - BOURACÍ PRÁCE'!Last_Row)</definedName>
    <definedName name="Print_Area_Reset" localSheetId="4">OFFSET('D.1.1. ASŘ - NOVÝ STAV'!Full_Print,0,0,'D.1.1. ASŘ - NOVÝ STAV'!Last_Row)</definedName>
    <definedName name="Print_Area_Reset" localSheetId="5">OFFSET('D.1.1. VÝPIS DVEŘÍ'!Full_Print,0,0,'D.1.1. VÝPIS DVEŘÍ'!Last_Row)</definedName>
    <definedName name="Print_Area_Reset" localSheetId="6">OFFSET('D.1.1.c.02 - VÝPIS OKEN'!Full_Print,0,0,'D.1.1.c.02 - VÝPIS OKEN'!Last_Row)</definedName>
    <definedName name="Print_Area_Reset" localSheetId="7">OFFSET('D.1.1.c.04. VÝPIS TRUHLÁŘ.'!Full_Print,0,0,'D.1.1.c.04. VÝPIS TRUHLÁŘ.'!Last_Row)</definedName>
    <definedName name="Print_Area_Reset" localSheetId="8">OFFSET('D.1.1.c.05. VÝPIS ZÁMEČN. VÝR.'!Full_Print,0,0,'D.1.1.c.05. VÝPIS ZÁMEČN. VÝR.'!Last_Row)</definedName>
    <definedName name="Print_Area_Reset" localSheetId="9">OFFSET(Full_Print,0,0,'D.1.1.c.06. VÝPIS KLEMP.'!Last_Row)</definedName>
    <definedName name="Print_Area_Reset" localSheetId="10">OFFSET('D.1.1.c.07 VÝPIS OSTAT.'!Full_Print,0,0,'D.1.1.c.07 VÝPIS OSTAT.'!Last_Row)</definedName>
    <definedName name="Print_Area_Reset" localSheetId="11">OFFSET('D.1.4.1. ZTI'!Full_Print,0,0,'D.1.4.1. ZTI'!Last_Row)</definedName>
    <definedName name="Print_Area_Reset" localSheetId="19">OFFSET('D.1.4.10.2. POZEMNÍ KOMUNIKACE'!Full_Print,0,0,'D.1.4.10.2. POZEMNÍ KOMUNIKACE'!Last_Row)</definedName>
    <definedName name="Print_Area_Reset" localSheetId="14">OFFSET('D.1.4.2. ODBĚR. PLYN. ZAŘÍZ.'!Full_Print,0,0,'D.1.4.2. ODBĚR. PLYN. ZAŘÍZ.'!Last_Row)</definedName>
    <definedName name="Print_Area_Reset" localSheetId="12">OFFSET(Full_Print,0,0,'D.1.4.3. VZDUCHOTECHNIKA'!Last_Row)</definedName>
    <definedName name="Print_Area_Reset" localSheetId="13">OFFSET('D.1.4.4. VYTÁPENÍ'!Full_Print,0,0,'D.1.4.4. VYTÁPENÍ'!Last_Row)</definedName>
    <definedName name="Print_Area_Reset" localSheetId="16">OFFSET(Full_Print,0,0,'D.1.4.7. SILNOPROUD'!Last_Row)</definedName>
    <definedName name="Print_Area_Reset" localSheetId="17">OFFSET(Full_Print,0,0,'D.1.4.8. EL. KOMUNIKACE'!Last_Row)</definedName>
    <definedName name="Print_Area_Reset" localSheetId="23">OFFSET('D.2.2 VENKOVNÍ ROZVOD TEPLA-BP'!Full_Print,0,0,'D.2.2 VENKOVNÍ ROZVOD TEPLA-BP'!Last_Row)</definedName>
    <definedName name="Print_Area_Reset" localSheetId="24">OFFSET('D.2.2. VENKOVNÍ ROZVOD TEPLA'!Full_Print,0,0,'D.2.2. VENKOVNÍ ROZVOD TEPLA'!Last_Row)</definedName>
    <definedName name="Print_Area_Reset" localSheetId="0">OFFSET(Full_Print,0,0,KL!Last_Row)</definedName>
    <definedName name="Print_Area_Reset" localSheetId="21">OFFSET(OPLOCENÍ!Full_Print,0,0,OPLOCENÍ!Last_Row)</definedName>
    <definedName name="Print_Area_Reset" localSheetId="3">OFFSET('REKAPITULACE - NS'!Full_Print,0,0,'REKAPITULACE - NS'!Last_Row)</definedName>
    <definedName name="Print_Area_Reset" localSheetId="18">OFFSET('REKAPITULACE - POZEMN.KOM.+SADO'!Full_Print,0,0,'REKAPITULACE - POZEMN.KOM.+SADO'!Last_Row)</definedName>
    <definedName name="Print_Area_Reset" localSheetId="22">OFFSET('REKAPITULACE - ROZVOD TEPLA'!Full_Print,0,0,'REKAPITULACE - ROZVOD TEPLA'!Last_Row)</definedName>
    <definedName name="Print_Area_Reset" localSheetId="20">OFFSET('SADOVÉ ÚPRAVY'!Full_Print,0,0,'SADOVÉ ÚPRAVY'!Last_Row)</definedName>
    <definedName name="Print_Area_Reset" localSheetId="1">OFFSET(VRN!Full_Print,0,0,VRN!Last_Row)</definedName>
    <definedName name="Print_Area_Reset">OFFSET(Full_Print,0,0,Last_Row)</definedName>
    <definedName name="Projektant" localSheetId="2">#REF!</definedName>
    <definedName name="Projektant" localSheetId="4">#REF!</definedName>
    <definedName name="Projektant" localSheetId="5">#REF!</definedName>
    <definedName name="Projektant" localSheetId="6">#REF!</definedName>
    <definedName name="Projektant" localSheetId="7">#REF!</definedName>
    <definedName name="Projektant" localSheetId="8">#REF!</definedName>
    <definedName name="Projektant" localSheetId="9">#REF!</definedName>
    <definedName name="Projektant" localSheetId="10">#REF!</definedName>
    <definedName name="Projektant" localSheetId="11">#REF!</definedName>
    <definedName name="Projektant" localSheetId="19">#REF!</definedName>
    <definedName name="Projektant" localSheetId="14">#REF!</definedName>
    <definedName name="Projektant" localSheetId="12">#REF!</definedName>
    <definedName name="Projektant" localSheetId="13">#REF!</definedName>
    <definedName name="Projektant" localSheetId="16">#REF!</definedName>
    <definedName name="Projektant" localSheetId="17">#REF!</definedName>
    <definedName name="Projektant" localSheetId="23">#REF!</definedName>
    <definedName name="Projektant" localSheetId="24">#REF!</definedName>
    <definedName name="Projektant" localSheetId="0">#REF!</definedName>
    <definedName name="Projektant" localSheetId="21">#REF!</definedName>
    <definedName name="Projektant" localSheetId="3">#REF!</definedName>
    <definedName name="Projektant" localSheetId="18">#REF!</definedName>
    <definedName name="Projektant" localSheetId="22">#REF!</definedName>
    <definedName name="Projektant" localSheetId="20">#REF!</definedName>
    <definedName name="Projektant" localSheetId="1">#REF!</definedName>
    <definedName name="Projektant">#REF!</definedName>
    <definedName name="PSV" localSheetId="2">#REF!</definedName>
    <definedName name="PSV" localSheetId="4">#REF!</definedName>
    <definedName name="PSV" localSheetId="5">#REF!</definedName>
    <definedName name="PSV" localSheetId="6">#REF!</definedName>
    <definedName name="PSV" localSheetId="7">#REF!</definedName>
    <definedName name="PSV" localSheetId="8">#REF!</definedName>
    <definedName name="PSV" localSheetId="9">#REF!</definedName>
    <definedName name="PSV" localSheetId="10">#REF!</definedName>
    <definedName name="PSV" localSheetId="11">#REF!</definedName>
    <definedName name="PSV" localSheetId="19">#REF!</definedName>
    <definedName name="PSV" localSheetId="14">#REF!</definedName>
    <definedName name="PSV" localSheetId="12">#REF!</definedName>
    <definedName name="PSV" localSheetId="13">#REF!</definedName>
    <definedName name="PSV" localSheetId="16">#REF!</definedName>
    <definedName name="PSV" localSheetId="17">#REF!</definedName>
    <definedName name="PSV" localSheetId="23">#REF!</definedName>
    <definedName name="PSV" localSheetId="24">#REF!</definedName>
    <definedName name="PSV" localSheetId="0">#REF!</definedName>
    <definedName name="PSV" localSheetId="21">#REF!</definedName>
    <definedName name="PSV" localSheetId="3">#REF!</definedName>
    <definedName name="PSV" localSheetId="18">#REF!</definedName>
    <definedName name="PSV" localSheetId="22">#REF!</definedName>
    <definedName name="PSV" localSheetId="20">#REF!</definedName>
    <definedName name="PSV" localSheetId="1">#REF!</definedName>
    <definedName name="PSV">#REF!</definedName>
    <definedName name="PSV0" localSheetId="2">#REF!</definedName>
    <definedName name="PSV0" localSheetId="4">#REF!</definedName>
    <definedName name="PSV0" localSheetId="5">#REF!</definedName>
    <definedName name="PSV0" localSheetId="6">#REF!</definedName>
    <definedName name="PSV0" localSheetId="7">#REF!</definedName>
    <definedName name="PSV0" localSheetId="8">#REF!</definedName>
    <definedName name="PSV0" localSheetId="9">#REF!</definedName>
    <definedName name="PSV0" localSheetId="10">#REF!</definedName>
    <definedName name="PSV0" localSheetId="11">#REF!</definedName>
    <definedName name="PSV0" localSheetId="19">#REF!</definedName>
    <definedName name="PSV0" localSheetId="14">#REF!</definedName>
    <definedName name="PSV0" localSheetId="13">#REF!</definedName>
    <definedName name="PSV0" localSheetId="16">#REF!</definedName>
    <definedName name="PSV0" localSheetId="17">#REF!</definedName>
    <definedName name="PSV0" localSheetId="23">#REF!</definedName>
    <definedName name="PSV0" localSheetId="24">#REF!</definedName>
    <definedName name="PSV0" localSheetId="0">'[10]002-A.1. Archstav  reseni'!#REF!</definedName>
    <definedName name="PSV0" localSheetId="21">#REF!</definedName>
    <definedName name="PSV0" localSheetId="3">#REF!</definedName>
    <definedName name="PSV0" localSheetId="18">#REF!</definedName>
    <definedName name="PSV0" localSheetId="22">#REF!</definedName>
    <definedName name="PSV0" localSheetId="20">#REF!</definedName>
    <definedName name="PSV0" localSheetId="1">#REF!</definedName>
    <definedName name="PSV0">#REF!</definedName>
    <definedName name="QQ" localSheetId="2" hidden="1">{#N/A,#N/A,TRUE,"Krycí list"}</definedName>
    <definedName name="QQ" localSheetId="4" hidden="1">{#N/A,#N/A,TRUE,"Krycí list"}</definedName>
    <definedName name="QQ" localSheetId="5" hidden="1">{#N/A,#N/A,TRUE,"Krycí list"}</definedName>
    <definedName name="QQ" localSheetId="6" hidden="1">{#N/A,#N/A,TRUE,"Krycí list"}</definedName>
    <definedName name="QQ" localSheetId="7" hidden="1">{#N/A,#N/A,TRUE,"Krycí list"}</definedName>
    <definedName name="QQ" localSheetId="8" hidden="1">{#N/A,#N/A,TRUE,"Krycí list"}</definedName>
    <definedName name="QQ" localSheetId="9" hidden="1">{#N/A,#N/A,TRUE,"Krycí list"}</definedName>
    <definedName name="QQ" localSheetId="10" hidden="1">{#N/A,#N/A,TRUE,"Krycí list"}</definedName>
    <definedName name="QQ" localSheetId="11" hidden="1">{#N/A,#N/A,TRUE,"Krycí list"}</definedName>
    <definedName name="QQ" localSheetId="19" hidden="1">{#N/A,#N/A,TRUE,"Krycí list"}</definedName>
    <definedName name="QQ" localSheetId="14" hidden="1">{#N/A,#N/A,TRUE,"Krycí list"}</definedName>
    <definedName name="QQ" localSheetId="12" hidden="1">{#N/A,#N/A,TRUE,"Krycí list"}</definedName>
    <definedName name="QQ" localSheetId="13" hidden="1">{#N/A,#N/A,TRUE,"Krycí list"}</definedName>
    <definedName name="QQ" localSheetId="16" hidden="1">{#N/A,#N/A,TRUE,"Krycí list"}</definedName>
    <definedName name="QQ" localSheetId="17" hidden="1">{#N/A,#N/A,TRUE,"Krycí list"}</definedName>
    <definedName name="QQ" localSheetId="23" hidden="1">{#N/A,#N/A,TRUE,"Krycí list"}</definedName>
    <definedName name="QQ" localSheetId="24" hidden="1">{#N/A,#N/A,TRUE,"Krycí list"}</definedName>
    <definedName name="QQ" localSheetId="0" hidden="1">{#N/A,#N/A,TRUE,"Krycí list"}</definedName>
    <definedName name="QQ" localSheetId="21" hidden="1">{#N/A,#N/A,TRUE,"Krycí list"}</definedName>
    <definedName name="QQ" localSheetId="3" hidden="1">{#N/A,#N/A,TRUE,"Krycí list"}</definedName>
    <definedName name="QQ" localSheetId="18" hidden="1">{#N/A,#N/A,TRUE,"Krycí list"}</definedName>
    <definedName name="QQ" localSheetId="22" hidden="1">{#N/A,#N/A,TRUE,"Krycí list"}</definedName>
    <definedName name="QQ" localSheetId="2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4" hidden="1">{#N/A,#N/A,TRUE,"Krycí list"}</definedName>
    <definedName name="QQQ" localSheetId="5" hidden="1">{#N/A,#N/A,TRUE,"Krycí list"}</definedName>
    <definedName name="QQQ" localSheetId="6" hidden="1">{#N/A,#N/A,TRUE,"Krycí list"}</definedName>
    <definedName name="QQQ" localSheetId="7" hidden="1">{#N/A,#N/A,TRUE,"Krycí list"}</definedName>
    <definedName name="QQQ" localSheetId="8" hidden="1">{#N/A,#N/A,TRUE,"Krycí list"}</definedName>
    <definedName name="QQQ" localSheetId="9" hidden="1">{#N/A,#N/A,TRUE,"Krycí list"}</definedName>
    <definedName name="QQQ" localSheetId="10" hidden="1">{#N/A,#N/A,TRUE,"Krycí list"}</definedName>
    <definedName name="QQQ" localSheetId="11" hidden="1">{#N/A,#N/A,TRUE,"Krycí list"}</definedName>
    <definedName name="QQQ" localSheetId="19" hidden="1">{#N/A,#N/A,TRUE,"Krycí list"}</definedName>
    <definedName name="QQQ" localSheetId="14" hidden="1">{#N/A,#N/A,TRUE,"Krycí list"}</definedName>
    <definedName name="QQQ" localSheetId="12" hidden="1">{#N/A,#N/A,TRUE,"Krycí list"}</definedName>
    <definedName name="QQQ" localSheetId="13" hidden="1">{#N/A,#N/A,TRUE,"Krycí list"}</definedName>
    <definedName name="QQQ" localSheetId="16" hidden="1">{#N/A,#N/A,TRUE,"Krycí list"}</definedName>
    <definedName name="QQQ" localSheetId="17" hidden="1">{#N/A,#N/A,TRUE,"Krycí list"}</definedName>
    <definedName name="QQQ" localSheetId="23" hidden="1">{#N/A,#N/A,TRUE,"Krycí list"}</definedName>
    <definedName name="QQQ" localSheetId="24" hidden="1">{#N/A,#N/A,TRUE,"Krycí list"}</definedName>
    <definedName name="QQQ" localSheetId="0" hidden="1">{#N/A,#N/A,TRUE,"Krycí list"}</definedName>
    <definedName name="QQQ" localSheetId="21" hidden="1">{#N/A,#N/A,TRUE,"Krycí list"}</definedName>
    <definedName name="QQQ" localSheetId="3" hidden="1">{#N/A,#N/A,TRUE,"Krycí list"}</definedName>
    <definedName name="QQQ" localSheetId="18" hidden="1">{#N/A,#N/A,TRUE,"Krycí list"}</definedName>
    <definedName name="QQQ" localSheetId="22" hidden="1">{#N/A,#N/A,TRUE,"Krycí list"}</definedName>
    <definedName name="QQQ" localSheetId="2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4">#REF!</definedName>
    <definedName name="rekapitulace" localSheetId="5">#REF!</definedName>
    <definedName name="rekapitulace" localSheetId="6">#REF!</definedName>
    <definedName name="rekapitulace" localSheetId="7">#REF!</definedName>
    <definedName name="rekapitulace" localSheetId="8">#REF!</definedName>
    <definedName name="rekapitulace" localSheetId="9">#REF!</definedName>
    <definedName name="rekapitulace" localSheetId="10">#REF!</definedName>
    <definedName name="rekapitulace" localSheetId="11">#REF!</definedName>
    <definedName name="rekapitulace" localSheetId="19">#REF!</definedName>
    <definedName name="rekapitulace" localSheetId="14">#REF!</definedName>
    <definedName name="rekapitulace" localSheetId="12">#REF!</definedName>
    <definedName name="rekapitulace" localSheetId="13">#REF!</definedName>
    <definedName name="rekapitulace" localSheetId="16">#REF!</definedName>
    <definedName name="rekapitulace" localSheetId="17">#REF!</definedName>
    <definedName name="rekapitulace" localSheetId="23">#REF!</definedName>
    <definedName name="rekapitulace" localSheetId="24">#REF!</definedName>
    <definedName name="rekapitulace" localSheetId="21">#REF!</definedName>
    <definedName name="rekapitulace" localSheetId="3">#REF!</definedName>
    <definedName name="rekapitulace" localSheetId="18">#REF!</definedName>
    <definedName name="rekapitulace" localSheetId="22">#REF!</definedName>
    <definedName name="rekapitulace" localSheetId="2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4" hidden="1">{#N/A,#N/A,TRUE,"Krycí list"}</definedName>
    <definedName name="rozp" localSheetId="5" hidden="1">{#N/A,#N/A,TRUE,"Krycí list"}</definedName>
    <definedName name="rozp" localSheetId="6" hidden="1">{#N/A,#N/A,TRUE,"Krycí list"}</definedName>
    <definedName name="rozp" localSheetId="7" hidden="1">{#N/A,#N/A,TRUE,"Krycí list"}</definedName>
    <definedName name="rozp" localSheetId="8" hidden="1">{#N/A,#N/A,TRUE,"Krycí list"}</definedName>
    <definedName name="rozp" localSheetId="9" hidden="1">{#N/A,#N/A,TRUE,"Krycí list"}</definedName>
    <definedName name="rozp" localSheetId="10" hidden="1">{#N/A,#N/A,TRUE,"Krycí list"}</definedName>
    <definedName name="rozp" localSheetId="11" hidden="1">{#N/A,#N/A,TRUE,"Krycí list"}</definedName>
    <definedName name="rozp" localSheetId="19" hidden="1">{#N/A,#N/A,TRUE,"Krycí list"}</definedName>
    <definedName name="rozp" localSheetId="14" hidden="1">{#N/A,#N/A,TRUE,"Krycí list"}</definedName>
    <definedName name="rozp" localSheetId="12" hidden="1">{#N/A,#N/A,TRUE,"Krycí list"}</definedName>
    <definedName name="rozp" localSheetId="13" hidden="1">{#N/A,#N/A,TRUE,"Krycí list"}</definedName>
    <definedName name="rozp" localSheetId="16" hidden="1">{#N/A,#N/A,TRUE,"Krycí list"}</definedName>
    <definedName name="rozp" localSheetId="17" hidden="1">{#N/A,#N/A,TRUE,"Krycí list"}</definedName>
    <definedName name="rozp" localSheetId="23" hidden="1">{#N/A,#N/A,TRUE,"Krycí list"}</definedName>
    <definedName name="rozp" localSheetId="24" hidden="1">{#N/A,#N/A,TRUE,"Krycí list"}</definedName>
    <definedName name="rozp" localSheetId="0" hidden="1">{#N/A,#N/A,TRUE,"Krycí list"}</definedName>
    <definedName name="rozp" localSheetId="21" hidden="1">{#N/A,#N/A,TRUE,"Krycí list"}</definedName>
    <definedName name="rozp" localSheetId="3" hidden="1">{#N/A,#N/A,TRUE,"Krycí list"}</definedName>
    <definedName name="rozp" localSheetId="18" hidden="1">{#N/A,#N/A,TRUE,"Krycí list"}</definedName>
    <definedName name="rozp" localSheetId="22" hidden="1">{#N/A,#N/A,TRUE,"Krycí list"}</definedName>
    <definedName name="rozp" localSheetId="2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4">#REF!</definedName>
    <definedName name="rozvržení_rozp" localSheetId="5">#REF!</definedName>
    <definedName name="rozvržení_rozp" localSheetId="6">#REF!</definedName>
    <definedName name="rozvržení_rozp" localSheetId="7">#REF!</definedName>
    <definedName name="rozvržení_rozp" localSheetId="8">#REF!</definedName>
    <definedName name="rozvržení_rozp" localSheetId="9">#REF!</definedName>
    <definedName name="rozvržení_rozp" localSheetId="10">#REF!</definedName>
    <definedName name="rozvržení_rozp" localSheetId="11">#REF!</definedName>
    <definedName name="rozvržení_rozp" localSheetId="19">#REF!</definedName>
    <definedName name="rozvržení_rozp" localSheetId="14">#REF!</definedName>
    <definedName name="rozvržení_rozp" localSheetId="12">#REF!</definedName>
    <definedName name="rozvržení_rozp" localSheetId="13">#REF!</definedName>
    <definedName name="rozvržení_rozp" localSheetId="16">#REF!</definedName>
    <definedName name="rozvržení_rozp" localSheetId="17">#REF!</definedName>
    <definedName name="rozvržení_rozp" localSheetId="23">#REF!</definedName>
    <definedName name="rozvržení_rozp" localSheetId="24">#REF!</definedName>
    <definedName name="rozvržení_rozp" localSheetId="21">#REF!</definedName>
    <definedName name="rozvržení_rozp" localSheetId="3">#REF!</definedName>
    <definedName name="rozvržení_rozp" localSheetId="18">#REF!</definedName>
    <definedName name="rozvržení_rozp" localSheetId="22">#REF!</definedName>
    <definedName name="rozvržení_rozp" localSheetId="2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4" hidden="1">{#N/A,#N/A,TRUE,"Krycí list"}</definedName>
    <definedName name="saboproud" localSheetId="5" hidden="1">{#N/A,#N/A,TRUE,"Krycí list"}</definedName>
    <definedName name="saboproud" localSheetId="6" hidden="1">{#N/A,#N/A,TRUE,"Krycí list"}</definedName>
    <definedName name="saboproud" localSheetId="7" hidden="1">{#N/A,#N/A,TRUE,"Krycí list"}</definedName>
    <definedName name="saboproud" localSheetId="8" hidden="1">{#N/A,#N/A,TRUE,"Krycí list"}</definedName>
    <definedName name="saboproud" localSheetId="9" hidden="1">{#N/A,#N/A,TRUE,"Krycí list"}</definedName>
    <definedName name="saboproud" localSheetId="10" hidden="1">{#N/A,#N/A,TRUE,"Krycí list"}</definedName>
    <definedName name="saboproud" localSheetId="11" hidden="1">{#N/A,#N/A,TRUE,"Krycí list"}</definedName>
    <definedName name="saboproud" localSheetId="19" hidden="1">{#N/A,#N/A,TRUE,"Krycí list"}</definedName>
    <definedName name="saboproud" localSheetId="14" hidden="1">{#N/A,#N/A,TRUE,"Krycí list"}</definedName>
    <definedName name="saboproud" localSheetId="12" hidden="1">{#N/A,#N/A,TRUE,"Krycí list"}</definedName>
    <definedName name="saboproud" localSheetId="13" hidden="1">{#N/A,#N/A,TRUE,"Krycí list"}</definedName>
    <definedName name="saboproud" localSheetId="16" hidden="1">{#N/A,#N/A,TRUE,"Krycí list"}</definedName>
    <definedName name="saboproud" localSheetId="17" hidden="1">{#N/A,#N/A,TRUE,"Krycí list"}</definedName>
    <definedName name="saboproud" localSheetId="23" hidden="1">{#N/A,#N/A,TRUE,"Krycí list"}</definedName>
    <definedName name="saboproud" localSheetId="24" hidden="1">{#N/A,#N/A,TRUE,"Krycí list"}</definedName>
    <definedName name="saboproud" localSheetId="0" hidden="1">{#N/A,#N/A,TRUE,"Krycí list"}</definedName>
    <definedName name="saboproud" localSheetId="21" hidden="1">{#N/A,#N/A,TRUE,"Krycí list"}</definedName>
    <definedName name="saboproud" localSheetId="3" hidden="1">{#N/A,#N/A,TRUE,"Krycí list"}</definedName>
    <definedName name="saboproud" localSheetId="18" hidden="1">{#N/A,#N/A,TRUE,"Krycí list"}</definedName>
    <definedName name="saboproud" localSheetId="22" hidden="1">{#N/A,#N/A,TRUE,"Krycí list"}</definedName>
    <definedName name="saboproud" localSheetId="2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4">#REF!</definedName>
    <definedName name="SazbaDPH1" localSheetId="5">#REF!</definedName>
    <definedName name="SazbaDPH1" localSheetId="6">#REF!</definedName>
    <definedName name="SazbaDPH1" localSheetId="7">#REF!</definedName>
    <definedName name="SazbaDPH1" localSheetId="8">#REF!</definedName>
    <definedName name="SazbaDPH1" localSheetId="9">#REF!</definedName>
    <definedName name="SazbaDPH1" localSheetId="10">#REF!</definedName>
    <definedName name="SazbaDPH1" localSheetId="11">#REF!</definedName>
    <definedName name="SazbaDPH1" localSheetId="19">#REF!</definedName>
    <definedName name="SazbaDPH1" localSheetId="14">#REF!</definedName>
    <definedName name="SazbaDPH1" localSheetId="12">#REF!</definedName>
    <definedName name="SazbaDPH1" localSheetId="13">#REF!</definedName>
    <definedName name="SazbaDPH1" localSheetId="16">#REF!</definedName>
    <definedName name="SazbaDPH1" localSheetId="17">#REF!</definedName>
    <definedName name="SazbaDPH1" localSheetId="23">#REF!</definedName>
    <definedName name="SazbaDPH1" localSheetId="24">#REF!</definedName>
    <definedName name="SazbaDPH1" localSheetId="0">KL!$D$25</definedName>
    <definedName name="SazbaDPH1" localSheetId="21">#REF!</definedName>
    <definedName name="SazbaDPH1" localSheetId="3">#REF!</definedName>
    <definedName name="SazbaDPH1" localSheetId="18">#REF!</definedName>
    <definedName name="SazbaDPH1" localSheetId="22">#REF!</definedName>
    <definedName name="SazbaDPH1" localSheetId="20">#REF!</definedName>
    <definedName name="SazbaDPH1" localSheetId="1">#REF!</definedName>
    <definedName name="SazbaDPH1">#REF!</definedName>
    <definedName name="SazbaDPH2" localSheetId="2">#REF!</definedName>
    <definedName name="SazbaDPH2" localSheetId="4">#REF!</definedName>
    <definedName name="SazbaDPH2" localSheetId="5">#REF!</definedName>
    <definedName name="SazbaDPH2" localSheetId="6">#REF!</definedName>
    <definedName name="SazbaDPH2" localSheetId="7">#REF!</definedName>
    <definedName name="SazbaDPH2" localSheetId="8">#REF!</definedName>
    <definedName name="SazbaDPH2" localSheetId="9">#REF!</definedName>
    <definedName name="SazbaDPH2" localSheetId="10">#REF!</definedName>
    <definedName name="SazbaDPH2" localSheetId="11">#REF!</definedName>
    <definedName name="SazbaDPH2" localSheetId="19">#REF!</definedName>
    <definedName name="SazbaDPH2" localSheetId="14">#REF!</definedName>
    <definedName name="SazbaDPH2" localSheetId="12">#REF!</definedName>
    <definedName name="SazbaDPH2" localSheetId="13">#REF!</definedName>
    <definedName name="SazbaDPH2" localSheetId="16">#REF!</definedName>
    <definedName name="SazbaDPH2" localSheetId="17">#REF!</definedName>
    <definedName name="SazbaDPH2" localSheetId="23">#REF!</definedName>
    <definedName name="SazbaDPH2" localSheetId="24">#REF!</definedName>
    <definedName name="SazbaDPH2" localSheetId="0">KL!$D$27</definedName>
    <definedName name="SazbaDPH2" localSheetId="21">#REF!</definedName>
    <definedName name="SazbaDPH2" localSheetId="3">#REF!</definedName>
    <definedName name="SazbaDPH2" localSheetId="18">#REF!</definedName>
    <definedName name="SazbaDPH2" localSheetId="22">#REF!</definedName>
    <definedName name="SazbaDPH2" localSheetId="20">#REF!</definedName>
    <definedName name="SazbaDPH2" localSheetId="1">#REF!</definedName>
    <definedName name="SazbaDPH2">#REF!</definedName>
    <definedName name="Sched_Pay" localSheetId="2">#REF!</definedName>
    <definedName name="Sched_Pay" localSheetId="4">#REF!</definedName>
    <definedName name="Sched_Pay" localSheetId="5">#REF!</definedName>
    <definedName name="Sched_Pay" localSheetId="6">#REF!</definedName>
    <definedName name="Sched_Pay" localSheetId="7">#REF!</definedName>
    <definedName name="Sched_Pay" localSheetId="8">#REF!</definedName>
    <definedName name="Sched_Pay" localSheetId="9">#REF!</definedName>
    <definedName name="Sched_Pay" localSheetId="10">#REF!</definedName>
    <definedName name="Sched_Pay" localSheetId="11">#REF!</definedName>
    <definedName name="Sched_Pay" localSheetId="19">#REF!</definedName>
    <definedName name="Sched_Pay" localSheetId="14">#REF!</definedName>
    <definedName name="Sched_Pay" localSheetId="12">#REF!</definedName>
    <definedName name="Sched_Pay" localSheetId="13">#REF!</definedName>
    <definedName name="Sched_Pay" localSheetId="16">#REF!</definedName>
    <definedName name="Sched_Pay" localSheetId="17">#REF!</definedName>
    <definedName name="Sched_Pay" localSheetId="23">#REF!</definedName>
    <definedName name="Sched_Pay" localSheetId="24">#REF!</definedName>
    <definedName name="Sched_Pay" localSheetId="21">#REF!</definedName>
    <definedName name="Sched_Pay" localSheetId="3">#REF!</definedName>
    <definedName name="Sched_Pay" localSheetId="18">#REF!</definedName>
    <definedName name="Sched_Pay" localSheetId="22">#REF!</definedName>
    <definedName name="Sched_Pay" localSheetId="2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4">#REF!</definedName>
    <definedName name="Scheduled_Extra_Payments" localSheetId="5">#REF!</definedName>
    <definedName name="Scheduled_Extra_Payments" localSheetId="6">#REF!</definedName>
    <definedName name="Scheduled_Extra_Payments" localSheetId="7">#REF!</definedName>
    <definedName name="Scheduled_Extra_Payments" localSheetId="8">#REF!</definedName>
    <definedName name="Scheduled_Extra_Payments" localSheetId="10">#REF!</definedName>
    <definedName name="Scheduled_Extra_Payments" localSheetId="11">#REF!</definedName>
    <definedName name="Scheduled_Extra_Payments" localSheetId="19">#REF!</definedName>
    <definedName name="Scheduled_Extra_Payments" localSheetId="14">#REF!</definedName>
    <definedName name="Scheduled_Extra_Payments" localSheetId="13">#REF!</definedName>
    <definedName name="Scheduled_Extra_Payments" localSheetId="23">#REF!</definedName>
    <definedName name="Scheduled_Extra_Payments" localSheetId="24">#REF!</definedName>
    <definedName name="Scheduled_Extra_Payments" localSheetId="21">#REF!</definedName>
    <definedName name="Scheduled_Extra_Payments" localSheetId="3">#REF!</definedName>
    <definedName name="Scheduled_Extra_Payments" localSheetId="18">#REF!</definedName>
    <definedName name="Scheduled_Extra_Payments" localSheetId="22">#REF!</definedName>
    <definedName name="Scheduled_Extra_Payments" localSheetId="2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4">#REF!</definedName>
    <definedName name="Scheduled_Interest_Rate" localSheetId="5">#REF!</definedName>
    <definedName name="Scheduled_Interest_Rate" localSheetId="6">#REF!</definedName>
    <definedName name="Scheduled_Interest_Rate" localSheetId="7">#REF!</definedName>
    <definedName name="Scheduled_Interest_Rate" localSheetId="8">#REF!</definedName>
    <definedName name="Scheduled_Interest_Rate" localSheetId="10">#REF!</definedName>
    <definedName name="Scheduled_Interest_Rate" localSheetId="11">#REF!</definedName>
    <definedName name="Scheduled_Interest_Rate" localSheetId="19">#REF!</definedName>
    <definedName name="Scheduled_Interest_Rate" localSheetId="14">#REF!</definedName>
    <definedName name="Scheduled_Interest_Rate" localSheetId="13">#REF!</definedName>
    <definedName name="Scheduled_Interest_Rate" localSheetId="23">#REF!</definedName>
    <definedName name="Scheduled_Interest_Rate" localSheetId="24">#REF!</definedName>
    <definedName name="Scheduled_Interest_Rate" localSheetId="21">#REF!</definedName>
    <definedName name="Scheduled_Interest_Rate" localSheetId="3">#REF!</definedName>
    <definedName name="Scheduled_Interest_Rate" localSheetId="18">#REF!</definedName>
    <definedName name="Scheduled_Interest_Rate" localSheetId="22">#REF!</definedName>
    <definedName name="Scheduled_Interest_Rate" localSheetId="20">#REF!</definedName>
    <definedName name="Scheduled_Interest_Rate" localSheetId="1">#REF!</definedName>
    <definedName name="Scheduled_Interest_Rate">#REF!</definedName>
    <definedName name="Scheduled_Monthly_Payment" localSheetId="2">#REF!</definedName>
    <definedName name="Scheduled_Monthly_Payment" localSheetId="4">#REF!</definedName>
    <definedName name="Scheduled_Monthly_Payment" localSheetId="5">#REF!</definedName>
    <definedName name="Scheduled_Monthly_Payment" localSheetId="6">#REF!</definedName>
    <definedName name="Scheduled_Monthly_Payment" localSheetId="7">#REF!</definedName>
    <definedName name="Scheduled_Monthly_Payment" localSheetId="8">#REF!</definedName>
    <definedName name="Scheduled_Monthly_Payment" localSheetId="10">#REF!</definedName>
    <definedName name="Scheduled_Monthly_Payment" localSheetId="11">#REF!</definedName>
    <definedName name="Scheduled_Monthly_Payment" localSheetId="19">#REF!</definedName>
    <definedName name="Scheduled_Monthly_Payment" localSheetId="14">#REF!</definedName>
    <definedName name="Scheduled_Monthly_Payment" localSheetId="13">#REF!</definedName>
    <definedName name="Scheduled_Monthly_Payment" localSheetId="23">#REF!</definedName>
    <definedName name="Scheduled_Monthly_Payment" localSheetId="24">#REF!</definedName>
    <definedName name="Scheduled_Monthly_Payment" localSheetId="21">#REF!</definedName>
    <definedName name="Scheduled_Monthly_Payment" localSheetId="3">#REF!</definedName>
    <definedName name="Scheduled_Monthly_Payment" localSheetId="18">#REF!</definedName>
    <definedName name="Scheduled_Monthly_Payment" localSheetId="22">#REF!</definedName>
    <definedName name="Scheduled_Monthly_Payment" localSheetId="20">#REF!</definedName>
    <definedName name="Scheduled_Monthly_Payment" localSheetId="1">#REF!</definedName>
    <definedName name="Scheduled_Monthly_Payment">#REF!</definedName>
    <definedName name="SloupecCC" localSheetId="2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10">#REF!</definedName>
    <definedName name="SloupecCC" localSheetId="11">#REF!</definedName>
    <definedName name="SloupecCC" localSheetId="19">#REF!</definedName>
    <definedName name="SloupecCC" localSheetId="14">#REF!</definedName>
    <definedName name="SloupecCC" localSheetId="13">#REF!</definedName>
    <definedName name="SloupecCC" localSheetId="23">#REF!</definedName>
    <definedName name="SloupecCC" localSheetId="24">#REF!</definedName>
    <definedName name="SloupecCC" localSheetId="0">#REF!</definedName>
    <definedName name="SloupecCC" localSheetId="21">#REF!</definedName>
    <definedName name="SloupecCC" localSheetId="3">#REF!</definedName>
    <definedName name="SloupecCC" localSheetId="18">#REF!</definedName>
    <definedName name="SloupecCC" localSheetId="22">#REF!</definedName>
    <definedName name="SloupecCC" localSheetId="20">#REF!</definedName>
    <definedName name="SloupecCC" localSheetId="1">#REF!</definedName>
    <definedName name="SloupecCC">#REF!</definedName>
    <definedName name="SloupecCisloPol" localSheetId="2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10">#REF!</definedName>
    <definedName name="SloupecCisloPol" localSheetId="11">#REF!</definedName>
    <definedName name="SloupecCisloPol" localSheetId="19">#REF!</definedName>
    <definedName name="SloupecCisloPol" localSheetId="14">#REF!</definedName>
    <definedName name="SloupecCisloPol" localSheetId="13">#REF!</definedName>
    <definedName name="SloupecCisloPol" localSheetId="23">#REF!</definedName>
    <definedName name="SloupecCisloPol" localSheetId="24">#REF!</definedName>
    <definedName name="SloupecCisloPol" localSheetId="0">#REF!</definedName>
    <definedName name="SloupecCisloPol" localSheetId="21">#REF!</definedName>
    <definedName name="SloupecCisloPol" localSheetId="3">#REF!</definedName>
    <definedName name="SloupecCisloPol" localSheetId="18">#REF!</definedName>
    <definedName name="SloupecCisloPol" localSheetId="22">#REF!</definedName>
    <definedName name="SloupecCisloPol" localSheetId="20">#REF!</definedName>
    <definedName name="SloupecCisloPol" localSheetId="1">#REF!</definedName>
    <definedName name="SloupecCisloPol">#REF!</definedName>
    <definedName name="SloupecJC" localSheetId="2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10">#REF!</definedName>
    <definedName name="SloupecJC" localSheetId="11">#REF!</definedName>
    <definedName name="SloupecJC" localSheetId="19">#REF!</definedName>
    <definedName name="SloupecJC" localSheetId="14">#REF!</definedName>
    <definedName name="SloupecJC" localSheetId="13">#REF!</definedName>
    <definedName name="SloupecJC" localSheetId="23">#REF!</definedName>
    <definedName name="SloupecJC" localSheetId="24">#REF!</definedName>
    <definedName name="SloupecJC" localSheetId="0">#REF!</definedName>
    <definedName name="SloupecJC" localSheetId="21">#REF!</definedName>
    <definedName name="SloupecJC" localSheetId="3">#REF!</definedName>
    <definedName name="SloupecJC" localSheetId="18">#REF!</definedName>
    <definedName name="SloupecJC" localSheetId="22">#REF!</definedName>
    <definedName name="SloupecJC" localSheetId="20">#REF!</definedName>
    <definedName name="SloupecJC" localSheetId="1">#REF!</definedName>
    <definedName name="SloupecJC">#REF!</definedName>
    <definedName name="SloupecMJ" localSheetId="2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10">#REF!</definedName>
    <definedName name="SloupecMJ" localSheetId="11">#REF!</definedName>
    <definedName name="SloupecMJ" localSheetId="19">#REF!</definedName>
    <definedName name="SloupecMJ" localSheetId="14">#REF!</definedName>
    <definedName name="SloupecMJ" localSheetId="13">#REF!</definedName>
    <definedName name="SloupecMJ" localSheetId="23">#REF!</definedName>
    <definedName name="SloupecMJ" localSheetId="24">#REF!</definedName>
    <definedName name="SloupecMJ" localSheetId="0">#REF!</definedName>
    <definedName name="SloupecMJ" localSheetId="21">#REF!</definedName>
    <definedName name="SloupecMJ" localSheetId="3">#REF!</definedName>
    <definedName name="SloupecMJ" localSheetId="18">#REF!</definedName>
    <definedName name="SloupecMJ" localSheetId="22">#REF!</definedName>
    <definedName name="SloupecMJ" localSheetId="20">#REF!</definedName>
    <definedName name="SloupecMJ" localSheetId="1">#REF!</definedName>
    <definedName name="SloupecMJ">#REF!</definedName>
    <definedName name="SloupecMnozstvi" localSheetId="2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10">#REF!</definedName>
    <definedName name="SloupecMnozstvi" localSheetId="11">#REF!</definedName>
    <definedName name="SloupecMnozstvi" localSheetId="19">#REF!</definedName>
    <definedName name="SloupecMnozstvi" localSheetId="14">#REF!</definedName>
    <definedName name="SloupecMnozstvi" localSheetId="13">#REF!</definedName>
    <definedName name="SloupecMnozstvi" localSheetId="23">#REF!</definedName>
    <definedName name="SloupecMnozstvi" localSheetId="24">#REF!</definedName>
    <definedName name="SloupecMnozstvi" localSheetId="0">#REF!</definedName>
    <definedName name="SloupecMnozstvi" localSheetId="21">#REF!</definedName>
    <definedName name="SloupecMnozstvi" localSheetId="3">#REF!</definedName>
    <definedName name="SloupecMnozstvi" localSheetId="18">#REF!</definedName>
    <definedName name="SloupecMnozstvi" localSheetId="22">#REF!</definedName>
    <definedName name="SloupecMnozstvi" localSheetId="20">#REF!</definedName>
    <definedName name="SloupecMnozstvi" localSheetId="1">#REF!</definedName>
    <definedName name="SloupecMnozstvi">#REF!</definedName>
    <definedName name="SloupecNazPol" localSheetId="2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10">#REF!</definedName>
    <definedName name="SloupecNazPol" localSheetId="11">#REF!</definedName>
    <definedName name="SloupecNazPol" localSheetId="19">#REF!</definedName>
    <definedName name="SloupecNazPol" localSheetId="14">#REF!</definedName>
    <definedName name="SloupecNazPol" localSheetId="13">#REF!</definedName>
    <definedName name="SloupecNazPol" localSheetId="23">#REF!</definedName>
    <definedName name="SloupecNazPol" localSheetId="24">#REF!</definedName>
    <definedName name="SloupecNazPol" localSheetId="0">#REF!</definedName>
    <definedName name="SloupecNazPol" localSheetId="21">#REF!</definedName>
    <definedName name="SloupecNazPol" localSheetId="3">#REF!</definedName>
    <definedName name="SloupecNazPol" localSheetId="18">#REF!</definedName>
    <definedName name="SloupecNazPol" localSheetId="22">#REF!</definedName>
    <definedName name="SloupecNazPol" localSheetId="20">#REF!</definedName>
    <definedName name="SloupecNazPol" localSheetId="1">#REF!</definedName>
    <definedName name="SloupecNazPol">#REF!</definedName>
    <definedName name="SloupecPC" localSheetId="2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10">#REF!</definedName>
    <definedName name="SloupecPC" localSheetId="11">#REF!</definedName>
    <definedName name="SloupecPC" localSheetId="19">#REF!</definedName>
    <definedName name="SloupecPC" localSheetId="14">#REF!</definedName>
    <definedName name="SloupecPC" localSheetId="13">#REF!</definedName>
    <definedName name="SloupecPC" localSheetId="23">#REF!</definedName>
    <definedName name="SloupecPC" localSheetId="24">#REF!</definedName>
    <definedName name="SloupecPC" localSheetId="0">#REF!</definedName>
    <definedName name="SloupecPC" localSheetId="21">#REF!</definedName>
    <definedName name="SloupecPC" localSheetId="3">#REF!</definedName>
    <definedName name="SloupecPC" localSheetId="18">#REF!</definedName>
    <definedName name="SloupecPC" localSheetId="22">#REF!</definedName>
    <definedName name="SloupecPC" localSheetId="20">#REF!</definedName>
    <definedName name="SloupecPC" localSheetId="1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4" hidden="1">{#N/A,#N/A,TRUE,"Krycí list"}</definedName>
    <definedName name="soupis" localSheetId="5" hidden="1">{#N/A,#N/A,TRUE,"Krycí list"}</definedName>
    <definedName name="soupis" localSheetId="6" hidden="1">{#N/A,#N/A,TRUE,"Krycí list"}</definedName>
    <definedName name="soupis" localSheetId="7" hidden="1">{#N/A,#N/A,TRUE,"Krycí list"}</definedName>
    <definedName name="soupis" localSheetId="8" hidden="1">{#N/A,#N/A,TRUE,"Krycí list"}</definedName>
    <definedName name="soupis" localSheetId="9" hidden="1">{#N/A,#N/A,TRUE,"Krycí list"}</definedName>
    <definedName name="soupis" localSheetId="10" hidden="1">{#N/A,#N/A,TRUE,"Krycí list"}</definedName>
    <definedName name="soupis" localSheetId="11" hidden="1">{#N/A,#N/A,TRUE,"Krycí list"}</definedName>
    <definedName name="soupis" localSheetId="19" hidden="1">{#N/A,#N/A,TRUE,"Krycí list"}</definedName>
    <definedName name="soupis" localSheetId="14" hidden="1">{#N/A,#N/A,TRUE,"Krycí list"}</definedName>
    <definedName name="soupis" localSheetId="12" hidden="1">{#N/A,#N/A,TRUE,"Krycí list"}</definedName>
    <definedName name="soupis" localSheetId="13" hidden="1">{#N/A,#N/A,TRUE,"Krycí list"}</definedName>
    <definedName name="soupis" localSheetId="16" hidden="1">{#N/A,#N/A,TRUE,"Krycí list"}</definedName>
    <definedName name="soupis" localSheetId="17" hidden="1">{#N/A,#N/A,TRUE,"Krycí list"}</definedName>
    <definedName name="soupis" localSheetId="23" hidden="1">{#N/A,#N/A,TRUE,"Krycí list"}</definedName>
    <definedName name="soupis" localSheetId="24" hidden="1">{#N/A,#N/A,TRUE,"Krycí list"}</definedName>
    <definedName name="soupis" localSheetId="0" hidden="1">{#N/A,#N/A,TRUE,"Krycí list"}</definedName>
    <definedName name="soupis" localSheetId="21" hidden="1">{#N/A,#N/A,TRUE,"Krycí list"}</definedName>
    <definedName name="soupis" localSheetId="3" hidden="1">{#N/A,#N/A,TRUE,"Krycí list"}</definedName>
    <definedName name="soupis" localSheetId="18" hidden="1">{#N/A,#N/A,TRUE,"Krycí list"}</definedName>
    <definedName name="soupis" localSheetId="22" hidden="1">{#N/A,#N/A,TRUE,"Krycí list"}</definedName>
    <definedName name="soupis" localSheetId="2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 localSheetId="9">#REF!</definedName>
    <definedName name="ssss" localSheetId="10">#REF!</definedName>
    <definedName name="ssss" localSheetId="11">#REF!</definedName>
    <definedName name="ssss" localSheetId="19">#REF!</definedName>
    <definedName name="ssss" localSheetId="14">#REF!</definedName>
    <definedName name="ssss" localSheetId="12">#REF!</definedName>
    <definedName name="ssss" localSheetId="13">#REF!</definedName>
    <definedName name="ssss" localSheetId="16">#REF!</definedName>
    <definedName name="ssss" localSheetId="17">#REF!</definedName>
    <definedName name="ssss" localSheetId="23">#REF!</definedName>
    <definedName name="ssss" localSheetId="24">#REF!</definedName>
    <definedName name="ssss" localSheetId="21">#REF!</definedName>
    <definedName name="ssss" localSheetId="3">#REF!</definedName>
    <definedName name="ssss" localSheetId="18">#REF!</definedName>
    <definedName name="ssss" localSheetId="22">#REF!</definedName>
    <definedName name="ssss" localSheetId="20">#REF!</definedName>
    <definedName name="ssss" localSheetId="1">#REF!</definedName>
    <definedName name="ssss">#REF!</definedName>
    <definedName name="StavbaCelkem" localSheetId="0">KL!$H$61</definedName>
    <definedName name="subslevy" localSheetId="2">#REF!</definedName>
    <definedName name="subslevy" localSheetId="4">#REF!</definedName>
    <definedName name="subslevy" localSheetId="5">#REF!</definedName>
    <definedName name="subslevy" localSheetId="6">#REF!</definedName>
    <definedName name="subslevy" localSheetId="7">#REF!</definedName>
    <definedName name="subslevy" localSheetId="8">#REF!</definedName>
    <definedName name="subslevy" localSheetId="9">#REF!</definedName>
    <definedName name="subslevy" localSheetId="10">#REF!</definedName>
    <definedName name="subslevy" localSheetId="11">#REF!</definedName>
    <definedName name="subslevy" localSheetId="19">#REF!</definedName>
    <definedName name="subslevy" localSheetId="14">#REF!</definedName>
    <definedName name="subslevy" localSheetId="12">#REF!</definedName>
    <definedName name="subslevy" localSheetId="13">#REF!</definedName>
    <definedName name="subslevy" localSheetId="16">#REF!</definedName>
    <definedName name="subslevy" localSheetId="17">#REF!</definedName>
    <definedName name="subslevy" localSheetId="23">#REF!</definedName>
    <definedName name="subslevy" localSheetId="24">#REF!</definedName>
    <definedName name="subslevy" localSheetId="21">#REF!</definedName>
    <definedName name="subslevy" localSheetId="3">#REF!</definedName>
    <definedName name="subslevy" localSheetId="18">#REF!</definedName>
    <definedName name="subslevy" localSheetId="22">#REF!</definedName>
    <definedName name="subslevy" localSheetId="20">#REF!</definedName>
    <definedName name="subslevy" localSheetId="1">#REF!</definedName>
    <definedName name="subslevy">#REF!</definedName>
    <definedName name="sum_kapitoly" localSheetId="2">'[7]Rekapitulace roz.  vč. kapitol'!#REF!</definedName>
    <definedName name="sum_kapitoly" localSheetId="4">'[7]Rekapitulace roz.  vč. kapitol'!#REF!</definedName>
    <definedName name="sum_kapitoly" localSheetId="5">'[7]Rekapitulace roz.  vč. kapitol'!#REF!</definedName>
    <definedName name="sum_kapitoly" localSheetId="6">'[7]Rekapitulace roz.  vč. kapitol'!#REF!</definedName>
    <definedName name="sum_kapitoly" localSheetId="7">'[7]Rekapitulace roz.  vč. kapitol'!#REF!</definedName>
    <definedName name="sum_kapitoly" localSheetId="8">'[7]Rekapitulace roz.  vč. kapitol'!#REF!</definedName>
    <definedName name="sum_kapitoly" localSheetId="9">'[7]Rekapitulace roz.  vč. kapitol'!#REF!</definedName>
    <definedName name="sum_kapitoly" localSheetId="10">'[7]Rekapitulace roz.  vč. kapitol'!#REF!</definedName>
    <definedName name="sum_kapitoly" localSheetId="11">'[7]Rekapitulace roz.  vč. kapitol'!#REF!</definedName>
    <definedName name="sum_kapitoly" localSheetId="19">'[7]Rekapitulace roz.  vč. kapitol'!#REF!</definedName>
    <definedName name="sum_kapitoly" localSheetId="14">'[7]Rekapitulace roz.  vč. kapitol'!#REF!</definedName>
    <definedName name="sum_kapitoly" localSheetId="12">'[7]Rekapitulace roz.  vč. kapitol'!#REF!</definedName>
    <definedName name="sum_kapitoly" localSheetId="13">'[7]Rekapitulace roz.  vč. kapitol'!#REF!</definedName>
    <definedName name="sum_kapitoly" localSheetId="16">'[7]Rekapitulace roz.  vč. kapitol'!#REF!</definedName>
    <definedName name="sum_kapitoly" localSheetId="17">'[7]Rekapitulace roz.  vč. kapitol'!#REF!</definedName>
    <definedName name="sum_kapitoly" localSheetId="23">'[7]Rekapitulace roz.  vč. kapitol'!#REF!</definedName>
    <definedName name="sum_kapitoly" localSheetId="24">'[7]Rekapitulace roz.  vč. kapitol'!#REF!</definedName>
    <definedName name="sum_kapitoly" localSheetId="21">'[7]Rekapitulace roz.  vč. kapitol'!#REF!</definedName>
    <definedName name="sum_kapitoly" localSheetId="3">'[7]Rekapitulace roz.  vč. kapitol'!#REF!</definedName>
    <definedName name="sum_kapitoly" localSheetId="18">'[7]Rekapitulace roz.  vč. kapitol'!#REF!</definedName>
    <definedName name="sum_kapitoly" localSheetId="22">'[7]Rekapitulace roz.  vč. kapitol'!#REF!</definedName>
    <definedName name="sum_kapitoly" localSheetId="20">'[7]Rekapitulace roz.  vč. kapitol'!#REF!</definedName>
    <definedName name="sum_kapitoly" localSheetId="1">'[7]Rekapitulace roz.  vč. kapitol'!#REF!</definedName>
    <definedName name="sum_kapitoly">'[7]Rekapitulace roz.  vč. kapitol'!#REF!</definedName>
    <definedName name="summary" localSheetId="2" hidden="1">{#N/A,#N/A,TRUE,"Krycí list"}</definedName>
    <definedName name="summary" localSheetId="4" hidden="1">{#N/A,#N/A,TRUE,"Krycí list"}</definedName>
    <definedName name="summary" localSheetId="5" hidden="1">{#N/A,#N/A,TRUE,"Krycí list"}</definedName>
    <definedName name="summary" localSheetId="6" hidden="1">{#N/A,#N/A,TRUE,"Krycí list"}</definedName>
    <definedName name="summary" localSheetId="7" hidden="1">{#N/A,#N/A,TRUE,"Krycí list"}</definedName>
    <definedName name="summary" localSheetId="8" hidden="1">{#N/A,#N/A,TRUE,"Krycí list"}</definedName>
    <definedName name="summary" localSheetId="9" hidden="1">{#N/A,#N/A,TRUE,"Krycí list"}</definedName>
    <definedName name="summary" localSheetId="10" hidden="1">{#N/A,#N/A,TRUE,"Krycí list"}</definedName>
    <definedName name="summary" localSheetId="11" hidden="1">{#N/A,#N/A,TRUE,"Krycí list"}</definedName>
    <definedName name="summary" localSheetId="19" hidden="1">{#N/A,#N/A,TRUE,"Krycí list"}</definedName>
    <definedName name="summary" localSheetId="14" hidden="1">{#N/A,#N/A,TRUE,"Krycí list"}</definedName>
    <definedName name="summary" localSheetId="12" hidden="1">{#N/A,#N/A,TRUE,"Krycí list"}</definedName>
    <definedName name="summary" localSheetId="13" hidden="1">{#N/A,#N/A,TRUE,"Krycí list"}</definedName>
    <definedName name="summary" localSheetId="16" hidden="1">{#N/A,#N/A,TRUE,"Krycí list"}</definedName>
    <definedName name="summary" localSheetId="17" hidden="1">{#N/A,#N/A,TRUE,"Krycí list"}</definedName>
    <definedName name="summary" localSheetId="23" hidden="1">{#N/A,#N/A,TRUE,"Krycí list"}</definedName>
    <definedName name="summary" localSheetId="24" hidden="1">{#N/A,#N/A,TRUE,"Krycí list"}</definedName>
    <definedName name="summary" localSheetId="0" hidden="1">{#N/A,#N/A,TRUE,"Krycí list"}</definedName>
    <definedName name="summary" localSheetId="21" hidden="1">{#N/A,#N/A,TRUE,"Krycí list"}</definedName>
    <definedName name="summary" localSheetId="3" hidden="1">{#N/A,#N/A,TRUE,"Krycí list"}</definedName>
    <definedName name="summary" localSheetId="18" hidden="1">{#N/A,#N/A,TRUE,"Krycí list"}</definedName>
    <definedName name="summary" localSheetId="22" hidden="1">{#N/A,#N/A,TRUE,"Krycí list"}</definedName>
    <definedName name="summary" localSheetId="2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4">#REF!</definedName>
    <definedName name="sumpok" localSheetId="5">#REF!</definedName>
    <definedName name="sumpok" localSheetId="6">#REF!</definedName>
    <definedName name="sumpok" localSheetId="7">#REF!</definedName>
    <definedName name="sumpok" localSheetId="8">#REF!</definedName>
    <definedName name="sumpok" localSheetId="9">#REF!</definedName>
    <definedName name="sumpok" localSheetId="10">#REF!</definedName>
    <definedName name="sumpok" localSheetId="11">#REF!</definedName>
    <definedName name="sumpok" localSheetId="19">#REF!</definedName>
    <definedName name="sumpok" localSheetId="14">#REF!</definedName>
    <definedName name="sumpok" localSheetId="12">#REF!</definedName>
    <definedName name="sumpok" localSheetId="13">#REF!</definedName>
    <definedName name="sumpok" localSheetId="16">#REF!</definedName>
    <definedName name="sumpok" localSheetId="17">#REF!</definedName>
    <definedName name="sumpok" localSheetId="23">#REF!</definedName>
    <definedName name="sumpok" localSheetId="24">#REF!</definedName>
    <definedName name="sumpok" localSheetId="21">#REF!</definedName>
    <definedName name="sumpok" localSheetId="3">#REF!</definedName>
    <definedName name="sumpok" localSheetId="18">#REF!</definedName>
    <definedName name="sumpok" localSheetId="22">#REF!</definedName>
    <definedName name="sumpok" localSheetId="2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4" hidden="1">{#N/A,#N/A,TRUE,"Krycí list"}</definedName>
    <definedName name="Switchboard" localSheetId="5" hidden="1">{#N/A,#N/A,TRUE,"Krycí list"}</definedName>
    <definedName name="Switchboard" localSheetId="6" hidden="1">{#N/A,#N/A,TRUE,"Krycí list"}</definedName>
    <definedName name="Switchboard" localSheetId="7" hidden="1">{#N/A,#N/A,TRUE,"Krycí list"}</definedName>
    <definedName name="Switchboard" localSheetId="8" hidden="1">{#N/A,#N/A,TRUE,"Krycí list"}</definedName>
    <definedName name="Switchboard" localSheetId="9" hidden="1">{#N/A,#N/A,TRUE,"Krycí list"}</definedName>
    <definedName name="Switchboard" localSheetId="10" hidden="1">{#N/A,#N/A,TRUE,"Krycí list"}</definedName>
    <definedName name="Switchboard" localSheetId="11" hidden="1">{#N/A,#N/A,TRUE,"Krycí list"}</definedName>
    <definedName name="Switchboard" localSheetId="19" hidden="1">{#N/A,#N/A,TRUE,"Krycí list"}</definedName>
    <definedName name="Switchboard" localSheetId="14" hidden="1">{#N/A,#N/A,TRUE,"Krycí list"}</definedName>
    <definedName name="Switchboard" localSheetId="12" hidden="1">{#N/A,#N/A,TRUE,"Krycí list"}</definedName>
    <definedName name="Switchboard" localSheetId="13" hidden="1">{#N/A,#N/A,TRUE,"Krycí list"}</definedName>
    <definedName name="Switchboard" localSheetId="16" hidden="1">{#N/A,#N/A,TRUE,"Krycí list"}</definedName>
    <definedName name="Switchboard" localSheetId="17" hidden="1">{#N/A,#N/A,TRUE,"Krycí list"}</definedName>
    <definedName name="Switchboard" localSheetId="23" hidden="1">{#N/A,#N/A,TRUE,"Krycí list"}</definedName>
    <definedName name="Switchboard" localSheetId="24" hidden="1">{#N/A,#N/A,TRUE,"Krycí list"}</definedName>
    <definedName name="Switchboard" localSheetId="0" hidden="1">{#N/A,#N/A,TRUE,"Krycí list"}</definedName>
    <definedName name="Switchboard" localSheetId="21" hidden="1">{#N/A,#N/A,TRUE,"Krycí list"}</definedName>
    <definedName name="Switchboard" localSheetId="3" hidden="1">{#N/A,#N/A,TRUE,"Krycí list"}</definedName>
    <definedName name="Switchboard" localSheetId="18" hidden="1">{#N/A,#N/A,TRUE,"Krycí list"}</definedName>
    <definedName name="Switchboard" localSheetId="22" hidden="1">{#N/A,#N/A,TRUE,"Krycí list"}</definedName>
    <definedName name="Switchboard" localSheetId="2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4">#REF!</definedName>
    <definedName name="tab" localSheetId="5">#REF!</definedName>
    <definedName name="tab" localSheetId="6">#REF!</definedName>
    <definedName name="tab" localSheetId="7">#REF!</definedName>
    <definedName name="tab" localSheetId="8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14">#REF!</definedName>
    <definedName name="tab" localSheetId="12">#REF!</definedName>
    <definedName name="tab" localSheetId="13">#REF!</definedName>
    <definedName name="tab" localSheetId="16">#REF!</definedName>
    <definedName name="tab" localSheetId="17">#REF!</definedName>
    <definedName name="tab" localSheetId="23">#REF!</definedName>
    <definedName name="tab" localSheetId="24">#REF!</definedName>
    <definedName name="tab" localSheetId="21">#REF!</definedName>
    <definedName name="tab" localSheetId="3">#REF!</definedName>
    <definedName name="tab" localSheetId="18">#REF!</definedName>
    <definedName name="tab" localSheetId="22">#REF!</definedName>
    <definedName name="tab" localSheetId="20">#REF!</definedName>
    <definedName name="tab" localSheetId="1">#REF!</definedName>
    <definedName name="tab">#REF!</definedName>
    <definedName name="Total_Interest" localSheetId="2">#REF!</definedName>
    <definedName name="Total_Interest" localSheetId="4">#REF!</definedName>
    <definedName name="Total_Interest" localSheetId="5">#REF!</definedName>
    <definedName name="Total_Interest" localSheetId="6">#REF!</definedName>
    <definedName name="Total_Interest" localSheetId="7">#REF!</definedName>
    <definedName name="Total_Interest" localSheetId="8">#REF!</definedName>
    <definedName name="Total_Interest" localSheetId="9">#REF!</definedName>
    <definedName name="Total_Interest" localSheetId="10">#REF!</definedName>
    <definedName name="Total_Interest" localSheetId="11">#REF!</definedName>
    <definedName name="Total_Interest" localSheetId="19">#REF!</definedName>
    <definedName name="Total_Interest" localSheetId="14">#REF!</definedName>
    <definedName name="Total_Interest" localSheetId="12">#REF!</definedName>
    <definedName name="Total_Interest" localSheetId="13">#REF!</definedName>
    <definedName name="Total_Interest" localSheetId="16">#REF!</definedName>
    <definedName name="Total_Interest" localSheetId="17">#REF!</definedName>
    <definedName name="Total_Interest" localSheetId="23">#REF!</definedName>
    <definedName name="Total_Interest" localSheetId="24">#REF!</definedName>
    <definedName name="Total_Interest" localSheetId="21">#REF!</definedName>
    <definedName name="Total_Interest" localSheetId="3">#REF!</definedName>
    <definedName name="Total_Interest" localSheetId="18">#REF!</definedName>
    <definedName name="Total_Interest" localSheetId="22">#REF!</definedName>
    <definedName name="Total_Interest" localSheetId="20">#REF!</definedName>
    <definedName name="Total_Interest" localSheetId="1">#REF!</definedName>
    <definedName name="Total_Interest">#REF!</definedName>
    <definedName name="Total_Pay" localSheetId="2">#REF!</definedName>
    <definedName name="Total_Pay" localSheetId="4">#REF!</definedName>
    <definedName name="Total_Pay" localSheetId="5">#REF!</definedName>
    <definedName name="Total_Pay" localSheetId="6">#REF!</definedName>
    <definedName name="Total_Pay" localSheetId="7">#REF!</definedName>
    <definedName name="Total_Pay" localSheetId="8">#REF!</definedName>
    <definedName name="Total_Pay" localSheetId="9">#REF!</definedName>
    <definedName name="Total_Pay" localSheetId="10">#REF!</definedName>
    <definedName name="Total_Pay" localSheetId="11">#REF!</definedName>
    <definedName name="Total_Pay" localSheetId="19">#REF!</definedName>
    <definedName name="Total_Pay" localSheetId="14">#REF!</definedName>
    <definedName name="Total_Pay" localSheetId="12">#REF!</definedName>
    <definedName name="Total_Pay" localSheetId="13">#REF!</definedName>
    <definedName name="Total_Pay" localSheetId="16">#REF!</definedName>
    <definedName name="Total_Pay" localSheetId="17">#REF!</definedName>
    <definedName name="Total_Pay" localSheetId="23">#REF!</definedName>
    <definedName name="Total_Pay" localSheetId="24">#REF!</definedName>
    <definedName name="Total_Pay" localSheetId="21">#REF!</definedName>
    <definedName name="Total_Pay" localSheetId="3">#REF!</definedName>
    <definedName name="Total_Pay" localSheetId="18">#REF!</definedName>
    <definedName name="Total_Pay" localSheetId="22">#REF!</definedName>
    <definedName name="Total_Pay" localSheetId="2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 localSheetId="11">Scheduled_Payment+Extra_Payment</definedName>
    <definedName name="Total_Payment" localSheetId="19">Scheduled_Payment+Extra_Payment</definedName>
    <definedName name="Total_Payment" localSheetId="14">Scheduled_Payment+Extra_Payment</definedName>
    <definedName name="Total_Payment" localSheetId="12">Scheduled_Payment+Extra_Payment</definedName>
    <definedName name="Total_Payment" localSheetId="13">Scheduled_Payment+Extra_Payment</definedName>
    <definedName name="Total_Payment" localSheetId="16">Scheduled_Payment+Extra_Payment</definedName>
    <definedName name="Total_Payment" localSheetId="17">Scheduled_Payment+Extra_Payment</definedName>
    <definedName name="Total_Payment" localSheetId="23">Scheduled_Payment+Extra_Payment</definedName>
    <definedName name="Total_Payment" localSheetId="24">Scheduled_Payment+Extra_Payment</definedName>
    <definedName name="Total_Payment" localSheetId="0">Scheduled_Payment+Extra_Payment</definedName>
    <definedName name="Total_Payment" localSheetId="21">Scheduled_Payment+Extra_Payment</definedName>
    <definedName name="Total_Payment" localSheetId="3">Scheduled_Payment+Extra_Payment</definedName>
    <definedName name="Total_Payment" localSheetId="18">Scheduled_Payment+Extra_Payment</definedName>
    <definedName name="Total_Payment" localSheetId="22">Scheduled_Payment+Extra_Payment</definedName>
    <definedName name="Total_Payment" localSheetId="2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4">#REF!</definedName>
    <definedName name="Typ" localSheetId="5">#REF!</definedName>
    <definedName name="Typ" localSheetId="6">#REF!</definedName>
    <definedName name="Typ" localSheetId="7">#REF!</definedName>
    <definedName name="Typ" localSheetId="8">#REF!</definedName>
    <definedName name="Typ" localSheetId="9">#REF!</definedName>
    <definedName name="Typ" localSheetId="10">#REF!</definedName>
    <definedName name="Typ" localSheetId="11">#REF!</definedName>
    <definedName name="Typ" localSheetId="19">#REF!</definedName>
    <definedName name="Typ" localSheetId="14">#REF!</definedName>
    <definedName name="Typ" localSheetId="12">#REF!</definedName>
    <definedName name="Typ" localSheetId="13">#REF!</definedName>
    <definedName name="Typ" localSheetId="16">#REF!</definedName>
    <definedName name="Typ" localSheetId="17">#REF!</definedName>
    <definedName name="Typ" localSheetId="23">#REF!</definedName>
    <definedName name="Typ" localSheetId="24">#REF!</definedName>
    <definedName name="Typ" localSheetId="0">'[10]002-A.1. Archstav  reseni'!#REF!</definedName>
    <definedName name="Typ" localSheetId="21">#REF!</definedName>
    <definedName name="Typ" localSheetId="3">#REF!</definedName>
    <definedName name="Typ" localSheetId="18">#REF!</definedName>
    <definedName name="Typ" localSheetId="22">#REF!</definedName>
    <definedName name="Typ" localSheetId="20">#REF!</definedName>
    <definedName name="Typ" localSheetId="1">#REF!</definedName>
    <definedName name="Typ">#REF!</definedName>
    <definedName name="v" localSheetId="2">'[7]Rekapitulace roz.  vč. kapitol'!#REF!</definedName>
    <definedName name="v" localSheetId="4">'[7]Rekapitulace roz.  vč. kapitol'!#REF!</definedName>
    <definedName name="v" localSheetId="5">'[7]Rekapitulace roz.  vč. kapitol'!#REF!</definedName>
    <definedName name="v" localSheetId="6">'[7]Rekapitulace roz.  vč. kapitol'!#REF!</definedName>
    <definedName name="v" localSheetId="7">'[7]Rekapitulace roz.  vč. kapitol'!#REF!</definedName>
    <definedName name="v" localSheetId="8">'[7]Rekapitulace roz.  vč. kapitol'!#REF!</definedName>
    <definedName name="v" localSheetId="9">'[7]Rekapitulace roz.  vč. kapitol'!#REF!</definedName>
    <definedName name="v" localSheetId="10">'[7]Rekapitulace roz.  vč. kapitol'!#REF!</definedName>
    <definedName name="v" localSheetId="11">'[7]Rekapitulace roz.  vč. kapitol'!#REF!</definedName>
    <definedName name="v" localSheetId="19">'[7]Rekapitulace roz.  vč. kapitol'!#REF!</definedName>
    <definedName name="v" localSheetId="14">'[7]Rekapitulace roz.  vč. kapitol'!#REF!</definedName>
    <definedName name="v" localSheetId="12">'[7]Rekapitulace roz.  vč. kapitol'!#REF!</definedName>
    <definedName name="v" localSheetId="13">'[7]Rekapitulace roz.  vč. kapitol'!#REF!</definedName>
    <definedName name="v" localSheetId="16">'[7]Rekapitulace roz.  vč. kapitol'!#REF!</definedName>
    <definedName name="v" localSheetId="17">'[7]Rekapitulace roz.  vč. kapitol'!#REF!</definedName>
    <definedName name="v" localSheetId="23">'[7]Rekapitulace roz.  vč. kapitol'!#REF!</definedName>
    <definedName name="v" localSheetId="24">'[7]Rekapitulace roz.  vč. kapitol'!#REF!</definedName>
    <definedName name="v" localSheetId="21">'[7]Rekapitulace roz.  vč. kapitol'!#REF!</definedName>
    <definedName name="v" localSheetId="3">'[7]Rekapitulace roz.  vč. kapitol'!#REF!</definedName>
    <definedName name="v" localSheetId="18">'[7]Rekapitulace roz.  vč. kapitol'!#REF!</definedName>
    <definedName name="v" localSheetId="22">'[7]Rekapitulace roz.  vč. kapitol'!#REF!</definedName>
    <definedName name="v" localSheetId="20">'[7]Rekapitulace roz.  vč. kapitol'!#REF!</definedName>
    <definedName name="v" localSheetId="1">'[7]Rekapitulace roz.  vč. kapitol'!#REF!</definedName>
    <definedName name="v">'[7]Rekapitulace roz.  vč. kapitol'!#REF!</definedName>
    <definedName name="Values_Entered" localSheetId="2">IF('D.1.1. ASŘ - BOURACÍ PRÁCE'!Loan_Amount*'D.1.1. ASŘ - BOURACÍ PRÁCE'!Interest_Rate*'D.1.1. ASŘ - BOURACÍ PRÁCE'!Loan_Years*'D.1.1. ASŘ - BOURACÍ PRÁCE'!Loan_Start&gt;0,1,0)</definedName>
    <definedName name="Values_Entered" localSheetId="4">IF('D.1.1. ASŘ - NOVÝ STAV'!Loan_Amount*'D.1.1. ASŘ - NOVÝ STAV'!Interest_Rate*'D.1.1. ASŘ - NOVÝ STAV'!Loan_Years*'D.1.1. ASŘ - NOVÝ STAV'!Loan_Start&gt;0,1,0)</definedName>
    <definedName name="Values_Entered" localSheetId="5">IF('D.1.1. VÝPIS DVEŘÍ'!Loan_Amount*'D.1.1. VÝPIS DVEŘÍ'!Interest_Rate*'D.1.1. VÝPIS DVEŘÍ'!Loan_Years*'D.1.1. VÝPIS DVEŘÍ'!Loan_Start&gt;0,1,0)</definedName>
    <definedName name="Values_Entered" localSheetId="6">IF('D.1.1.c.02 - VÝPIS OKEN'!Loan_Amount*'D.1.1.c.02 - VÝPIS OKEN'!Interest_Rate*'D.1.1.c.02 - VÝPIS OKEN'!Loan_Years*'D.1.1.c.02 - VÝPIS OKEN'!Loan_Start&gt;0,1,0)</definedName>
    <definedName name="Values_Entered" localSheetId="7">IF('D.1.1.c.04. VÝPIS TRUHLÁŘ.'!Loan_Amount*'D.1.1.c.04. VÝPIS TRUHLÁŘ.'!Interest_Rate*'D.1.1.c.04. VÝPIS TRUHLÁŘ.'!Loan_Years*'D.1.1.c.04. VÝPIS TRUHLÁŘ.'!Loan_Start&gt;0,1,0)</definedName>
    <definedName name="Values_Entered" localSheetId="8">IF('D.1.1.c.05. VÝPIS ZÁMEČN. VÝR.'!Loan_Amount*'D.1.1.c.05. VÝPIS ZÁMEČN. VÝR.'!Interest_Rate*'D.1.1.c.05. VÝPIS ZÁMEČN. VÝR.'!Loan_Years*'D.1.1.c.05. VÝPIS ZÁMEČN. VÝR.'!Loan_Start&gt;0,1,0)</definedName>
    <definedName name="Values_Entered" localSheetId="9">IF('D.1.1.c.06. VÝPIS KLEMP.'!Loan_Amount*Interest_Rate*'D.1.1.c.06. VÝPIS KLEMP.'!Loan_Years*'D.1.1.c.06. VÝPIS KLEMP.'!Loan_Start&gt;0,1,0)</definedName>
    <definedName name="Values_Entered" localSheetId="10">IF('D.1.1.c.07 VÝPIS OSTAT.'!Loan_Amount*'D.1.1.c.07 VÝPIS OSTAT.'!Interest_Rate*'D.1.1.c.07 VÝPIS OSTAT.'!Loan_Years*'D.1.1.c.07 VÝPIS OSTAT.'!Loan_Start&gt;0,1,0)</definedName>
    <definedName name="Values_Entered" localSheetId="11">IF('D.1.4.1. ZTI'!Loan_Amount*'D.1.4.1. ZTI'!Interest_Rate*'D.1.4.1. ZTI'!Loan_Years*'D.1.4.1. ZTI'!Loan_Start&gt;0,1,0)</definedName>
    <definedName name="Values_Entered" localSheetId="19">IF('D.1.4.10.2. POZEMNÍ KOMUNIKACE'!Loan_Amount*'D.1.4.10.2. POZEMNÍ KOMUNIKACE'!Interest_Rate*'D.1.4.10.2. POZEMNÍ KOMUNIKACE'!Loan_Years*'D.1.4.10.2. POZEMNÍ KOMUNIKACE'!Loan_Start&gt;0,1,0)</definedName>
    <definedName name="Values_Entered" localSheetId="14">IF('D.1.4.2. ODBĚR. PLYN. ZAŘÍZ.'!Loan_Amount*'D.1.4.2. ODBĚR. PLYN. ZAŘÍZ.'!Interest_Rate*'D.1.4.2. ODBĚR. PLYN. ZAŘÍZ.'!Loan_Years*'D.1.4.2. ODBĚR. PLYN. ZAŘÍZ.'!Loan_Start&gt;0,1,0)</definedName>
    <definedName name="Values_Entered" localSheetId="12">IF('D.1.4.3. VZDUCHOTECHNIKA'!Loan_Amount*Interest_Rate*'D.1.4.3. VZDUCHOTECHNIKA'!Loan_Years*'D.1.4.3. VZDUCHOTECHNIKA'!Loan_Start&gt;0,1,0)</definedName>
    <definedName name="Values_Entered" localSheetId="13">IF('D.1.4.4. VYTÁPENÍ'!Loan_Amount*'D.1.4.4. VYTÁPENÍ'!Interest_Rate*'D.1.4.4. VYTÁPENÍ'!Loan_Years*'D.1.4.4. VYTÁPENÍ'!Loan_Start&gt;0,1,0)</definedName>
    <definedName name="Values_Entered" localSheetId="16">IF('D.1.4.7. SILNOPROUD'!Loan_Amount*Interest_Rate*'D.1.4.7. SILNOPROUD'!Loan_Years*'D.1.4.7. SILNOPROUD'!Loan_Start&gt;0,1,0)</definedName>
    <definedName name="Values_Entered" localSheetId="17">IF('D.1.4.8. EL. KOMUNIKACE'!Loan_Amount*Interest_Rate*'D.1.4.8. EL. KOMUNIKACE'!Loan_Years*'D.1.4.8. EL. KOMUNIKACE'!Loan_Start&gt;0,1,0)</definedName>
    <definedName name="Values_Entered" localSheetId="23">IF('D.2.2 VENKOVNÍ ROZVOD TEPLA-BP'!Loan_Amount*'D.2.2 VENKOVNÍ ROZVOD TEPLA-BP'!Interest_Rate*'D.2.2 VENKOVNÍ ROZVOD TEPLA-BP'!Loan_Years*'D.2.2 VENKOVNÍ ROZVOD TEPLA-BP'!Loan_Start&gt;0,1,0)</definedName>
    <definedName name="Values_Entered" localSheetId="24">IF('D.2.2. VENKOVNÍ ROZVOD TEPLA'!Loan_Amount*'D.2.2. VENKOVNÍ ROZVOD TEPLA'!Interest_Rate*'D.2.2. VENKOVNÍ ROZVOD TEPLA'!Loan_Years*'D.2.2. VENKOVNÍ ROZVOD TEPLA'!Loan_Start&gt;0,1,0)</definedName>
    <definedName name="Values_Entered" localSheetId="0">IF(Loan_Amount*Interest_Rate*Loan_Years*Loan_Start&gt;0,1,0)</definedName>
    <definedName name="Values_Entered" localSheetId="21">IF(OPLOCENÍ!Loan_Amount*OPLOCENÍ!Interest_Rate*OPLOCENÍ!Loan_Years*OPLOCENÍ!Loan_Start&gt;0,1,0)</definedName>
    <definedName name="Values_Entered" localSheetId="3">IF('REKAPITULACE - NS'!Loan_Amount*'REKAPITULACE - NS'!Interest_Rate*'REKAPITULACE - NS'!Loan_Years*'REKAPITULACE - NS'!Loan_Start&gt;0,1,0)</definedName>
    <definedName name="Values_Entered" localSheetId="18">IF('REKAPITULACE - POZEMN.KOM.+SADO'!Loan_Amount*'REKAPITULACE - POZEMN.KOM.+SADO'!Interest_Rate*'REKAPITULACE - POZEMN.KOM.+SADO'!Loan_Years*'REKAPITULACE - POZEMN.KOM.+SADO'!Loan_Start&gt;0,1,0)</definedName>
    <definedName name="Values_Entered" localSheetId="22">IF('REKAPITULACE - ROZVOD TEPLA'!Loan_Amount*'REKAPITULACE - ROZVOD TEPLA'!Interest_Rate*'REKAPITULACE - ROZVOD TEPLA'!Loan_Years*'REKAPITULACE - ROZVOD TEPLA'!Loan_Start&gt;0,1,0)</definedName>
    <definedName name="Values_Entered" localSheetId="20">IF('SADOVÉ ÚPRAVY'!Loan_Amount*'SADOVÉ ÚPRAVY'!Interest_Rate*'SADOVÉ ÚPRAVY'!Loan_Years*'SADOVÉ ÚPRAVY'!Loan_Start&gt;0,1,0)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4" hidden="1">{#N/A,#N/A,TRUE,"Krycí list"}</definedName>
    <definedName name="VIZA" localSheetId="5" hidden="1">{#N/A,#N/A,TRUE,"Krycí list"}</definedName>
    <definedName name="VIZA" localSheetId="6" hidden="1">{#N/A,#N/A,TRUE,"Krycí list"}</definedName>
    <definedName name="VIZA" localSheetId="7" hidden="1">{#N/A,#N/A,TRUE,"Krycí list"}</definedName>
    <definedName name="VIZA" localSheetId="8" hidden="1">{#N/A,#N/A,TRUE,"Krycí list"}</definedName>
    <definedName name="VIZA" localSheetId="9" hidden="1">{#N/A,#N/A,TRUE,"Krycí list"}</definedName>
    <definedName name="VIZA" localSheetId="10" hidden="1">{#N/A,#N/A,TRUE,"Krycí list"}</definedName>
    <definedName name="VIZA" localSheetId="11" hidden="1">{#N/A,#N/A,TRUE,"Krycí list"}</definedName>
    <definedName name="VIZA" localSheetId="19" hidden="1">{#N/A,#N/A,TRUE,"Krycí list"}</definedName>
    <definedName name="VIZA" localSheetId="14" hidden="1">{#N/A,#N/A,TRUE,"Krycí list"}</definedName>
    <definedName name="VIZA" localSheetId="12" hidden="1">{#N/A,#N/A,TRUE,"Krycí list"}</definedName>
    <definedName name="VIZA" localSheetId="13" hidden="1">{#N/A,#N/A,TRUE,"Krycí list"}</definedName>
    <definedName name="VIZA" localSheetId="16" hidden="1">{#N/A,#N/A,TRUE,"Krycí list"}</definedName>
    <definedName name="VIZA" localSheetId="17" hidden="1">{#N/A,#N/A,TRUE,"Krycí list"}</definedName>
    <definedName name="VIZA" localSheetId="23" hidden="1">{#N/A,#N/A,TRUE,"Krycí list"}</definedName>
    <definedName name="VIZA" localSheetId="24" hidden="1">{#N/A,#N/A,TRUE,"Krycí list"}</definedName>
    <definedName name="VIZA" localSheetId="0" hidden="1">{#N/A,#N/A,TRUE,"Krycí list"}</definedName>
    <definedName name="VIZA" localSheetId="21" hidden="1">{#N/A,#N/A,TRUE,"Krycí list"}</definedName>
    <definedName name="VIZA" localSheetId="3" hidden="1">{#N/A,#N/A,TRUE,"Krycí list"}</definedName>
    <definedName name="VIZA" localSheetId="18" hidden="1">{#N/A,#N/A,TRUE,"Krycí list"}</definedName>
    <definedName name="VIZA" localSheetId="22" hidden="1">{#N/A,#N/A,TRUE,"Krycí list"}</definedName>
    <definedName name="VIZA" localSheetId="2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4" hidden="1">{#N/A,#N/A,TRUE,"Krycí list"}</definedName>
    <definedName name="VIZA12" localSheetId="5" hidden="1">{#N/A,#N/A,TRUE,"Krycí list"}</definedName>
    <definedName name="VIZA12" localSheetId="6" hidden="1">{#N/A,#N/A,TRUE,"Krycí list"}</definedName>
    <definedName name="VIZA12" localSheetId="7" hidden="1">{#N/A,#N/A,TRUE,"Krycí list"}</definedName>
    <definedName name="VIZA12" localSheetId="8" hidden="1">{#N/A,#N/A,TRUE,"Krycí list"}</definedName>
    <definedName name="VIZA12" localSheetId="9" hidden="1">{#N/A,#N/A,TRUE,"Krycí list"}</definedName>
    <definedName name="VIZA12" localSheetId="10" hidden="1">{#N/A,#N/A,TRUE,"Krycí list"}</definedName>
    <definedName name="VIZA12" localSheetId="11" hidden="1">{#N/A,#N/A,TRUE,"Krycí list"}</definedName>
    <definedName name="VIZA12" localSheetId="19" hidden="1">{#N/A,#N/A,TRUE,"Krycí list"}</definedName>
    <definedName name="VIZA12" localSheetId="14" hidden="1">{#N/A,#N/A,TRUE,"Krycí list"}</definedName>
    <definedName name="VIZA12" localSheetId="12" hidden="1">{#N/A,#N/A,TRUE,"Krycí list"}</definedName>
    <definedName name="VIZA12" localSheetId="13" hidden="1">{#N/A,#N/A,TRUE,"Krycí list"}</definedName>
    <definedName name="VIZA12" localSheetId="16" hidden="1">{#N/A,#N/A,TRUE,"Krycí list"}</definedName>
    <definedName name="VIZA12" localSheetId="17" hidden="1">{#N/A,#N/A,TRUE,"Krycí list"}</definedName>
    <definedName name="VIZA12" localSheetId="23" hidden="1">{#N/A,#N/A,TRUE,"Krycí list"}</definedName>
    <definedName name="VIZA12" localSheetId="24" hidden="1">{#N/A,#N/A,TRUE,"Krycí list"}</definedName>
    <definedName name="VIZA12" localSheetId="0" hidden="1">{#N/A,#N/A,TRUE,"Krycí list"}</definedName>
    <definedName name="VIZA12" localSheetId="21" hidden="1">{#N/A,#N/A,TRUE,"Krycí list"}</definedName>
    <definedName name="VIZA12" localSheetId="3" hidden="1">{#N/A,#N/A,TRUE,"Krycí list"}</definedName>
    <definedName name="VIZA12" localSheetId="18" hidden="1">{#N/A,#N/A,TRUE,"Krycí list"}</definedName>
    <definedName name="VIZA12" localSheetId="22" hidden="1">{#N/A,#N/A,TRUE,"Krycí list"}</definedName>
    <definedName name="VIZA12" localSheetId="2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4">#REF!</definedName>
    <definedName name="VRN" localSheetId="5">#REF!</definedName>
    <definedName name="VRN" localSheetId="6">#REF!</definedName>
    <definedName name="VRN" localSheetId="7">#REF!</definedName>
    <definedName name="VRN" localSheetId="8">#REF!</definedName>
    <definedName name="VRN" localSheetId="9">#REF!</definedName>
    <definedName name="VRN" localSheetId="10">#REF!</definedName>
    <definedName name="VRN" localSheetId="11">#REF!</definedName>
    <definedName name="VRN" localSheetId="19">#REF!</definedName>
    <definedName name="VRN" localSheetId="14">#REF!</definedName>
    <definedName name="VRN" localSheetId="12">#REF!</definedName>
    <definedName name="VRN" localSheetId="13">#REF!</definedName>
    <definedName name="VRN" localSheetId="16">#REF!</definedName>
    <definedName name="VRN" localSheetId="17">#REF!</definedName>
    <definedName name="VRN" localSheetId="23">#REF!</definedName>
    <definedName name="VRN" localSheetId="24">#REF!</definedName>
    <definedName name="VRN" localSheetId="0">#REF!</definedName>
    <definedName name="VRN" localSheetId="21">#REF!</definedName>
    <definedName name="VRN" localSheetId="3">#REF!</definedName>
    <definedName name="VRN" localSheetId="18">#REF!</definedName>
    <definedName name="VRN" localSheetId="22">#REF!</definedName>
    <definedName name="VRN" localSheetId="20">#REF!</definedName>
    <definedName name="VRN" localSheetId="1">#REF!</definedName>
    <definedName name="VRN">#REF!</definedName>
    <definedName name="VRNKc" localSheetId="2">#REF!</definedName>
    <definedName name="VRNKc" localSheetId="4">#REF!</definedName>
    <definedName name="VRNKc" localSheetId="5">#REF!</definedName>
    <definedName name="VRNKc" localSheetId="6">#REF!</definedName>
    <definedName name="VRNKc" localSheetId="7">#REF!</definedName>
    <definedName name="VRNKc" localSheetId="8">#REF!</definedName>
    <definedName name="VRNKc" localSheetId="9">#REF!</definedName>
    <definedName name="VRNKc" localSheetId="10">#REF!</definedName>
    <definedName name="VRNKc" localSheetId="11">#REF!</definedName>
    <definedName name="VRNKc" localSheetId="19">#REF!</definedName>
    <definedName name="VRNKc" localSheetId="14">#REF!</definedName>
    <definedName name="VRNKc" localSheetId="12">#REF!</definedName>
    <definedName name="VRNKc" localSheetId="13">#REF!</definedName>
    <definedName name="VRNKc" localSheetId="16">#REF!</definedName>
    <definedName name="VRNKc" localSheetId="17">#REF!</definedName>
    <definedName name="VRNKc" localSheetId="23">#REF!</definedName>
    <definedName name="VRNKc" localSheetId="24">#REF!</definedName>
    <definedName name="VRNKc" localSheetId="0">#REF!</definedName>
    <definedName name="VRNKc" localSheetId="21">#REF!</definedName>
    <definedName name="VRNKc" localSheetId="3">#REF!</definedName>
    <definedName name="VRNKc" localSheetId="18">#REF!</definedName>
    <definedName name="VRNKc" localSheetId="22">#REF!</definedName>
    <definedName name="VRNKc" localSheetId="20">#REF!</definedName>
    <definedName name="VRNKc" localSheetId="1">#REF!</definedName>
    <definedName name="VRNKc">#REF!</definedName>
    <definedName name="VRNnazev" localSheetId="2">#REF!</definedName>
    <definedName name="VRNnazev" localSheetId="4">#REF!</definedName>
    <definedName name="VRNnazev" localSheetId="5">#REF!</definedName>
    <definedName name="VRNnazev" localSheetId="6">#REF!</definedName>
    <definedName name="VRNnazev" localSheetId="7">#REF!</definedName>
    <definedName name="VRNnazev" localSheetId="8">#REF!</definedName>
    <definedName name="VRNnazev" localSheetId="9">#REF!</definedName>
    <definedName name="VRNnazev" localSheetId="10">#REF!</definedName>
    <definedName name="VRNnazev" localSheetId="11">#REF!</definedName>
    <definedName name="VRNnazev" localSheetId="19">#REF!</definedName>
    <definedName name="VRNnazev" localSheetId="14">#REF!</definedName>
    <definedName name="VRNnazev" localSheetId="12">#REF!</definedName>
    <definedName name="VRNnazev" localSheetId="13">#REF!</definedName>
    <definedName name="VRNnazev" localSheetId="16">#REF!</definedName>
    <definedName name="VRNnazev" localSheetId="17">#REF!</definedName>
    <definedName name="VRNnazev" localSheetId="23">#REF!</definedName>
    <definedName name="VRNnazev" localSheetId="24">#REF!</definedName>
    <definedName name="VRNnazev" localSheetId="0">#REF!</definedName>
    <definedName name="VRNnazev" localSheetId="21">#REF!</definedName>
    <definedName name="VRNnazev" localSheetId="3">#REF!</definedName>
    <definedName name="VRNnazev" localSheetId="18">#REF!</definedName>
    <definedName name="VRNnazev" localSheetId="22">#REF!</definedName>
    <definedName name="VRNnazev" localSheetId="20">#REF!</definedName>
    <definedName name="VRNnazev" localSheetId="1">#REF!</definedName>
    <definedName name="VRNnazev">#REF!</definedName>
    <definedName name="VRNproc" localSheetId="2">#REF!</definedName>
    <definedName name="VRNproc" localSheetId="4">#REF!</definedName>
    <definedName name="VRNproc" localSheetId="5">#REF!</definedName>
    <definedName name="VRNproc" localSheetId="6">#REF!</definedName>
    <definedName name="VRNproc" localSheetId="7">#REF!</definedName>
    <definedName name="VRNproc" localSheetId="8">#REF!</definedName>
    <definedName name="VRNproc" localSheetId="10">#REF!</definedName>
    <definedName name="VRNproc" localSheetId="11">#REF!</definedName>
    <definedName name="VRNproc" localSheetId="19">#REF!</definedName>
    <definedName name="VRNproc" localSheetId="14">#REF!</definedName>
    <definedName name="VRNproc" localSheetId="13">#REF!</definedName>
    <definedName name="VRNproc" localSheetId="23">#REF!</definedName>
    <definedName name="VRNproc" localSheetId="24">#REF!</definedName>
    <definedName name="VRNproc" localSheetId="0">#REF!</definedName>
    <definedName name="VRNproc" localSheetId="21">#REF!</definedName>
    <definedName name="VRNproc" localSheetId="3">#REF!</definedName>
    <definedName name="VRNproc" localSheetId="18">#REF!</definedName>
    <definedName name="VRNproc" localSheetId="22">#REF!</definedName>
    <definedName name="VRNproc" localSheetId="20">#REF!</definedName>
    <definedName name="VRNproc" localSheetId="1">#REF!</definedName>
    <definedName name="VRNproc">#REF!</definedName>
    <definedName name="VRNzakl" localSheetId="2">#REF!</definedName>
    <definedName name="VRNzakl" localSheetId="4">#REF!</definedName>
    <definedName name="VRNzakl" localSheetId="5">#REF!</definedName>
    <definedName name="VRNzakl" localSheetId="6">#REF!</definedName>
    <definedName name="VRNzakl" localSheetId="7">#REF!</definedName>
    <definedName name="VRNzakl" localSheetId="8">#REF!</definedName>
    <definedName name="VRNzakl" localSheetId="10">#REF!</definedName>
    <definedName name="VRNzakl" localSheetId="11">#REF!</definedName>
    <definedName name="VRNzakl" localSheetId="19">#REF!</definedName>
    <definedName name="VRNzakl" localSheetId="14">#REF!</definedName>
    <definedName name="VRNzakl" localSheetId="13">#REF!</definedName>
    <definedName name="VRNzakl" localSheetId="23">#REF!</definedName>
    <definedName name="VRNzakl" localSheetId="24">#REF!</definedName>
    <definedName name="VRNzakl" localSheetId="0">#REF!</definedName>
    <definedName name="VRNzakl" localSheetId="21">#REF!</definedName>
    <definedName name="VRNzakl" localSheetId="3">#REF!</definedName>
    <definedName name="VRNzakl" localSheetId="18">#REF!</definedName>
    <definedName name="VRNzakl" localSheetId="22">#REF!</definedName>
    <definedName name="VRNzakl" localSheetId="20">#REF!</definedName>
    <definedName name="VRNzakl" localSheetId="1">#REF!</definedName>
    <definedName name="VRNzakl">#REF!</definedName>
    <definedName name="výpočty" localSheetId="2">#REF!</definedName>
    <definedName name="výpočty" localSheetId="4">#REF!</definedName>
    <definedName name="výpočty" localSheetId="5">#REF!</definedName>
    <definedName name="výpočty" localSheetId="6">#REF!</definedName>
    <definedName name="výpočty" localSheetId="7">#REF!</definedName>
    <definedName name="výpočty" localSheetId="8">#REF!</definedName>
    <definedName name="výpočty" localSheetId="10">#REF!</definedName>
    <definedName name="výpočty" localSheetId="11">#REF!</definedName>
    <definedName name="výpočty" localSheetId="19">#REF!</definedName>
    <definedName name="výpočty" localSheetId="14">#REF!</definedName>
    <definedName name="výpočty" localSheetId="13">#REF!</definedName>
    <definedName name="výpočty" localSheetId="23">#REF!</definedName>
    <definedName name="výpočty" localSheetId="24">#REF!</definedName>
    <definedName name="výpočty" localSheetId="21">#REF!</definedName>
    <definedName name="výpočty" localSheetId="3">#REF!</definedName>
    <definedName name="výpočty" localSheetId="18">#REF!</definedName>
    <definedName name="výpočty" localSheetId="22">#REF!</definedName>
    <definedName name="výpočty" localSheetId="20">#REF!</definedName>
    <definedName name="výpočty" localSheetId="1">#REF!</definedName>
    <definedName name="výpočty">#REF!</definedName>
    <definedName name="vystup" localSheetId="2">#REF!</definedName>
    <definedName name="vystup" localSheetId="4">#REF!</definedName>
    <definedName name="vystup" localSheetId="5">#REF!</definedName>
    <definedName name="vystup" localSheetId="6">#REF!</definedName>
    <definedName name="vystup" localSheetId="7">#REF!</definedName>
    <definedName name="vystup" localSheetId="8">#REF!</definedName>
    <definedName name="vystup" localSheetId="10">#REF!</definedName>
    <definedName name="vystup" localSheetId="11">#REF!</definedName>
    <definedName name="vystup" localSheetId="19">#REF!</definedName>
    <definedName name="vystup" localSheetId="14">#REF!</definedName>
    <definedName name="vystup" localSheetId="13">#REF!</definedName>
    <definedName name="vystup" localSheetId="23">#REF!</definedName>
    <definedName name="vystup" localSheetId="24">#REF!</definedName>
    <definedName name="vystup" localSheetId="21">#REF!</definedName>
    <definedName name="vystup" localSheetId="3">#REF!</definedName>
    <definedName name="vystup" localSheetId="18">#REF!</definedName>
    <definedName name="vystup" localSheetId="22">#REF!</definedName>
    <definedName name="vystup" localSheetId="20">#REF!</definedName>
    <definedName name="vystup" localSheetId="1">#REF!</definedName>
    <definedName name="vystup">#REF!</definedName>
    <definedName name="vzduchna" localSheetId="2" hidden="1">{#N/A,#N/A,TRUE,"Krycí list"}</definedName>
    <definedName name="vzduchna" localSheetId="4" hidden="1">{#N/A,#N/A,TRUE,"Krycí list"}</definedName>
    <definedName name="vzduchna" localSheetId="5" hidden="1">{#N/A,#N/A,TRUE,"Krycí list"}</definedName>
    <definedName name="vzduchna" localSheetId="6" hidden="1">{#N/A,#N/A,TRUE,"Krycí list"}</definedName>
    <definedName name="vzduchna" localSheetId="7" hidden="1">{#N/A,#N/A,TRUE,"Krycí list"}</definedName>
    <definedName name="vzduchna" localSheetId="8" hidden="1">{#N/A,#N/A,TRUE,"Krycí list"}</definedName>
    <definedName name="vzduchna" localSheetId="9" hidden="1">{#N/A,#N/A,TRUE,"Krycí list"}</definedName>
    <definedName name="vzduchna" localSheetId="10" hidden="1">{#N/A,#N/A,TRUE,"Krycí list"}</definedName>
    <definedName name="vzduchna" localSheetId="11" hidden="1">{#N/A,#N/A,TRUE,"Krycí list"}</definedName>
    <definedName name="vzduchna" localSheetId="19" hidden="1">{#N/A,#N/A,TRUE,"Krycí list"}</definedName>
    <definedName name="vzduchna" localSheetId="14" hidden="1">{#N/A,#N/A,TRUE,"Krycí list"}</definedName>
    <definedName name="vzduchna" localSheetId="12" hidden="1">{#N/A,#N/A,TRUE,"Krycí list"}</definedName>
    <definedName name="vzduchna" localSheetId="13" hidden="1">{#N/A,#N/A,TRUE,"Krycí list"}</definedName>
    <definedName name="vzduchna" localSheetId="16" hidden="1">{#N/A,#N/A,TRUE,"Krycí list"}</definedName>
    <definedName name="vzduchna" localSheetId="17" hidden="1">{#N/A,#N/A,TRUE,"Krycí list"}</definedName>
    <definedName name="vzduchna" localSheetId="23" hidden="1">{#N/A,#N/A,TRUE,"Krycí list"}</definedName>
    <definedName name="vzduchna" localSheetId="24" hidden="1">{#N/A,#N/A,TRUE,"Krycí list"}</definedName>
    <definedName name="vzduchna" localSheetId="0" hidden="1">{#N/A,#N/A,TRUE,"Krycí list"}</definedName>
    <definedName name="vzduchna" localSheetId="21" hidden="1">{#N/A,#N/A,TRUE,"Krycí list"}</definedName>
    <definedName name="vzduchna" localSheetId="3" hidden="1">{#N/A,#N/A,TRUE,"Krycí list"}</definedName>
    <definedName name="vzduchna" localSheetId="18" hidden="1">{#N/A,#N/A,TRUE,"Krycí list"}</definedName>
    <definedName name="vzduchna" localSheetId="22" hidden="1">{#N/A,#N/A,TRUE,"Krycí list"}</definedName>
    <definedName name="vzduchna" localSheetId="2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4" hidden="1">{#N/A,#N/A,TRUE,"Krycí list"}</definedName>
    <definedName name="Weak" localSheetId="5" hidden="1">{#N/A,#N/A,TRUE,"Krycí list"}</definedName>
    <definedName name="Weak" localSheetId="6" hidden="1">{#N/A,#N/A,TRUE,"Krycí list"}</definedName>
    <definedName name="Weak" localSheetId="7" hidden="1">{#N/A,#N/A,TRUE,"Krycí list"}</definedName>
    <definedName name="Weak" localSheetId="8" hidden="1">{#N/A,#N/A,TRUE,"Krycí list"}</definedName>
    <definedName name="Weak" localSheetId="9" hidden="1">{#N/A,#N/A,TRUE,"Krycí list"}</definedName>
    <definedName name="Weak" localSheetId="10" hidden="1">{#N/A,#N/A,TRUE,"Krycí list"}</definedName>
    <definedName name="Weak" localSheetId="11" hidden="1">{#N/A,#N/A,TRUE,"Krycí list"}</definedName>
    <definedName name="Weak" localSheetId="19" hidden="1">{#N/A,#N/A,TRUE,"Krycí list"}</definedName>
    <definedName name="Weak" localSheetId="14" hidden="1">{#N/A,#N/A,TRUE,"Krycí list"}</definedName>
    <definedName name="Weak" localSheetId="12" hidden="1">{#N/A,#N/A,TRUE,"Krycí list"}</definedName>
    <definedName name="Weak" localSheetId="13" hidden="1">{#N/A,#N/A,TRUE,"Krycí list"}</definedName>
    <definedName name="Weak" localSheetId="16" hidden="1">{#N/A,#N/A,TRUE,"Krycí list"}</definedName>
    <definedName name="Weak" localSheetId="17" hidden="1">{#N/A,#N/A,TRUE,"Krycí list"}</definedName>
    <definedName name="Weak" localSheetId="23" hidden="1">{#N/A,#N/A,TRUE,"Krycí list"}</definedName>
    <definedName name="Weak" localSheetId="24" hidden="1">{#N/A,#N/A,TRUE,"Krycí list"}</definedName>
    <definedName name="Weak" localSheetId="0" hidden="1">{#N/A,#N/A,TRUE,"Krycí list"}</definedName>
    <definedName name="Weak" localSheetId="21" hidden="1">{#N/A,#N/A,TRUE,"Krycí list"}</definedName>
    <definedName name="Weak" localSheetId="3" hidden="1">{#N/A,#N/A,TRUE,"Krycí list"}</definedName>
    <definedName name="Weak" localSheetId="18" hidden="1">{#N/A,#N/A,TRUE,"Krycí list"}</definedName>
    <definedName name="Weak" localSheetId="22" hidden="1">{#N/A,#N/A,TRUE,"Krycí list"}</definedName>
    <definedName name="Weak" localSheetId="2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4" hidden="1">{#N/A,#N/A,TRUE,"Krycí list"}</definedName>
    <definedName name="wrn.Kontrolní._.rozpočet." localSheetId="5" hidden="1">{#N/A,#N/A,TRUE,"Krycí list"}</definedName>
    <definedName name="wrn.Kontrolní._.rozpočet." localSheetId="6" hidden="1">{#N/A,#N/A,TRUE,"Krycí list"}</definedName>
    <definedName name="wrn.Kontrolní._.rozpočet." localSheetId="7" hidden="1">{#N/A,#N/A,TRUE,"Krycí list"}</definedName>
    <definedName name="wrn.Kontrolní._.rozpočet." localSheetId="8" hidden="1">{#N/A,#N/A,TRUE,"Krycí list"}</definedName>
    <definedName name="wrn.Kontrolní._.rozpočet." localSheetId="9" hidden="1">{#N/A,#N/A,TRUE,"Krycí list"}</definedName>
    <definedName name="wrn.Kontrolní._.rozpočet." localSheetId="10" hidden="1">{#N/A,#N/A,TRUE,"Krycí list"}</definedName>
    <definedName name="wrn.Kontrolní._.rozpočet." localSheetId="11" hidden="1">{#N/A,#N/A,TRUE,"Krycí list"}</definedName>
    <definedName name="wrn.Kontrolní._.rozpočet." localSheetId="19" hidden="1">{#N/A,#N/A,TRUE,"Krycí list"}</definedName>
    <definedName name="wrn.Kontrolní._.rozpočet." localSheetId="14" hidden="1">{#N/A,#N/A,TRUE,"Krycí list"}</definedName>
    <definedName name="wrn.Kontrolní._.rozpočet." localSheetId="12" hidden="1">{#N/A,#N/A,TRUE,"Krycí list"}</definedName>
    <definedName name="wrn.Kontrolní._.rozpočet." localSheetId="13" hidden="1">{#N/A,#N/A,TRUE,"Krycí list"}</definedName>
    <definedName name="wrn.Kontrolní._.rozpočet." localSheetId="16" hidden="1">{#N/A,#N/A,TRUE,"Krycí list"}</definedName>
    <definedName name="wrn.Kontrolní._.rozpočet." localSheetId="17" hidden="1">{#N/A,#N/A,TRUE,"Krycí list"}</definedName>
    <definedName name="wrn.Kontrolní._.rozpočet." localSheetId="23" hidden="1">{#N/A,#N/A,TRUE,"Krycí list"}</definedName>
    <definedName name="wrn.Kontrolní._.rozpočet." localSheetId="24" hidden="1">{#N/A,#N/A,TRUE,"Krycí list"}</definedName>
    <definedName name="wrn.Kontrolní._.rozpočet." localSheetId="0" hidden="1">{#N/A,#N/A,TRUE,"Krycí list"}</definedName>
    <definedName name="wrn.Kontrolní._.rozpočet." localSheetId="21" hidden="1">{#N/A,#N/A,TRUE,"Krycí list"}</definedName>
    <definedName name="wrn.Kontrolní._.rozpočet." localSheetId="3" hidden="1">{#N/A,#N/A,TRUE,"Krycí list"}</definedName>
    <definedName name="wrn.Kontrolní._.rozpočet." localSheetId="18" hidden="1">{#N/A,#N/A,TRUE,"Krycí list"}</definedName>
    <definedName name="wrn.Kontrolní._.rozpočet." localSheetId="22" hidden="1">{#N/A,#N/A,TRUE,"Krycí list"}</definedName>
    <definedName name="wrn.Kontrolní._.rozpočet." localSheetId="2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4" hidden="1">{#N/A,#N/A,TRUE,"Krycí list"}</definedName>
    <definedName name="wrn.Kontrolní._.rozpoeet." localSheetId="5" hidden="1">{#N/A,#N/A,TRUE,"Krycí list"}</definedName>
    <definedName name="wrn.Kontrolní._.rozpoeet." localSheetId="6" hidden="1">{#N/A,#N/A,TRUE,"Krycí list"}</definedName>
    <definedName name="wrn.Kontrolní._.rozpoeet." localSheetId="7" hidden="1">{#N/A,#N/A,TRUE,"Krycí list"}</definedName>
    <definedName name="wrn.Kontrolní._.rozpoeet." localSheetId="8" hidden="1">{#N/A,#N/A,TRUE,"Krycí list"}</definedName>
    <definedName name="wrn.Kontrolní._.rozpoeet." localSheetId="9" hidden="1">{#N/A,#N/A,TRUE,"Krycí list"}</definedName>
    <definedName name="wrn.Kontrolní._.rozpoeet." localSheetId="10" hidden="1">{#N/A,#N/A,TRUE,"Krycí list"}</definedName>
    <definedName name="wrn.Kontrolní._.rozpoeet." localSheetId="11" hidden="1">{#N/A,#N/A,TRUE,"Krycí list"}</definedName>
    <definedName name="wrn.Kontrolní._.rozpoeet." localSheetId="19" hidden="1">{#N/A,#N/A,TRUE,"Krycí list"}</definedName>
    <definedName name="wrn.Kontrolní._.rozpoeet." localSheetId="14" hidden="1">{#N/A,#N/A,TRUE,"Krycí list"}</definedName>
    <definedName name="wrn.Kontrolní._.rozpoeet." localSheetId="12" hidden="1">{#N/A,#N/A,TRUE,"Krycí list"}</definedName>
    <definedName name="wrn.Kontrolní._.rozpoeet." localSheetId="13" hidden="1">{#N/A,#N/A,TRUE,"Krycí list"}</definedName>
    <definedName name="wrn.Kontrolní._.rozpoeet." localSheetId="16" hidden="1">{#N/A,#N/A,TRUE,"Krycí list"}</definedName>
    <definedName name="wrn.Kontrolní._.rozpoeet." localSheetId="17" hidden="1">{#N/A,#N/A,TRUE,"Krycí list"}</definedName>
    <definedName name="wrn.Kontrolní._.rozpoeet." localSheetId="23" hidden="1">{#N/A,#N/A,TRUE,"Krycí list"}</definedName>
    <definedName name="wrn.Kontrolní._.rozpoeet." localSheetId="24" hidden="1">{#N/A,#N/A,TRUE,"Krycí list"}</definedName>
    <definedName name="wrn.Kontrolní._.rozpoeet." localSheetId="0" hidden="1">{#N/A,#N/A,TRUE,"Krycí list"}</definedName>
    <definedName name="wrn.Kontrolní._.rozpoeet." localSheetId="21" hidden="1">{#N/A,#N/A,TRUE,"Krycí list"}</definedName>
    <definedName name="wrn.Kontrolní._.rozpoeet." localSheetId="3" hidden="1">{#N/A,#N/A,TRUE,"Krycí list"}</definedName>
    <definedName name="wrn.Kontrolní._.rozpoeet." localSheetId="18" hidden="1">{#N/A,#N/A,TRUE,"Krycí list"}</definedName>
    <definedName name="wrn.Kontrolní._.rozpoeet." localSheetId="22" hidden="1">{#N/A,#N/A,TRUE,"Krycí list"}</definedName>
    <definedName name="wrn.Kontrolní._.rozpoeet." localSheetId="2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 localSheetId="2">#REF!</definedName>
    <definedName name="Z" localSheetId="4">#REF!</definedName>
    <definedName name="Z" localSheetId="5">#REF!</definedName>
    <definedName name="Z" localSheetId="6">#REF!</definedName>
    <definedName name="Z" localSheetId="11">#REF!</definedName>
    <definedName name="Z" localSheetId="19">#REF!</definedName>
    <definedName name="Z" localSheetId="14">#REF!</definedName>
    <definedName name="Z" localSheetId="12">#REF!</definedName>
    <definedName name="Z" localSheetId="13">#REF!</definedName>
    <definedName name="Z" localSheetId="16">#REF!</definedName>
    <definedName name="Z" localSheetId="17">#REF!</definedName>
    <definedName name="Z" localSheetId="23">#REF!</definedName>
    <definedName name="Z" localSheetId="21">#REF!</definedName>
    <definedName name="Z" localSheetId="3">#REF!</definedName>
    <definedName name="Z" localSheetId="18">#REF!</definedName>
    <definedName name="Z" localSheetId="22">#REF!</definedName>
    <definedName name="Z" localSheetId="1">#REF!</definedName>
    <definedName name="Z">#REF!</definedName>
    <definedName name="zahrnsazby" localSheetId="2">#REF!</definedName>
    <definedName name="zahrnsazby" localSheetId="4">#REF!</definedName>
    <definedName name="zahrnsazby" localSheetId="5">#REF!</definedName>
    <definedName name="zahrnsazby" localSheetId="6">#REF!</definedName>
    <definedName name="zahrnsazby" localSheetId="7">#REF!</definedName>
    <definedName name="zahrnsazby" localSheetId="8">#REF!</definedName>
    <definedName name="zahrnsazby" localSheetId="9">#REF!</definedName>
    <definedName name="zahrnsazby" localSheetId="10">#REF!</definedName>
    <definedName name="zahrnsazby" localSheetId="11">#REF!</definedName>
    <definedName name="zahrnsazby" localSheetId="19">#REF!</definedName>
    <definedName name="zahrnsazby" localSheetId="14">#REF!</definedName>
    <definedName name="zahrnsazby" localSheetId="12">#REF!</definedName>
    <definedName name="zahrnsazby" localSheetId="13">#REF!</definedName>
    <definedName name="zahrnsazby" localSheetId="16">#REF!</definedName>
    <definedName name="zahrnsazby" localSheetId="17">#REF!</definedName>
    <definedName name="zahrnsazby" localSheetId="23">#REF!</definedName>
    <definedName name="zahrnsazby" localSheetId="24">#REF!</definedName>
    <definedName name="zahrnsazby" localSheetId="21">#REF!</definedName>
    <definedName name="zahrnsazby" localSheetId="3">#REF!</definedName>
    <definedName name="zahrnsazby" localSheetId="18">#REF!</definedName>
    <definedName name="zahrnsazby" localSheetId="22">#REF!</definedName>
    <definedName name="zahrnsazby" localSheetId="20">#REF!</definedName>
    <definedName name="zahrnsazby" localSheetId="1">#REF!</definedName>
    <definedName name="zahrnsazby">#REF!</definedName>
    <definedName name="zahrnslevy" localSheetId="2">#REF!</definedName>
    <definedName name="zahrnslevy" localSheetId="4">#REF!</definedName>
    <definedName name="zahrnslevy" localSheetId="5">#REF!</definedName>
    <definedName name="zahrnslevy" localSheetId="6">#REF!</definedName>
    <definedName name="zahrnslevy" localSheetId="7">#REF!</definedName>
    <definedName name="zahrnslevy" localSheetId="8">#REF!</definedName>
    <definedName name="zahrnslevy" localSheetId="9">#REF!</definedName>
    <definedName name="zahrnslevy" localSheetId="10">#REF!</definedName>
    <definedName name="zahrnslevy" localSheetId="11">#REF!</definedName>
    <definedName name="zahrnslevy" localSheetId="19">#REF!</definedName>
    <definedName name="zahrnslevy" localSheetId="14">#REF!</definedName>
    <definedName name="zahrnslevy" localSheetId="12">#REF!</definedName>
    <definedName name="zahrnslevy" localSheetId="13">#REF!</definedName>
    <definedName name="zahrnslevy" localSheetId="23">#REF!</definedName>
    <definedName name="zahrnslevy" localSheetId="24">#REF!</definedName>
    <definedName name="zahrnslevy" localSheetId="21">#REF!</definedName>
    <definedName name="zahrnslevy" localSheetId="3">#REF!</definedName>
    <definedName name="zahrnslevy" localSheetId="18">#REF!</definedName>
    <definedName name="zahrnslevy" localSheetId="22">#REF!</definedName>
    <definedName name="zahrnslevy" localSheetId="20">#REF!</definedName>
    <definedName name="zahrnslevy" localSheetId="1">#REF!</definedName>
    <definedName name="zahrnslevy">#REF!</definedName>
    <definedName name="Zakazka" localSheetId="2">#REF!</definedName>
    <definedName name="Zakazka" localSheetId="4">#REF!</definedName>
    <definedName name="Zakazka" localSheetId="5">#REF!</definedName>
    <definedName name="Zakazka" localSheetId="6">#REF!</definedName>
    <definedName name="Zakazka" localSheetId="7">#REF!</definedName>
    <definedName name="Zakazka" localSheetId="8">#REF!</definedName>
    <definedName name="Zakazka" localSheetId="9">#REF!</definedName>
    <definedName name="Zakazka" localSheetId="10">#REF!</definedName>
    <definedName name="Zakazka" localSheetId="11">#REF!</definedName>
    <definedName name="Zakazka" localSheetId="19">#REF!</definedName>
    <definedName name="Zakazka" localSheetId="14">#REF!</definedName>
    <definedName name="Zakazka" localSheetId="13">#REF!</definedName>
    <definedName name="Zakazka" localSheetId="23">#REF!</definedName>
    <definedName name="Zakazka" localSheetId="24">#REF!</definedName>
    <definedName name="Zakazka" localSheetId="0">#REF!</definedName>
    <definedName name="Zakazka" localSheetId="21">#REF!</definedName>
    <definedName name="Zakazka" localSheetId="3">#REF!</definedName>
    <definedName name="Zakazka" localSheetId="18">#REF!</definedName>
    <definedName name="Zakazka" localSheetId="22">#REF!</definedName>
    <definedName name="Zakazka" localSheetId="20">#REF!</definedName>
    <definedName name="Zakazka" localSheetId="1">#REF!</definedName>
    <definedName name="Zakazka">#REF!</definedName>
    <definedName name="Zaklad22" localSheetId="2">#REF!</definedName>
    <definedName name="Zaklad22" localSheetId="4">#REF!</definedName>
    <definedName name="Zaklad22" localSheetId="5">#REF!</definedName>
    <definedName name="Zaklad22" localSheetId="6">#REF!</definedName>
    <definedName name="Zaklad22" localSheetId="7">#REF!</definedName>
    <definedName name="Zaklad22" localSheetId="8">#REF!</definedName>
    <definedName name="Zaklad22" localSheetId="10">#REF!</definedName>
    <definedName name="Zaklad22" localSheetId="11">#REF!</definedName>
    <definedName name="Zaklad22" localSheetId="19">#REF!</definedName>
    <definedName name="Zaklad22" localSheetId="14">#REF!</definedName>
    <definedName name="Zaklad22" localSheetId="13">#REF!</definedName>
    <definedName name="Zaklad22" localSheetId="23">#REF!</definedName>
    <definedName name="Zaklad22" localSheetId="24">#REF!</definedName>
    <definedName name="Zaklad22" localSheetId="0">#REF!</definedName>
    <definedName name="Zaklad22" localSheetId="21">#REF!</definedName>
    <definedName name="Zaklad22" localSheetId="3">#REF!</definedName>
    <definedName name="Zaklad22" localSheetId="18">#REF!</definedName>
    <definedName name="Zaklad22" localSheetId="22">#REF!</definedName>
    <definedName name="Zaklad22" localSheetId="20">#REF!</definedName>
    <definedName name="Zaklad22" localSheetId="1">#REF!</definedName>
    <definedName name="Zaklad22">#REF!</definedName>
    <definedName name="Zaklad5" localSheetId="2">#REF!</definedName>
    <definedName name="Zaklad5" localSheetId="4">#REF!</definedName>
    <definedName name="Zaklad5" localSheetId="5">#REF!</definedName>
    <definedName name="Zaklad5" localSheetId="6">#REF!</definedName>
    <definedName name="Zaklad5" localSheetId="7">#REF!</definedName>
    <definedName name="Zaklad5" localSheetId="8">#REF!</definedName>
    <definedName name="Zaklad5" localSheetId="10">#REF!</definedName>
    <definedName name="Zaklad5" localSheetId="11">#REF!</definedName>
    <definedName name="Zaklad5" localSheetId="19">#REF!</definedName>
    <definedName name="Zaklad5" localSheetId="14">#REF!</definedName>
    <definedName name="Zaklad5" localSheetId="13">#REF!</definedName>
    <definedName name="Zaklad5" localSheetId="23">#REF!</definedName>
    <definedName name="Zaklad5" localSheetId="24">#REF!</definedName>
    <definedName name="Zaklad5" localSheetId="0">#REF!</definedName>
    <definedName name="Zaklad5" localSheetId="21">#REF!</definedName>
    <definedName name="Zaklad5" localSheetId="3">#REF!</definedName>
    <definedName name="Zaklad5" localSheetId="18">#REF!</definedName>
    <definedName name="Zaklad5" localSheetId="22">#REF!</definedName>
    <definedName name="Zaklad5" localSheetId="20">#REF!</definedName>
    <definedName name="Zaklad5" localSheetId="1">#REF!</definedName>
    <definedName name="Zaklad5">#REF!</definedName>
    <definedName name="Zhotovitel" localSheetId="2">#REF!</definedName>
    <definedName name="Zhotovitel" localSheetId="4">#REF!</definedName>
    <definedName name="Zhotovitel" localSheetId="5">#REF!</definedName>
    <definedName name="Zhotovitel" localSheetId="6">#REF!</definedName>
    <definedName name="Zhotovitel" localSheetId="7">#REF!</definedName>
    <definedName name="Zhotovitel" localSheetId="8">#REF!</definedName>
    <definedName name="Zhotovitel" localSheetId="9">#REF!</definedName>
    <definedName name="Zhotovitel" localSheetId="10">#REF!</definedName>
    <definedName name="Zhotovitel" localSheetId="11">#REF!</definedName>
    <definedName name="Zhotovitel" localSheetId="19">#REF!</definedName>
    <definedName name="Zhotovitel" localSheetId="14">#REF!</definedName>
    <definedName name="Zhotovitel" localSheetId="13">#REF!</definedName>
    <definedName name="Zhotovitel" localSheetId="23">#REF!</definedName>
    <definedName name="Zhotovitel" localSheetId="24">#REF!</definedName>
    <definedName name="Zhotovitel" localSheetId="0">KL!$D$7</definedName>
    <definedName name="Zhotovitel" localSheetId="21">#REF!</definedName>
    <definedName name="Zhotovitel" localSheetId="3">#REF!</definedName>
    <definedName name="Zhotovitel" localSheetId="18">#REF!</definedName>
    <definedName name="Zhotovitel" localSheetId="22">#REF!</definedName>
    <definedName name="Zhotovitel" localSheetId="20">#REF!</definedName>
    <definedName name="Zhotovitel" localSheetId="1">#REF!</definedName>
    <definedName name="Zhotovitel">#REF!</definedName>
  </definedNames>
  <calcPr calcId="181029" concurrentCalc="0"/>
</workbook>
</file>

<file path=xl/calcChain.xml><?xml version="1.0" encoding="utf-8"?>
<calcChain xmlns="http://schemas.openxmlformats.org/spreadsheetml/2006/main">
  <c r="H246" i="6" l="1"/>
  <c r="H858" i="6"/>
  <c r="H825" i="6"/>
  <c r="H815" i="6"/>
  <c r="H605" i="6"/>
  <c r="H444" i="6"/>
  <c r="H353" i="6"/>
  <c r="H266" i="6"/>
  <c r="H247" i="6"/>
  <c r="H239" i="6"/>
  <c r="H190" i="6"/>
  <c r="H171" i="6"/>
  <c r="H156" i="6"/>
  <c r="H118" i="6"/>
  <c r="H72" i="6"/>
  <c r="H9" i="6"/>
  <c r="F489" i="6"/>
  <c r="H489" i="6"/>
  <c r="F485" i="6"/>
  <c r="F496" i="6"/>
  <c r="H485" i="6"/>
  <c r="F854" i="6"/>
  <c r="F853" i="6"/>
  <c r="H853" i="6"/>
  <c r="F864" i="6"/>
  <c r="F863" i="6"/>
  <c r="F862" i="6"/>
  <c r="H862" i="6"/>
  <c r="F596" i="6"/>
  <c r="F595" i="6"/>
  <c r="H595" i="6"/>
  <c r="F598" i="6"/>
  <c r="H598" i="6"/>
  <c r="H601" i="6"/>
  <c r="H602" i="6"/>
  <c r="H594" i="6"/>
  <c r="C22" i="7"/>
  <c r="F234" i="6"/>
  <c r="H234" i="6"/>
  <c r="F249" i="6"/>
  <c r="F248" i="6"/>
  <c r="H248" i="6"/>
  <c r="F250" i="6"/>
  <c r="F252" i="6"/>
  <c r="H252" i="6"/>
  <c r="F253" i="6"/>
  <c r="H253" i="6"/>
  <c r="G250" i="6"/>
  <c r="H250" i="6"/>
  <c r="F256" i="6"/>
  <c r="F258" i="6"/>
  <c r="H258" i="6"/>
  <c r="F259" i="6"/>
  <c r="H259" i="6"/>
  <c r="G256" i="6"/>
  <c r="H256" i="6"/>
  <c r="H262" i="6"/>
  <c r="F263" i="6"/>
  <c r="H263" i="6"/>
  <c r="F281" i="6"/>
  <c r="F267" i="6"/>
  <c r="F269" i="6"/>
  <c r="H269" i="6"/>
  <c r="F270" i="6"/>
  <c r="H270" i="6"/>
  <c r="F271" i="6"/>
  <c r="H271" i="6"/>
  <c r="F272" i="6"/>
  <c r="H272" i="6"/>
  <c r="F273" i="6"/>
  <c r="H273" i="6"/>
  <c r="F274" i="6"/>
  <c r="H274" i="6"/>
  <c r="F275" i="6"/>
  <c r="H275" i="6"/>
  <c r="F276" i="6"/>
  <c r="H276" i="6"/>
  <c r="F277" i="6"/>
  <c r="H277" i="6"/>
  <c r="F278" i="6"/>
  <c r="H278" i="6"/>
  <c r="F279" i="6"/>
  <c r="H279" i="6"/>
  <c r="F280" i="6"/>
  <c r="H280" i="6"/>
  <c r="G267" i="6"/>
  <c r="H267" i="6"/>
  <c r="F285" i="6"/>
  <c r="F287" i="6"/>
  <c r="H287" i="6"/>
  <c r="F288" i="6"/>
  <c r="H288" i="6"/>
  <c r="F289" i="6"/>
  <c r="H289" i="6"/>
  <c r="F290" i="6"/>
  <c r="H290" i="6"/>
  <c r="F291" i="6"/>
  <c r="H291" i="6"/>
  <c r="F292" i="6"/>
  <c r="H292" i="6"/>
  <c r="F293" i="6"/>
  <c r="H293" i="6"/>
  <c r="F294" i="6"/>
  <c r="H294" i="6"/>
  <c r="F295" i="6"/>
  <c r="H295" i="6"/>
  <c r="G285" i="6"/>
  <c r="H285" i="6"/>
  <c r="F300" i="6"/>
  <c r="F302" i="6"/>
  <c r="H302" i="6"/>
  <c r="F303" i="6"/>
  <c r="H303" i="6"/>
  <c r="F304" i="6"/>
  <c r="H304" i="6"/>
  <c r="F305" i="6"/>
  <c r="H305" i="6"/>
  <c r="F306" i="6"/>
  <c r="H306" i="6"/>
  <c r="F307" i="6"/>
  <c r="H307" i="6"/>
  <c r="F308" i="6"/>
  <c r="H308" i="6"/>
  <c r="F309" i="6"/>
  <c r="H309" i="6"/>
  <c r="F310" i="6"/>
  <c r="H310" i="6"/>
  <c r="F311" i="6"/>
  <c r="H311" i="6"/>
  <c r="G300" i="6"/>
  <c r="H300" i="6"/>
  <c r="F316" i="6"/>
  <c r="F318" i="6"/>
  <c r="H318" i="6"/>
  <c r="F319" i="6"/>
  <c r="H319" i="6"/>
  <c r="F320" i="6"/>
  <c r="H320" i="6"/>
  <c r="F321" i="6"/>
  <c r="H321" i="6"/>
  <c r="F322" i="6"/>
  <c r="H322" i="6"/>
  <c r="F323" i="6"/>
  <c r="H323" i="6"/>
  <c r="F324" i="6"/>
  <c r="H324" i="6"/>
  <c r="F325" i="6"/>
  <c r="H325" i="6"/>
  <c r="F326" i="6"/>
  <c r="H326" i="6"/>
  <c r="F327" i="6"/>
  <c r="H327" i="6"/>
  <c r="G316" i="6"/>
  <c r="H316" i="6"/>
  <c r="F332" i="6"/>
  <c r="F334" i="6"/>
  <c r="H334" i="6"/>
  <c r="F335" i="6"/>
  <c r="H335" i="6"/>
  <c r="F336" i="6"/>
  <c r="H336" i="6"/>
  <c r="F337" i="6"/>
  <c r="H337" i="6"/>
  <c r="F338" i="6"/>
  <c r="H338" i="6"/>
  <c r="F339" i="6"/>
  <c r="H339" i="6"/>
  <c r="F341" i="6"/>
  <c r="H341" i="6"/>
  <c r="F342" i="6"/>
  <c r="H342" i="6"/>
  <c r="F343" i="6"/>
  <c r="H343" i="6"/>
  <c r="F344" i="6"/>
  <c r="H344" i="6"/>
  <c r="G332" i="6"/>
  <c r="H332" i="6"/>
  <c r="H349" i="6"/>
  <c r="F350" i="6"/>
  <c r="H350" i="6"/>
  <c r="F361" i="6"/>
  <c r="F354" i="6"/>
  <c r="F357" i="6"/>
  <c r="H357" i="6"/>
  <c r="F358" i="6"/>
  <c r="H358" i="6"/>
  <c r="F359" i="6"/>
  <c r="H359" i="6"/>
  <c r="F360" i="6"/>
  <c r="H360" i="6"/>
  <c r="G354" i="6"/>
  <c r="H354" i="6"/>
  <c r="F371" i="6"/>
  <c r="F363" i="6"/>
  <c r="F366" i="6"/>
  <c r="H366" i="6"/>
  <c r="F367" i="6"/>
  <c r="H367" i="6"/>
  <c r="F368" i="6"/>
  <c r="H368" i="6"/>
  <c r="F369" i="6"/>
  <c r="H369" i="6"/>
  <c r="F370" i="6"/>
  <c r="H370" i="6"/>
  <c r="G363" i="6"/>
  <c r="H363" i="6"/>
  <c r="F380" i="6"/>
  <c r="F373" i="6"/>
  <c r="F376" i="6"/>
  <c r="H376" i="6"/>
  <c r="F377" i="6"/>
  <c r="H377" i="6"/>
  <c r="F378" i="6"/>
  <c r="H378" i="6"/>
  <c r="F379" i="6"/>
  <c r="H379" i="6"/>
  <c r="G373" i="6"/>
  <c r="H373" i="6"/>
  <c r="F382" i="6"/>
  <c r="F385" i="6"/>
  <c r="H385" i="6"/>
  <c r="F386" i="6"/>
  <c r="H386" i="6"/>
  <c r="F387" i="6"/>
  <c r="H387" i="6"/>
  <c r="G382" i="6"/>
  <c r="H382" i="6"/>
  <c r="F390" i="6"/>
  <c r="F393" i="6"/>
  <c r="H393" i="6"/>
  <c r="F394" i="6"/>
  <c r="H394" i="6"/>
  <c r="F395" i="6"/>
  <c r="H395" i="6"/>
  <c r="G390" i="6"/>
  <c r="H390" i="6"/>
  <c r="F405" i="6"/>
  <c r="F398" i="6"/>
  <c r="F401" i="6"/>
  <c r="H401" i="6"/>
  <c r="F402" i="6"/>
  <c r="H402" i="6"/>
  <c r="F403" i="6"/>
  <c r="H403" i="6"/>
  <c r="F404" i="6"/>
  <c r="H404" i="6"/>
  <c r="G398" i="6"/>
  <c r="H398" i="6"/>
  <c r="F413" i="6"/>
  <c r="F407" i="6"/>
  <c r="F410" i="6"/>
  <c r="H410" i="6"/>
  <c r="F411" i="6"/>
  <c r="H411" i="6"/>
  <c r="F412" i="6"/>
  <c r="H412" i="6"/>
  <c r="G407" i="6"/>
  <c r="H407" i="6"/>
  <c r="F423" i="6"/>
  <c r="F416" i="6"/>
  <c r="F419" i="6"/>
  <c r="H419" i="6"/>
  <c r="F420" i="6"/>
  <c r="H420" i="6"/>
  <c r="F421" i="6"/>
  <c r="H421" i="6"/>
  <c r="F422" i="6"/>
  <c r="H422" i="6"/>
  <c r="G416" i="6"/>
  <c r="H416" i="6"/>
  <c r="F430" i="6"/>
  <c r="F425" i="6"/>
  <c r="F428" i="6"/>
  <c r="H428" i="6"/>
  <c r="F429" i="6"/>
  <c r="H429" i="6"/>
  <c r="G425" i="6"/>
  <c r="H425" i="6"/>
  <c r="H432" i="6"/>
  <c r="F433" i="6"/>
  <c r="H433" i="6"/>
  <c r="F438" i="6"/>
  <c r="F437" i="6"/>
  <c r="H437" i="6"/>
  <c r="H440" i="6"/>
  <c r="F441" i="6"/>
  <c r="H441" i="6"/>
  <c r="H436" i="6"/>
  <c r="F449" i="6"/>
  <c r="F450" i="6"/>
  <c r="F445" i="6"/>
  <c r="H445" i="6"/>
  <c r="F458" i="6"/>
  <c r="F459" i="6"/>
  <c r="F454" i="6"/>
  <c r="H454" i="6"/>
  <c r="F467" i="6"/>
  <c r="F463" i="6"/>
  <c r="H463" i="6"/>
  <c r="F476" i="6"/>
  <c r="F477" i="6"/>
  <c r="F479" i="6"/>
  <c r="F481" i="6"/>
  <c r="F471" i="6"/>
  <c r="H471" i="6"/>
  <c r="F493" i="6"/>
  <c r="H493" i="6"/>
  <c r="F503" i="6"/>
  <c r="F500" i="6"/>
  <c r="H500" i="6"/>
  <c r="F511" i="6"/>
  <c r="F512" i="6"/>
  <c r="F507" i="6"/>
  <c r="H507" i="6"/>
  <c r="F520" i="6"/>
  <c r="F516" i="6"/>
  <c r="H516" i="6"/>
  <c r="F528" i="6"/>
  <c r="F529" i="6"/>
  <c r="F524" i="6"/>
  <c r="H524" i="6"/>
  <c r="F535" i="6"/>
  <c r="F536" i="6"/>
  <c r="F533" i="6"/>
  <c r="H533" i="6"/>
  <c r="F540" i="6"/>
  <c r="F538" i="6"/>
  <c r="H538" i="6"/>
  <c r="F544" i="6"/>
  <c r="F545" i="6"/>
  <c r="F542" i="6"/>
  <c r="H542" i="6"/>
  <c r="F550" i="6"/>
  <c r="F551" i="6"/>
  <c r="F548" i="6"/>
  <c r="H548" i="6"/>
  <c r="F556" i="6"/>
  <c r="F557" i="6"/>
  <c r="F554" i="6"/>
  <c r="H554" i="6"/>
  <c r="F562" i="6"/>
  <c r="F563" i="6"/>
  <c r="F560" i="6"/>
  <c r="H560" i="6"/>
  <c r="F568" i="6"/>
  <c r="F566" i="6"/>
  <c r="H566" i="6"/>
  <c r="F573" i="6"/>
  <c r="F571" i="6"/>
  <c r="H571" i="6"/>
  <c r="F578" i="6"/>
  <c r="F579" i="6"/>
  <c r="F580" i="6"/>
  <c r="F576" i="6"/>
  <c r="H576" i="6"/>
  <c r="F581" i="6"/>
  <c r="H581" i="6"/>
  <c r="F586" i="6"/>
  <c r="F587" i="6"/>
  <c r="F585" i="6"/>
  <c r="H585" i="6"/>
  <c r="F589" i="6"/>
  <c r="F588" i="6"/>
  <c r="H588" i="6"/>
  <c r="H590" i="6"/>
  <c r="F591" i="6"/>
  <c r="H591" i="6"/>
  <c r="F614" i="6"/>
  <c r="F606" i="6"/>
  <c r="F609" i="6"/>
  <c r="H609" i="6"/>
  <c r="F610" i="6"/>
  <c r="H610" i="6"/>
  <c r="F611" i="6"/>
  <c r="H611" i="6"/>
  <c r="F612" i="6"/>
  <c r="H612" i="6"/>
  <c r="F613" i="6"/>
  <c r="H613" i="6"/>
  <c r="G606" i="6"/>
  <c r="H606" i="6"/>
  <c r="F625" i="6"/>
  <c r="F618" i="6"/>
  <c r="F621" i="6"/>
  <c r="H621" i="6"/>
  <c r="F622" i="6"/>
  <c r="H622" i="6"/>
  <c r="F623" i="6"/>
  <c r="H623" i="6"/>
  <c r="F624" i="6"/>
  <c r="H624" i="6"/>
  <c r="G618" i="6"/>
  <c r="H618" i="6"/>
  <c r="F637" i="6"/>
  <c r="F629" i="6"/>
  <c r="F632" i="6"/>
  <c r="H632" i="6"/>
  <c r="F633" i="6"/>
  <c r="H633" i="6"/>
  <c r="F634" i="6"/>
  <c r="H634" i="6"/>
  <c r="F635" i="6"/>
  <c r="H635" i="6"/>
  <c r="F636" i="6"/>
  <c r="H636" i="6"/>
  <c r="G629" i="6"/>
  <c r="H629" i="6"/>
  <c r="F641" i="6"/>
  <c r="F644" i="6"/>
  <c r="H644" i="6"/>
  <c r="F645" i="6"/>
  <c r="H645" i="6"/>
  <c r="F646" i="6"/>
  <c r="H646" i="6"/>
  <c r="G641" i="6"/>
  <c r="H641" i="6"/>
  <c r="F659" i="6"/>
  <c r="F651" i="6"/>
  <c r="F654" i="6"/>
  <c r="H654" i="6"/>
  <c r="F655" i="6"/>
  <c r="H655" i="6"/>
  <c r="F656" i="6"/>
  <c r="H656" i="6"/>
  <c r="F657" i="6"/>
  <c r="H657" i="6"/>
  <c r="F658" i="6"/>
  <c r="H658" i="6"/>
  <c r="G651" i="6"/>
  <c r="H651" i="6"/>
  <c r="H663" i="6"/>
  <c r="F664" i="6"/>
  <c r="H664" i="6"/>
  <c r="F675" i="6"/>
  <c r="F668" i="6"/>
  <c r="F671" i="6"/>
  <c r="H671" i="6"/>
  <c r="F672" i="6"/>
  <c r="H672" i="6"/>
  <c r="F673" i="6"/>
  <c r="H673" i="6"/>
  <c r="F674" i="6"/>
  <c r="H674" i="6"/>
  <c r="G668" i="6"/>
  <c r="H668" i="6"/>
  <c r="F685" i="6"/>
  <c r="F678" i="6"/>
  <c r="F681" i="6"/>
  <c r="H681" i="6"/>
  <c r="F682" i="6"/>
  <c r="H682" i="6"/>
  <c r="F683" i="6"/>
  <c r="H683" i="6"/>
  <c r="F684" i="6"/>
  <c r="H684" i="6"/>
  <c r="G678" i="6"/>
  <c r="H678" i="6"/>
  <c r="F688" i="6"/>
  <c r="F691" i="6"/>
  <c r="H691" i="6"/>
  <c r="F692" i="6"/>
  <c r="H692" i="6"/>
  <c r="F693" i="6"/>
  <c r="H693" i="6"/>
  <c r="F694" i="6"/>
  <c r="H694" i="6"/>
  <c r="F695" i="6"/>
  <c r="H695" i="6"/>
  <c r="G688" i="6"/>
  <c r="H688" i="6"/>
  <c r="F703" i="6"/>
  <c r="F699" i="6"/>
  <c r="F702" i="6"/>
  <c r="H702" i="6"/>
  <c r="G699" i="6"/>
  <c r="H699" i="6"/>
  <c r="F711" i="6"/>
  <c r="F706" i="6"/>
  <c r="F709" i="6"/>
  <c r="H709" i="6"/>
  <c r="F710" i="6"/>
  <c r="H710" i="6"/>
  <c r="G706" i="6"/>
  <c r="H706" i="6"/>
  <c r="F722" i="6"/>
  <c r="F714" i="6"/>
  <c r="F717" i="6"/>
  <c r="H717" i="6"/>
  <c r="F718" i="6"/>
  <c r="H718" i="6"/>
  <c r="F719" i="6"/>
  <c r="H719" i="6"/>
  <c r="F720" i="6"/>
  <c r="H720" i="6"/>
  <c r="F721" i="6"/>
  <c r="H721" i="6"/>
  <c r="G714" i="6"/>
  <c r="H714" i="6"/>
  <c r="F732" i="6"/>
  <c r="F725" i="6"/>
  <c r="F729" i="6"/>
  <c r="H729" i="6"/>
  <c r="F730" i="6"/>
  <c r="H730" i="6"/>
  <c r="F731" i="6"/>
  <c r="H731" i="6"/>
  <c r="G725" i="6"/>
  <c r="H725" i="6"/>
  <c r="F742" i="6"/>
  <c r="F735" i="6"/>
  <c r="F739" i="6"/>
  <c r="H739" i="6"/>
  <c r="F740" i="6"/>
  <c r="H740" i="6"/>
  <c r="F741" i="6"/>
  <c r="H741" i="6"/>
  <c r="G735" i="6"/>
  <c r="H735" i="6"/>
  <c r="H745" i="6"/>
  <c r="F746" i="6"/>
  <c r="H746" i="6"/>
  <c r="H667" i="6"/>
  <c r="F755" i="6"/>
  <c r="F750" i="6"/>
  <c r="F753" i="6"/>
  <c r="H753" i="6"/>
  <c r="F754" i="6"/>
  <c r="H754" i="6"/>
  <c r="G750" i="6"/>
  <c r="H750" i="6"/>
  <c r="F763" i="6"/>
  <c r="F758" i="6"/>
  <c r="F761" i="6"/>
  <c r="H761" i="6"/>
  <c r="F762" i="6"/>
  <c r="H762" i="6"/>
  <c r="G758" i="6"/>
  <c r="H758" i="6"/>
  <c r="F766" i="6"/>
  <c r="F769" i="6"/>
  <c r="H769" i="6"/>
  <c r="F770" i="6"/>
  <c r="H770" i="6"/>
  <c r="F771" i="6"/>
  <c r="H771" i="6"/>
  <c r="F772" i="6"/>
  <c r="H772" i="6"/>
  <c r="F773" i="6"/>
  <c r="H773" i="6"/>
  <c r="F774" i="6"/>
  <c r="H774" i="6"/>
  <c r="G766" i="6"/>
  <c r="H766" i="6"/>
  <c r="F778" i="6"/>
  <c r="F781" i="6"/>
  <c r="H781" i="6"/>
  <c r="G778" i="6"/>
  <c r="H778" i="6"/>
  <c r="F785" i="6"/>
  <c r="F788" i="6"/>
  <c r="H788" i="6"/>
  <c r="F789" i="6"/>
  <c r="H789" i="6"/>
  <c r="F790" i="6"/>
  <c r="H790" i="6"/>
  <c r="F791" i="6"/>
  <c r="H791" i="6"/>
  <c r="F792" i="6"/>
  <c r="H792" i="6"/>
  <c r="F793" i="6"/>
  <c r="H793" i="6"/>
  <c r="G785" i="6"/>
  <c r="H785" i="6"/>
  <c r="H797" i="6"/>
  <c r="F798" i="6"/>
  <c r="H798" i="6"/>
  <c r="H749" i="6"/>
  <c r="F803" i="6"/>
  <c r="F802" i="6"/>
  <c r="H802" i="6"/>
  <c r="F808" i="6"/>
  <c r="F804" i="6"/>
  <c r="F806" i="6"/>
  <c r="H806" i="6"/>
  <c r="F807" i="6"/>
  <c r="H807" i="6"/>
  <c r="G804" i="6"/>
  <c r="H804" i="6"/>
  <c r="F810" i="6"/>
  <c r="H810" i="6"/>
  <c r="H811" i="6"/>
  <c r="F812" i="6"/>
  <c r="H812" i="6"/>
  <c r="H801" i="6"/>
  <c r="F816" i="6"/>
  <c r="H816" i="6"/>
  <c r="F822" i="6"/>
  <c r="H822" i="6"/>
  <c r="F826" i="6"/>
  <c r="H826" i="6"/>
  <c r="F831" i="6"/>
  <c r="H831" i="6"/>
  <c r="F835" i="6"/>
  <c r="H835" i="6"/>
  <c r="F841" i="6"/>
  <c r="F842" i="6"/>
  <c r="F843" i="6"/>
  <c r="F845" i="6"/>
  <c r="F846" i="6"/>
  <c r="F847" i="6"/>
  <c r="F839" i="6"/>
  <c r="H839" i="6"/>
  <c r="F850" i="6"/>
  <c r="F851" i="6"/>
  <c r="F849" i="6"/>
  <c r="H849" i="6"/>
  <c r="F855" i="6"/>
  <c r="H855" i="6"/>
  <c r="F859" i="6"/>
  <c r="H866" i="6"/>
  <c r="F867" i="6"/>
  <c r="H867" i="6"/>
  <c r="F174" i="6"/>
  <c r="F175" i="6"/>
  <c r="F176" i="6"/>
  <c r="F178" i="6"/>
  <c r="F179" i="6"/>
  <c r="F180" i="6"/>
  <c r="F172" i="6"/>
  <c r="F150" i="6"/>
  <c r="F154" i="6"/>
  <c r="F151" i="6"/>
  <c r="F155" i="6"/>
  <c r="F152" i="6"/>
  <c r="H152" i="6"/>
  <c r="F148" i="6"/>
  <c r="H148" i="6"/>
  <c r="F121" i="6"/>
  <c r="F122" i="6"/>
  <c r="F123" i="6"/>
  <c r="F119" i="6"/>
  <c r="H119" i="6"/>
  <c r="F126" i="6"/>
  <c r="F124" i="6"/>
  <c r="H124" i="6"/>
  <c r="F127" i="6"/>
  <c r="H127" i="6"/>
  <c r="F131" i="6"/>
  <c r="H131" i="6"/>
  <c r="F139" i="6"/>
  <c r="F140" i="6"/>
  <c r="F137" i="6"/>
  <c r="H137" i="6"/>
  <c r="F141" i="6"/>
  <c r="H141" i="6"/>
  <c r="G72" i="20"/>
  <c r="F87" i="20"/>
  <c r="H87" i="20"/>
  <c r="H78" i="20"/>
  <c r="F80" i="20"/>
  <c r="H80" i="20"/>
  <c r="F70" i="20"/>
  <c r="H70" i="20"/>
  <c r="H60" i="20"/>
  <c r="H62" i="20"/>
  <c r="H63" i="20"/>
  <c r="H64" i="20"/>
  <c r="H65" i="20"/>
  <c r="H66" i="20"/>
  <c r="H67" i="20"/>
  <c r="H68" i="20"/>
  <c r="H69" i="20"/>
  <c r="F58" i="20"/>
  <c r="G58" i="20"/>
  <c r="F56" i="20"/>
  <c r="F43" i="20"/>
  <c r="F29" i="20"/>
  <c r="H56" i="20"/>
  <c r="H47" i="20"/>
  <c r="H49" i="20"/>
  <c r="H50" i="20"/>
  <c r="H51" i="20"/>
  <c r="H52" i="20"/>
  <c r="H53" i="20"/>
  <c r="H54" i="20"/>
  <c r="H55" i="20"/>
  <c r="F45" i="20"/>
  <c r="G45" i="20"/>
  <c r="H33" i="20"/>
  <c r="H35" i="20"/>
  <c r="H36" i="20"/>
  <c r="H37" i="20"/>
  <c r="H38" i="20"/>
  <c r="H39" i="20"/>
  <c r="H40" i="20"/>
  <c r="H41" i="20"/>
  <c r="H42" i="20"/>
  <c r="H43" i="20"/>
  <c r="F31" i="20"/>
  <c r="G31" i="20"/>
  <c r="H22" i="20"/>
  <c r="H24" i="20"/>
  <c r="H25" i="20"/>
  <c r="H26" i="20"/>
  <c r="H27" i="20"/>
  <c r="H28" i="20"/>
  <c r="H29" i="20"/>
  <c r="F20" i="20"/>
  <c r="G20" i="20"/>
  <c r="H12" i="20"/>
  <c r="H14" i="20"/>
  <c r="H15" i="20"/>
  <c r="H16" i="20"/>
  <c r="H17" i="20"/>
  <c r="F18" i="20"/>
  <c r="H18" i="20"/>
  <c r="F10" i="20"/>
  <c r="G10" i="20"/>
  <c r="H39" i="4"/>
  <c r="F318" i="34"/>
  <c r="H318" i="34"/>
  <c r="F315" i="34"/>
  <c r="H315" i="34"/>
  <c r="H314" i="34"/>
  <c r="H311" i="34"/>
  <c r="F311" i="34"/>
  <c r="H306" i="34"/>
  <c r="H305" i="34"/>
  <c r="F306" i="34"/>
  <c r="F302" i="34"/>
  <c r="H302" i="34"/>
  <c r="F297" i="34"/>
  <c r="H297" i="34"/>
  <c r="H296" i="34"/>
  <c r="H293" i="34"/>
  <c r="F293" i="34"/>
  <c r="F289" i="34"/>
  <c r="H289" i="34"/>
  <c r="H283" i="34"/>
  <c r="F283" i="34"/>
  <c r="H277" i="34"/>
  <c r="F277" i="34"/>
  <c r="H272" i="34"/>
  <c r="H271" i="34"/>
  <c r="F272" i="34"/>
  <c r="F268" i="34"/>
  <c r="H268" i="34"/>
  <c r="F263" i="34"/>
  <c r="H263" i="34"/>
  <c r="F257" i="34"/>
  <c r="H257" i="34"/>
  <c r="F251" i="34"/>
  <c r="H251" i="34"/>
  <c r="H250" i="34"/>
  <c r="H247" i="34"/>
  <c r="F247" i="34"/>
  <c r="H244" i="34"/>
  <c r="H243" i="34"/>
  <c r="F244" i="34"/>
  <c r="F240" i="34"/>
  <c r="H240" i="34"/>
  <c r="F236" i="34"/>
  <c r="H236" i="34"/>
  <c r="H235" i="34"/>
  <c r="H232" i="34"/>
  <c r="F232" i="34"/>
  <c r="H228" i="34"/>
  <c r="H204" i="34"/>
  <c r="F228" i="34"/>
  <c r="H223" i="34"/>
  <c r="F223" i="34"/>
  <c r="H217" i="34"/>
  <c r="F217" i="34"/>
  <c r="H211" i="34"/>
  <c r="F211" i="34"/>
  <c r="H205" i="34"/>
  <c r="F205" i="34"/>
  <c r="H201" i="34"/>
  <c r="F201" i="34"/>
  <c r="H199" i="34"/>
  <c r="F199" i="34"/>
  <c r="H198" i="34"/>
  <c r="H197" i="34"/>
  <c r="F194" i="34"/>
  <c r="H194" i="34"/>
  <c r="H191" i="34"/>
  <c r="F191" i="34"/>
  <c r="H187" i="34"/>
  <c r="F187" i="34"/>
  <c r="H183" i="34"/>
  <c r="F183" i="34"/>
  <c r="F180" i="34"/>
  <c r="H180" i="34"/>
  <c r="H176" i="34"/>
  <c r="F176" i="34"/>
  <c r="H173" i="34"/>
  <c r="F173" i="34"/>
  <c r="H170" i="34"/>
  <c r="F170" i="34"/>
  <c r="F167" i="34"/>
  <c r="F166" i="34"/>
  <c r="F165" i="34"/>
  <c r="H165" i="34"/>
  <c r="F162" i="34"/>
  <c r="F161" i="34"/>
  <c r="F160" i="34"/>
  <c r="F159" i="34"/>
  <c r="H159" i="34"/>
  <c r="F158" i="34"/>
  <c r="F157" i="34"/>
  <c r="F155" i="34"/>
  <c r="H155" i="34"/>
  <c r="F154" i="34"/>
  <c r="F153" i="34"/>
  <c r="F151" i="34"/>
  <c r="H151" i="34"/>
  <c r="F147" i="34"/>
  <c r="F146" i="34"/>
  <c r="H146" i="34"/>
  <c r="F141" i="34"/>
  <c r="F140" i="34"/>
  <c r="H140" i="34"/>
  <c r="F136" i="34"/>
  <c r="H136" i="34"/>
  <c r="F132" i="34"/>
  <c r="H132" i="34"/>
  <c r="F129" i="34"/>
  <c r="H129" i="34"/>
  <c r="F126" i="34"/>
  <c r="H126" i="34"/>
  <c r="F124" i="34"/>
  <c r="H124" i="34"/>
  <c r="F122" i="34"/>
  <c r="H122" i="34"/>
  <c r="F119" i="34"/>
  <c r="H119" i="34"/>
  <c r="F117" i="34"/>
  <c r="H117" i="34"/>
  <c r="F116" i="34"/>
  <c r="F115" i="34"/>
  <c r="H115" i="34"/>
  <c r="F113" i="34"/>
  <c r="F112" i="34"/>
  <c r="H112" i="34"/>
  <c r="F110" i="34"/>
  <c r="H110" i="34"/>
  <c r="F109" i="34"/>
  <c r="F108" i="34"/>
  <c r="H108" i="34"/>
  <c r="H105" i="34"/>
  <c r="F105" i="34"/>
  <c r="F104" i="34"/>
  <c r="F103" i="34"/>
  <c r="F102" i="34"/>
  <c r="F100" i="34"/>
  <c r="H100" i="34"/>
  <c r="F98" i="34"/>
  <c r="F97" i="34"/>
  <c r="F93" i="34"/>
  <c r="H93" i="34"/>
  <c r="F96" i="34"/>
  <c r="F91" i="34"/>
  <c r="F90" i="34"/>
  <c r="H90" i="34"/>
  <c r="F88" i="34"/>
  <c r="F92" i="34"/>
  <c r="H92" i="34"/>
  <c r="F86" i="34"/>
  <c r="F85" i="34"/>
  <c r="H85" i="34"/>
  <c r="F84" i="34"/>
  <c r="F83" i="34"/>
  <c r="F87" i="34"/>
  <c r="H87" i="34"/>
  <c r="F80" i="34"/>
  <c r="F79" i="34"/>
  <c r="H79" i="34"/>
  <c r="F78" i="34"/>
  <c r="H76" i="34"/>
  <c r="F76" i="34"/>
  <c r="F82" i="34"/>
  <c r="F81" i="34"/>
  <c r="H81" i="34"/>
  <c r="F71" i="34"/>
  <c r="H71" i="34"/>
  <c r="H66" i="34"/>
  <c r="H67" i="34"/>
  <c r="F67" i="34"/>
  <c r="F61" i="34"/>
  <c r="H61" i="34"/>
  <c r="F56" i="34"/>
  <c r="H56" i="34"/>
  <c r="F51" i="34"/>
  <c r="H51" i="34"/>
  <c r="F46" i="34"/>
  <c r="H46" i="34"/>
  <c r="F41" i="34"/>
  <c r="H41" i="34"/>
  <c r="F36" i="34"/>
  <c r="H36" i="34"/>
  <c r="F31" i="34"/>
  <c r="H31" i="34"/>
  <c r="F26" i="34"/>
  <c r="H26" i="34"/>
  <c r="F18" i="34"/>
  <c r="F16" i="34"/>
  <c r="H16" i="34"/>
  <c r="H15" i="34"/>
  <c r="H14" i="34"/>
  <c r="H13" i="34"/>
  <c r="H12" i="34"/>
  <c r="H11" i="34"/>
  <c r="H10" i="34"/>
  <c r="H203" i="34"/>
  <c r="H25" i="34"/>
  <c r="H9" i="34"/>
  <c r="H83" i="34"/>
  <c r="H75" i="34"/>
  <c r="H88" i="34"/>
  <c r="H8" i="34"/>
  <c r="H321" i="34"/>
  <c r="H323" i="34"/>
  <c r="H53" i="4"/>
  <c r="F350" i="33"/>
  <c r="H350" i="33"/>
  <c r="H349" i="33"/>
  <c r="F343" i="33"/>
  <c r="H343" i="33"/>
  <c r="H341" i="33"/>
  <c r="F337" i="33"/>
  <c r="H337" i="33"/>
  <c r="H336" i="33"/>
  <c r="F333" i="33"/>
  <c r="H333" i="33"/>
  <c r="H329" i="33"/>
  <c r="F329" i="33"/>
  <c r="H328" i="33"/>
  <c r="F325" i="33"/>
  <c r="H325" i="33"/>
  <c r="F322" i="33"/>
  <c r="H322" i="33"/>
  <c r="F317" i="33"/>
  <c r="H317" i="33"/>
  <c r="H312" i="33"/>
  <c r="F312" i="33"/>
  <c r="F307" i="33"/>
  <c r="H307" i="33"/>
  <c r="F302" i="33"/>
  <c r="H302" i="33"/>
  <c r="F297" i="33"/>
  <c r="H297" i="33"/>
  <c r="H292" i="33"/>
  <c r="F292" i="33"/>
  <c r="F287" i="33"/>
  <c r="H287" i="33"/>
  <c r="F282" i="33"/>
  <c r="H282" i="33"/>
  <c r="F277" i="33"/>
  <c r="H277" i="33"/>
  <c r="F275" i="33"/>
  <c r="F272" i="33"/>
  <c r="H272" i="33"/>
  <c r="H267" i="33"/>
  <c r="F267" i="33"/>
  <c r="F262" i="33"/>
  <c r="H262" i="33"/>
  <c r="H257" i="33"/>
  <c r="F257" i="33"/>
  <c r="H252" i="33"/>
  <c r="F252" i="33"/>
  <c r="H247" i="33"/>
  <c r="F247" i="33"/>
  <c r="F242" i="33"/>
  <c r="H242" i="33"/>
  <c r="H237" i="33"/>
  <c r="F237" i="33"/>
  <c r="H232" i="33"/>
  <c r="F232" i="33"/>
  <c r="H227" i="33"/>
  <c r="F227" i="33"/>
  <c r="F222" i="33"/>
  <c r="H222" i="33"/>
  <c r="H217" i="33"/>
  <c r="F217" i="33"/>
  <c r="H212" i="33"/>
  <c r="F212" i="33"/>
  <c r="H207" i="33"/>
  <c r="F207" i="33"/>
  <c r="F202" i="33"/>
  <c r="H202" i="33"/>
  <c r="H197" i="33"/>
  <c r="F197" i="33"/>
  <c r="H192" i="33"/>
  <c r="F192" i="33"/>
  <c r="H187" i="33"/>
  <c r="F187" i="33"/>
  <c r="F185" i="33"/>
  <c r="F182" i="33"/>
  <c r="H182" i="33"/>
  <c r="F180" i="33"/>
  <c r="F177" i="33"/>
  <c r="H177" i="33"/>
  <c r="F175" i="33"/>
  <c r="F172" i="33"/>
  <c r="H172" i="33"/>
  <c r="F170" i="33"/>
  <c r="F167" i="33"/>
  <c r="H167" i="33"/>
  <c r="F165" i="33"/>
  <c r="F162" i="33"/>
  <c r="H162" i="33"/>
  <c r="F160" i="33"/>
  <c r="F157" i="33"/>
  <c r="H157" i="33"/>
  <c r="F155" i="33"/>
  <c r="F152" i="33"/>
  <c r="H152" i="33"/>
  <c r="F150" i="33"/>
  <c r="F147" i="33"/>
  <c r="H147" i="33"/>
  <c r="F142" i="33"/>
  <c r="H142" i="33"/>
  <c r="H137" i="33"/>
  <c r="F137" i="33"/>
  <c r="H132" i="33"/>
  <c r="F132" i="33"/>
  <c r="H127" i="33"/>
  <c r="F127" i="33"/>
  <c r="F122" i="33"/>
  <c r="H122" i="33"/>
  <c r="H117" i="33"/>
  <c r="F117" i="33"/>
  <c r="H112" i="33"/>
  <c r="F112" i="33"/>
  <c r="H107" i="33"/>
  <c r="F107" i="33"/>
  <c r="F102" i="33"/>
  <c r="H102" i="33"/>
  <c r="H97" i="33"/>
  <c r="F97" i="33"/>
  <c r="H92" i="33"/>
  <c r="F92" i="33"/>
  <c r="H87" i="33"/>
  <c r="F87" i="33"/>
  <c r="F83" i="33"/>
  <c r="H83" i="33"/>
  <c r="H82" i="33"/>
  <c r="H79" i="33"/>
  <c r="F79" i="33"/>
  <c r="F76" i="33"/>
  <c r="H76" i="33"/>
  <c r="F73" i="33"/>
  <c r="H73" i="33"/>
  <c r="F70" i="33"/>
  <c r="H70" i="33"/>
  <c r="F67" i="33"/>
  <c r="H67" i="33"/>
  <c r="F64" i="33"/>
  <c r="H64" i="33"/>
  <c r="F59" i="33"/>
  <c r="H59" i="33"/>
  <c r="H54" i="33"/>
  <c r="F54" i="33"/>
  <c r="H49" i="33"/>
  <c r="F49" i="33"/>
  <c r="H44" i="33"/>
  <c r="F44" i="33"/>
  <c r="F39" i="33"/>
  <c r="H39" i="33"/>
  <c r="H33" i="33"/>
  <c r="F33" i="33"/>
  <c r="H27" i="33"/>
  <c r="F27" i="33"/>
  <c r="H21" i="33"/>
  <c r="F21" i="33"/>
  <c r="F15" i="33"/>
  <c r="H15" i="33"/>
  <c r="H9" i="33"/>
  <c r="F9" i="33"/>
  <c r="H332" i="33"/>
  <c r="H340" i="33"/>
  <c r="H86" i="33"/>
  <c r="H8" i="33"/>
  <c r="H7" i="33"/>
  <c r="H353" i="33"/>
  <c r="H355" i="33"/>
  <c r="H57" i="4"/>
  <c r="H56" i="4"/>
  <c r="F338" i="32"/>
  <c r="H338" i="32"/>
  <c r="H337" i="32"/>
  <c r="H336" i="32"/>
  <c r="H335" i="32"/>
  <c r="H334" i="32"/>
  <c r="F331" i="32"/>
  <c r="H331" i="32"/>
  <c r="F327" i="32"/>
  <c r="H327" i="32"/>
  <c r="F324" i="32"/>
  <c r="H324" i="32"/>
  <c r="F321" i="32"/>
  <c r="H321" i="32"/>
  <c r="H317" i="32"/>
  <c r="F317" i="32"/>
  <c r="H316" i="32"/>
  <c r="F313" i="32"/>
  <c r="H313" i="32"/>
  <c r="H312" i="32"/>
  <c r="H309" i="32"/>
  <c r="F309" i="32"/>
  <c r="H306" i="32"/>
  <c r="F306" i="32"/>
  <c r="H303" i="32"/>
  <c r="F303" i="32"/>
  <c r="F300" i="32"/>
  <c r="H300" i="32"/>
  <c r="H297" i="32"/>
  <c r="F297" i="32"/>
  <c r="H294" i="32"/>
  <c r="F294" i="32"/>
  <c r="F292" i="32"/>
  <c r="F290" i="32"/>
  <c r="H290" i="32"/>
  <c r="F288" i="32"/>
  <c r="F286" i="32"/>
  <c r="H286" i="32"/>
  <c r="F282" i="32"/>
  <c r="H282" i="32"/>
  <c r="H281" i="32"/>
  <c r="H280" i="32"/>
  <c r="F278" i="32"/>
  <c r="H278" i="32"/>
  <c r="F275" i="32"/>
  <c r="H275" i="32"/>
  <c r="F272" i="32"/>
  <c r="H272" i="32"/>
  <c r="F270" i="32"/>
  <c r="F268" i="32"/>
  <c r="H268" i="32"/>
  <c r="F266" i="32"/>
  <c r="F264" i="32"/>
  <c r="H264" i="32"/>
  <c r="H260" i="32"/>
  <c r="F260" i="32"/>
  <c r="H259" i="32"/>
  <c r="F255" i="32"/>
  <c r="H255" i="32"/>
  <c r="F251" i="32"/>
  <c r="H251" i="32"/>
  <c r="F247" i="32"/>
  <c r="H247" i="32"/>
  <c r="F243" i="32"/>
  <c r="H243" i="32"/>
  <c r="F239" i="32"/>
  <c r="H239" i="32"/>
  <c r="F235" i="32"/>
  <c r="H235" i="32"/>
  <c r="F231" i="32"/>
  <c r="H231" i="32"/>
  <c r="F227" i="32"/>
  <c r="H227" i="32"/>
  <c r="H223" i="32"/>
  <c r="F223" i="32"/>
  <c r="H222" i="32"/>
  <c r="F219" i="32"/>
  <c r="H219" i="32"/>
  <c r="F216" i="32"/>
  <c r="H216" i="32"/>
  <c r="F213" i="32"/>
  <c r="H213" i="32"/>
  <c r="F210" i="32"/>
  <c r="H210" i="32"/>
  <c r="F207" i="32"/>
  <c r="H207" i="32"/>
  <c r="F204" i="32"/>
  <c r="H204" i="32"/>
  <c r="F201" i="32"/>
  <c r="H201" i="32"/>
  <c r="H197" i="32"/>
  <c r="F197" i="32"/>
  <c r="H196" i="32"/>
  <c r="F192" i="32"/>
  <c r="H192" i="32"/>
  <c r="F188" i="32"/>
  <c r="H188" i="32"/>
  <c r="F183" i="32"/>
  <c r="H183" i="32"/>
  <c r="F178" i="32"/>
  <c r="H178" i="32"/>
  <c r="F173" i="32"/>
  <c r="H173" i="32"/>
  <c r="F168" i="32"/>
  <c r="H168" i="32"/>
  <c r="F163" i="32"/>
  <c r="H163" i="32"/>
  <c r="F159" i="32"/>
  <c r="H159" i="32"/>
  <c r="F154" i="32"/>
  <c r="H154" i="32"/>
  <c r="F148" i="32"/>
  <c r="H148" i="32"/>
  <c r="F143" i="32"/>
  <c r="H143" i="32"/>
  <c r="F139" i="32"/>
  <c r="H139" i="32"/>
  <c r="F134" i="32"/>
  <c r="H134" i="32"/>
  <c r="F128" i="32"/>
  <c r="H128" i="32"/>
  <c r="F122" i="32"/>
  <c r="H122" i="32"/>
  <c r="H118" i="32"/>
  <c r="F118" i="32"/>
  <c r="H117" i="32"/>
  <c r="F111" i="32"/>
  <c r="H111" i="32"/>
  <c r="F106" i="32"/>
  <c r="H106" i="32"/>
  <c r="F102" i="32"/>
  <c r="H102" i="32"/>
  <c r="F97" i="32"/>
  <c r="H97" i="32"/>
  <c r="F92" i="32"/>
  <c r="H92" i="32"/>
  <c r="F87" i="32"/>
  <c r="H87" i="32"/>
  <c r="F81" i="32"/>
  <c r="H81" i="32"/>
  <c r="F77" i="32"/>
  <c r="H77" i="32"/>
  <c r="F72" i="32"/>
  <c r="H72" i="32"/>
  <c r="F67" i="32"/>
  <c r="H67" i="32"/>
  <c r="F63" i="32"/>
  <c r="H63" i="32"/>
  <c r="F58" i="32"/>
  <c r="H58" i="32"/>
  <c r="F54" i="32"/>
  <c r="H54" i="32"/>
  <c r="F50" i="32"/>
  <c r="H50" i="32"/>
  <c r="F46" i="32"/>
  <c r="H46" i="32"/>
  <c r="F42" i="32"/>
  <c r="H42" i="32"/>
  <c r="F37" i="32"/>
  <c r="H37" i="32"/>
  <c r="F33" i="32"/>
  <c r="H33" i="32"/>
  <c r="F28" i="32"/>
  <c r="H28" i="32"/>
  <c r="F23" i="32"/>
  <c r="H23" i="32"/>
  <c r="F19" i="32"/>
  <c r="H19" i="32"/>
  <c r="F13" i="32"/>
  <c r="H13" i="32"/>
  <c r="F9" i="32"/>
  <c r="H9" i="32"/>
  <c r="H226" i="32"/>
  <c r="H8" i="32"/>
  <c r="H263" i="32"/>
  <c r="H285" i="32"/>
  <c r="H121" i="32"/>
  <c r="H200" i="32"/>
  <c r="H320" i="32"/>
  <c r="H7" i="32"/>
  <c r="H341" i="32"/>
  <c r="H343" i="32"/>
  <c r="F258" i="31"/>
  <c r="H258" i="31"/>
  <c r="H257" i="31"/>
  <c r="H256" i="31"/>
  <c r="F252" i="31"/>
  <c r="H252" i="31"/>
  <c r="F249" i="31"/>
  <c r="H249" i="31"/>
  <c r="F246" i="31"/>
  <c r="H246" i="31"/>
  <c r="H245" i="31"/>
  <c r="F242" i="31"/>
  <c r="H242" i="31"/>
  <c r="H241" i="31"/>
  <c r="H240" i="31"/>
  <c r="F237" i="31"/>
  <c r="H237" i="31"/>
  <c r="F234" i="31"/>
  <c r="H234" i="31"/>
  <c r="F231" i="31"/>
  <c r="H231" i="31"/>
  <c r="H228" i="31"/>
  <c r="F228" i="31"/>
  <c r="F224" i="31"/>
  <c r="H224" i="31"/>
  <c r="F219" i="31"/>
  <c r="H219" i="31"/>
  <c r="H218" i="31"/>
  <c r="F215" i="31"/>
  <c r="H215" i="31"/>
  <c r="H214" i="31"/>
  <c r="H213" i="31"/>
  <c r="F210" i="31"/>
  <c r="H210" i="31"/>
  <c r="H207" i="31"/>
  <c r="F207" i="31"/>
  <c r="F204" i="31"/>
  <c r="H204" i="31"/>
  <c r="H200" i="31"/>
  <c r="F200" i="31"/>
  <c r="F195" i="31"/>
  <c r="H195" i="31"/>
  <c r="F191" i="31"/>
  <c r="H191" i="31"/>
  <c r="H190" i="31"/>
  <c r="H189" i="31"/>
  <c r="F186" i="31"/>
  <c r="H186" i="31"/>
  <c r="F183" i="31"/>
  <c r="H183" i="31"/>
  <c r="F180" i="31"/>
  <c r="H180" i="31"/>
  <c r="H176" i="31"/>
  <c r="F176" i="31"/>
  <c r="F172" i="31"/>
  <c r="H172" i="31"/>
  <c r="H168" i="31"/>
  <c r="F168" i="31"/>
  <c r="H167" i="31"/>
  <c r="H166" i="31"/>
  <c r="H163" i="31"/>
  <c r="F163" i="31"/>
  <c r="F160" i="31"/>
  <c r="H160" i="31"/>
  <c r="H157" i="31"/>
  <c r="F157" i="31"/>
  <c r="F154" i="31"/>
  <c r="H154" i="31"/>
  <c r="F149" i="31"/>
  <c r="H149" i="31"/>
  <c r="F145" i="31"/>
  <c r="H145" i="31"/>
  <c r="H144" i="31"/>
  <c r="F141" i="31"/>
  <c r="H141" i="31"/>
  <c r="H140" i="31"/>
  <c r="H139" i="31"/>
  <c r="F136" i="31"/>
  <c r="H136" i="31"/>
  <c r="F133" i="31"/>
  <c r="H133" i="31"/>
  <c r="F130" i="31"/>
  <c r="H130" i="31"/>
  <c r="H128" i="31"/>
  <c r="F128" i="31"/>
  <c r="F124" i="31"/>
  <c r="H124" i="31"/>
  <c r="F119" i="31"/>
  <c r="H119" i="31"/>
  <c r="F115" i="31"/>
  <c r="H115" i="31"/>
  <c r="H114" i="31"/>
  <c r="H113" i="31"/>
  <c r="F110" i="31"/>
  <c r="H110" i="31"/>
  <c r="H107" i="31"/>
  <c r="F107" i="31"/>
  <c r="F104" i="31"/>
  <c r="H104" i="31"/>
  <c r="F101" i="31"/>
  <c r="H101" i="31"/>
  <c r="F97" i="31"/>
  <c r="H97" i="31"/>
  <c r="H93" i="31"/>
  <c r="F93" i="31"/>
  <c r="F87" i="31"/>
  <c r="H87" i="31"/>
  <c r="F83" i="31"/>
  <c r="H83" i="31"/>
  <c r="F79" i="31"/>
  <c r="H79" i="31"/>
  <c r="H78" i="31"/>
  <c r="F75" i="31"/>
  <c r="H75" i="31"/>
  <c r="H74" i="31"/>
  <c r="H73" i="31"/>
  <c r="F70" i="31"/>
  <c r="H70" i="31"/>
  <c r="F67" i="31"/>
  <c r="H67" i="31"/>
  <c r="F64" i="31"/>
  <c r="H64" i="31"/>
  <c r="H61" i="31"/>
  <c r="F61" i="31"/>
  <c r="F58" i="31"/>
  <c r="H58" i="31"/>
  <c r="F54" i="31"/>
  <c r="H54" i="31"/>
  <c r="F50" i="31"/>
  <c r="H50" i="31"/>
  <c r="H46" i="31"/>
  <c r="F46" i="31"/>
  <c r="F42" i="31"/>
  <c r="H42" i="31"/>
  <c r="H38" i="31"/>
  <c r="F38" i="31"/>
  <c r="H37" i="31"/>
  <c r="H36" i="31"/>
  <c r="F33" i="31"/>
  <c r="H33" i="31"/>
  <c r="F30" i="31"/>
  <c r="H30" i="31"/>
  <c r="H27" i="31"/>
  <c r="F27" i="31"/>
  <c r="F24" i="31"/>
  <c r="H24" i="31"/>
  <c r="F20" i="31"/>
  <c r="H20" i="31"/>
  <c r="F14" i="31"/>
  <c r="H14" i="31"/>
  <c r="H10" i="31"/>
  <c r="F10" i="31"/>
  <c r="H41" i="31"/>
  <c r="H171" i="31"/>
  <c r="H194" i="31"/>
  <c r="H9" i="31"/>
  <c r="H8" i="31"/>
  <c r="H261" i="31"/>
  <c r="H263" i="31"/>
  <c r="H118" i="31"/>
  <c r="G63" i="30"/>
  <c r="G39" i="5"/>
  <c r="H136" i="30"/>
  <c r="H140" i="30"/>
  <c r="H144" i="30"/>
  <c r="H148" i="30"/>
  <c r="F504" i="30"/>
  <c r="H504" i="30"/>
  <c r="H503" i="30"/>
  <c r="H501" i="30"/>
  <c r="F501" i="30"/>
  <c r="F499" i="30"/>
  <c r="F497" i="30"/>
  <c r="H497" i="30"/>
  <c r="F493" i="30"/>
  <c r="H493" i="30"/>
  <c r="F489" i="30"/>
  <c r="H489" i="30"/>
  <c r="H485" i="30"/>
  <c r="F485" i="30"/>
  <c r="F481" i="30"/>
  <c r="H481" i="30"/>
  <c r="F477" i="30"/>
  <c r="H477" i="30"/>
  <c r="F473" i="30"/>
  <c r="H473" i="30"/>
  <c r="F469" i="30"/>
  <c r="H469" i="30"/>
  <c r="F465" i="30"/>
  <c r="H465" i="30"/>
  <c r="F461" i="30"/>
  <c r="H461" i="30"/>
  <c r="F457" i="30"/>
  <c r="H457" i="30"/>
  <c r="F453" i="30"/>
  <c r="H453" i="30"/>
  <c r="F449" i="30"/>
  <c r="H449" i="30"/>
  <c r="F445" i="30"/>
  <c r="H445" i="30"/>
  <c r="F441" i="30"/>
  <c r="H441" i="30"/>
  <c r="F437" i="30"/>
  <c r="H437" i="30"/>
  <c r="F433" i="30"/>
  <c r="H433" i="30"/>
  <c r="F429" i="30"/>
  <c r="H429" i="30"/>
  <c r="F425" i="30"/>
  <c r="H425" i="30"/>
  <c r="F421" i="30"/>
  <c r="H421" i="30"/>
  <c r="F417" i="30"/>
  <c r="H417" i="30"/>
  <c r="F413" i="30"/>
  <c r="H413" i="30"/>
  <c r="F409" i="30"/>
  <c r="H409" i="30"/>
  <c r="F405" i="30"/>
  <c r="H405" i="30"/>
  <c r="F401" i="30"/>
  <c r="H401" i="30"/>
  <c r="F397" i="30"/>
  <c r="H397" i="30"/>
  <c r="F393" i="30"/>
  <c r="H393" i="30"/>
  <c r="H389" i="30"/>
  <c r="F389" i="30"/>
  <c r="F385" i="30"/>
  <c r="H385" i="30"/>
  <c r="F381" i="30"/>
  <c r="H381" i="30"/>
  <c r="H380" i="30"/>
  <c r="F376" i="30"/>
  <c r="H376" i="30"/>
  <c r="F372" i="30"/>
  <c r="H372" i="30"/>
  <c r="F369" i="30"/>
  <c r="H369" i="30"/>
  <c r="F366" i="30"/>
  <c r="H366" i="30"/>
  <c r="F360" i="30"/>
  <c r="H360" i="30"/>
  <c r="F344" i="30"/>
  <c r="H344" i="30"/>
  <c r="F340" i="30"/>
  <c r="H340" i="30"/>
  <c r="F336" i="30"/>
  <c r="H336" i="30"/>
  <c r="F332" i="30"/>
  <c r="H332" i="30"/>
  <c r="F328" i="30"/>
  <c r="H328" i="30"/>
  <c r="F325" i="30"/>
  <c r="H325" i="30"/>
  <c r="F321" i="30"/>
  <c r="H321" i="30"/>
  <c r="F317" i="30"/>
  <c r="H317" i="30"/>
  <c r="F313" i="30"/>
  <c r="H313" i="30"/>
  <c r="F311" i="30"/>
  <c r="F310" i="30"/>
  <c r="H310" i="30"/>
  <c r="H305" i="30"/>
  <c r="F305" i="30"/>
  <c r="F301" i="30"/>
  <c r="H301" i="30"/>
  <c r="F296" i="30"/>
  <c r="H296" i="30"/>
  <c r="F294" i="30"/>
  <c r="F293" i="30"/>
  <c r="F292" i="30"/>
  <c r="F291" i="30"/>
  <c r="F289" i="30"/>
  <c r="F288" i="30"/>
  <c r="F287" i="30"/>
  <c r="F286" i="30"/>
  <c r="F284" i="30"/>
  <c r="F283" i="30"/>
  <c r="F277" i="30"/>
  <c r="H277" i="30"/>
  <c r="F275" i="30"/>
  <c r="H275" i="30"/>
  <c r="F273" i="30"/>
  <c r="F276" i="30"/>
  <c r="H276" i="30"/>
  <c r="F270" i="30"/>
  <c r="H270" i="30"/>
  <c r="F269" i="30"/>
  <c r="H269" i="30"/>
  <c r="F267" i="30"/>
  <c r="H264" i="30"/>
  <c r="F264" i="30"/>
  <c r="F262" i="30"/>
  <c r="H262" i="30"/>
  <c r="F260" i="30"/>
  <c r="F263" i="30"/>
  <c r="H263" i="30"/>
  <c r="F257" i="30"/>
  <c r="H257" i="30"/>
  <c r="F256" i="30"/>
  <c r="H256" i="30"/>
  <c r="F254" i="30"/>
  <c r="F251" i="30"/>
  <c r="H251" i="30"/>
  <c r="F249" i="30"/>
  <c r="H249" i="30"/>
  <c r="F247" i="30"/>
  <c r="F250" i="30"/>
  <c r="H250" i="30"/>
  <c r="F244" i="30"/>
  <c r="H244" i="30"/>
  <c r="F243" i="30"/>
  <c r="H243" i="30"/>
  <c r="F241" i="30"/>
  <c r="F238" i="30"/>
  <c r="H238" i="30"/>
  <c r="F236" i="30"/>
  <c r="H236" i="30"/>
  <c r="F234" i="30"/>
  <c r="F237" i="30"/>
  <c r="H237" i="30"/>
  <c r="F232" i="30"/>
  <c r="F231" i="30"/>
  <c r="H231" i="30"/>
  <c r="F226" i="30"/>
  <c r="F224" i="30"/>
  <c r="H224" i="30"/>
  <c r="F222" i="30"/>
  <c r="F220" i="30"/>
  <c r="H220" i="30"/>
  <c r="F216" i="30"/>
  <c r="H216" i="30"/>
  <c r="H215" i="30"/>
  <c r="F212" i="30"/>
  <c r="H212" i="30"/>
  <c r="F208" i="30"/>
  <c r="H208" i="30"/>
  <c r="F205" i="30"/>
  <c r="H205" i="30"/>
  <c r="F202" i="30"/>
  <c r="H202" i="30"/>
  <c r="F199" i="30"/>
  <c r="H199" i="30"/>
  <c r="H195" i="30"/>
  <c r="F195" i="30"/>
  <c r="F191" i="30"/>
  <c r="H191" i="30"/>
  <c r="F187" i="30"/>
  <c r="H187" i="30"/>
  <c r="F183" i="30"/>
  <c r="H183" i="30"/>
  <c r="F179" i="30"/>
  <c r="H179" i="30"/>
  <c r="F175" i="30"/>
  <c r="H175" i="30"/>
  <c r="F173" i="30"/>
  <c r="H173" i="30"/>
  <c r="F171" i="30"/>
  <c r="F170" i="30"/>
  <c r="F164" i="30"/>
  <c r="H164" i="30"/>
  <c r="F160" i="30"/>
  <c r="H160" i="30"/>
  <c r="F155" i="30"/>
  <c r="H155" i="30"/>
  <c r="F148" i="30"/>
  <c r="F146" i="30"/>
  <c r="F144" i="30"/>
  <c r="F142" i="30"/>
  <c r="F140" i="30"/>
  <c r="F138" i="30"/>
  <c r="F136" i="30"/>
  <c r="F134" i="30"/>
  <c r="F132" i="30"/>
  <c r="H132" i="30"/>
  <c r="F130" i="30"/>
  <c r="F128" i="30"/>
  <c r="H128" i="30"/>
  <c r="F126" i="30"/>
  <c r="F124" i="30"/>
  <c r="H124" i="30"/>
  <c r="F122" i="30"/>
  <c r="F120" i="30"/>
  <c r="H120" i="30"/>
  <c r="F118" i="30"/>
  <c r="F116" i="30"/>
  <c r="H116" i="30"/>
  <c r="F114" i="30"/>
  <c r="F112" i="30"/>
  <c r="H112" i="30"/>
  <c r="F110" i="30"/>
  <c r="F108" i="30"/>
  <c r="H108" i="30"/>
  <c r="F106" i="30"/>
  <c r="F104" i="30"/>
  <c r="H104" i="30"/>
  <c r="F102" i="30"/>
  <c r="F100" i="30"/>
  <c r="H100" i="30"/>
  <c r="F96" i="30"/>
  <c r="H96" i="30"/>
  <c r="F94" i="30"/>
  <c r="H94" i="30"/>
  <c r="F92" i="30"/>
  <c r="H92" i="30"/>
  <c r="F87" i="30"/>
  <c r="H87" i="30"/>
  <c r="F84" i="30"/>
  <c r="H84" i="30"/>
  <c r="F82" i="30"/>
  <c r="H81" i="30"/>
  <c r="H80" i="30"/>
  <c r="F81" i="30"/>
  <c r="H74" i="30"/>
  <c r="F69" i="30"/>
  <c r="F66" i="30"/>
  <c r="F62" i="30"/>
  <c r="F61" i="30"/>
  <c r="H61" i="30"/>
  <c r="F60" i="30"/>
  <c r="F58" i="30"/>
  <c r="H58" i="30"/>
  <c r="F57" i="30"/>
  <c r="F56" i="30"/>
  <c r="F54" i="30"/>
  <c r="F53" i="30"/>
  <c r="H53" i="30"/>
  <c r="F51" i="30"/>
  <c r="F50" i="30"/>
  <c r="H50" i="30"/>
  <c r="F46" i="30"/>
  <c r="H46" i="30"/>
  <c r="F42" i="30"/>
  <c r="H42" i="30"/>
  <c r="F39" i="30"/>
  <c r="F38" i="30"/>
  <c r="F36" i="30"/>
  <c r="F41" i="30"/>
  <c r="H41" i="30"/>
  <c r="F35" i="30"/>
  <c r="F34" i="30"/>
  <c r="F32" i="30"/>
  <c r="F40" i="30"/>
  <c r="H40" i="30"/>
  <c r="F30" i="30"/>
  <c r="F29" i="30"/>
  <c r="F28" i="30"/>
  <c r="F27" i="30"/>
  <c r="F25" i="30"/>
  <c r="H25" i="30"/>
  <c r="F22" i="30"/>
  <c r="F21" i="30"/>
  <c r="F20" i="30"/>
  <c r="F19" i="30"/>
  <c r="F17" i="30"/>
  <c r="H17" i="30"/>
  <c r="F16" i="30"/>
  <c r="F15" i="30"/>
  <c r="H15" i="30"/>
  <c r="H14" i="30"/>
  <c r="H13" i="30"/>
  <c r="H12" i="30"/>
  <c r="H11" i="30"/>
  <c r="H10" i="30"/>
  <c r="H9" i="30"/>
  <c r="H36" i="30"/>
  <c r="G241" i="30"/>
  <c r="H241" i="30"/>
  <c r="G260" i="30"/>
  <c r="H260" i="30"/>
  <c r="F280" i="30"/>
  <c r="F295" i="30"/>
  <c r="H295" i="30"/>
  <c r="G267" i="30"/>
  <c r="H267" i="30"/>
  <c r="H83" i="30"/>
  <c r="H99" i="30"/>
  <c r="H384" i="30"/>
  <c r="H56" i="30"/>
  <c r="F70" i="30"/>
  <c r="F68" i="30"/>
  <c r="F72" i="30"/>
  <c r="H72" i="30"/>
  <c r="F67" i="30"/>
  <c r="F65" i="30"/>
  <c r="H91" i="30"/>
  <c r="G234" i="30"/>
  <c r="H234" i="30"/>
  <c r="G273" i="30"/>
  <c r="H273" i="30"/>
  <c r="G254" i="30"/>
  <c r="H254" i="30"/>
  <c r="F228" i="30"/>
  <c r="G247" i="30"/>
  <c r="H247" i="30"/>
  <c r="H32" i="30"/>
  <c r="F230" i="30"/>
  <c r="H230" i="30"/>
  <c r="H280" i="30"/>
  <c r="F73" i="30"/>
  <c r="H73" i="30"/>
  <c r="F63" i="30"/>
  <c r="F71" i="30"/>
  <c r="H71" i="30"/>
  <c r="G228" i="30"/>
  <c r="H228" i="30"/>
  <c r="H219" i="30"/>
  <c r="H98" i="30"/>
  <c r="F75" i="30"/>
  <c r="H75" i="30"/>
  <c r="F76" i="30"/>
  <c r="H76" i="30"/>
  <c r="H63" i="30"/>
  <c r="H8" i="30"/>
  <c r="H7" i="30"/>
  <c r="H507" i="30"/>
  <c r="H509" i="30"/>
  <c r="H47" i="4"/>
  <c r="I51" i="4"/>
  <c r="F51" i="4"/>
  <c r="F385" i="29"/>
  <c r="H385" i="29"/>
  <c r="H384" i="29"/>
  <c r="F382" i="29"/>
  <c r="H382" i="29"/>
  <c r="H379" i="29"/>
  <c r="F373" i="29"/>
  <c r="H373" i="29"/>
  <c r="F368" i="29"/>
  <c r="H368" i="29"/>
  <c r="F363" i="29"/>
  <c r="H363" i="29"/>
  <c r="F358" i="29"/>
  <c r="H358" i="29"/>
  <c r="F353" i="29"/>
  <c r="H353" i="29"/>
  <c r="H347" i="29"/>
  <c r="F347" i="29"/>
  <c r="F342" i="29"/>
  <c r="H342" i="29"/>
  <c r="F337" i="29"/>
  <c r="H337" i="29"/>
  <c r="F331" i="29"/>
  <c r="H331" i="29"/>
  <c r="F326" i="29"/>
  <c r="H326" i="29"/>
  <c r="F320" i="29"/>
  <c r="H320" i="29"/>
  <c r="F314" i="29"/>
  <c r="H314" i="29"/>
  <c r="F309" i="29"/>
  <c r="H309" i="29"/>
  <c r="H303" i="29"/>
  <c r="F303" i="29"/>
  <c r="F297" i="29"/>
  <c r="H297" i="29"/>
  <c r="F292" i="29"/>
  <c r="H292" i="29"/>
  <c r="H291" i="29"/>
  <c r="H290" i="29"/>
  <c r="H289" i="29"/>
  <c r="H288" i="29"/>
  <c r="H287" i="29"/>
  <c r="H286" i="29"/>
  <c r="H285" i="29"/>
  <c r="H281" i="29"/>
  <c r="F281" i="29"/>
  <c r="H280" i="29"/>
  <c r="F277" i="29"/>
  <c r="H277" i="29"/>
  <c r="F274" i="29"/>
  <c r="H274" i="29"/>
  <c r="H271" i="29"/>
  <c r="F271" i="29"/>
  <c r="F268" i="29"/>
  <c r="H268" i="29"/>
  <c r="F265" i="29"/>
  <c r="H265" i="29"/>
  <c r="F263" i="29"/>
  <c r="H263" i="29"/>
  <c r="F261" i="29"/>
  <c r="H261" i="29"/>
  <c r="F259" i="29"/>
  <c r="H259" i="29"/>
  <c r="F257" i="29"/>
  <c r="H257" i="29"/>
  <c r="F255" i="29"/>
  <c r="H255" i="29"/>
  <c r="H253" i="29"/>
  <c r="F253" i="29"/>
  <c r="F251" i="29"/>
  <c r="H251" i="29"/>
  <c r="F249" i="29"/>
  <c r="H249" i="29"/>
  <c r="F247" i="29"/>
  <c r="H247" i="29"/>
  <c r="F245" i="29"/>
  <c r="H245" i="29"/>
  <c r="F243" i="29"/>
  <c r="H243" i="29"/>
  <c r="F241" i="29"/>
  <c r="H241" i="29"/>
  <c r="F239" i="29"/>
  <c r="H239" i="29"/>
  <c r="F237" i="29"/>
  <c r="H237" i="29"/>
  <c r="F235" i="29"/>
  <c r="H235" i="29"/>
  <c r="F233" i="29"/>
  <c r="H233" i="29"/>
  <c r="F231" i="29"/>
  <c r="H231" i="29"/>
  <c r="F228" i="29"/>
  <c r="H228" i="29"/>
  <c r="F225" i="29"/>
  <c r="H225" i="29"/>
  <c r="F223" i="29"/>
  <c r="H223" i="29"/>
  <c r="F221" i="29"/>
  <c r="H221" i="29"/>
  <c r="F218" i="29"/>
  <c r="H218" i="29"/>
  <c r="F215" i="29"/>
  <c r="H215" i="29"/>
  <c r="F212" i="29"/>
  <c r="H212" i="29"/>
  <c r="F209" i="29"/>
  <c r="H209" i="29"/>
  <c r="F206" i="29"/>
  <c r="H206" i="29"/>
  <c r="F203" i="29"/>
  <c r="H203" i="29"/>
  <c r="F200" i="29"/>
  <c r="H200" i="29"/>
  <c r="F197" i="29"/>
  <c r="H197" i="29"/>
  <c r="F194" i="29"/>
  <c r="H194" i="29"/>
  <c r="F191" i="29"/>
  <c r="H191" i="29"/>
  <c r="F188" i="29"/>
  <c r="H188" i="29"/>
  <c r="F185" i="29"/>
  <c r="H185" i="29"/>
  <c r="F182" i="29"/>
  <c r="H182" i="29"/>
  <c r="F179" i="29"/>
  <c r="H179" i="29"/>
  <c r="F176" i="29"/>
  <c r="H176" i="29"/>
  <c r="F173" i="29"/>
  <c r="H173" i="29"/>
  <c r="F170" i="29"/>
  <c r="H170" i="29"/>
  <c r="F167" i="29"/>
  <c r="H167" i="29"/>
  <c r="F164" i="29"/>
  <c r="H164" i="29"/>
  <c r="F161" i="29"/>
  <c r="H161" i="29"/>
  <c r="F158" i="29"/>
  <c r="H158" i="29"/>
  <c r="F155" i="29"/>
  <c r="H155" i="29"/>
  <c r="F152" i="29"/>
  <c r="H152" i="29"/>
  <c r="F149" i="29"/>
  <c r="H149" i="29"/>
  <c r="F146" i="29"/>
  <c r="H146" i="29"/>
  <c r="F143" i="29"/>
  <c r="H143" i="29"/>
  <c r="F140" i="29"/>
  <c r="H140" i="29"/>
  <c r="F136" i="29"/>
  <c r="H136" i="29"/>
  <c r="H135" i="29"/>
  <c r="H132" i="29"/>
  <c r="F132" i="29"/>
  <c r="F129" i="29"/>
  <c r="H129" i="29"/>
  <c r="F122" i="29"/>
  <c r="H122" i="29"/>
  <c r="F118" i="29"/>
  <c r="H118" i="29"/>
  <c r="F117" i="29"/>
  <c r="F116" i="29"/>
  <c r="H116" i="29"/>
  <c r="F113" i="29"/>
  <c r="F112" i="29"/>
  <c r="F111" i="29"/>
  <c r="F110" i="29"/>
  <c r="F109" i="29"/>
  <c r="F105" i="29"/>
  <c r="F103" i="29"/>
  <c r="H103" i="29"/>
  <c r="F101" i="29"/>
  <c r="F99" i="29"/>
  <c r="H99" i="29"/>
  <c r="F97" i="29"/>
  <c r="F95" i="29"/>
  <c r="H95" i="29"/>
  <c r="F93" i="29"/>
  <c r="F91" i="29"/>
  <c r="H91" i="29"/>
  <c r="F89" i="29"/>
  <c r="F87" i="29"/>
  <c r="H87" i="29"/>
  <c r="F85" i="29"/>
  <c r="F83" i="29"/>
  <c r="H83" i="29"/>
  <c r="F81" i="29"/>
  <c r="F79" i="29"/>
  <c r="H79" i="29"/>
  <c r="F77" i="29"/>
  <c r="F75" i="29"/>
  <c r="H75" i="29"/>
  <c r="F73" i="29"/>
  <c r="F71" i="29"/>
  <c r="H71" i="29"/>
  <c r="F68" i="29"/>
  <c r="F67" i="29"/>
  <c r="H67" i="29"/>
  <c r="F65" i="29"/>
  <c r="F63" i="29"/>
  <c r="H63" i="29"/>
  <c r="F64" i="29"/>
  <c r="F59" i="29"/>
  <c r="H59" i="29"/>
  <c r="H58" i="29"/>
  <c r="F55" i="29"/>
  <c r="H55" i="29"/>
  <c r="F52" i="29"/>
  <c r="H52" i="29"/>
  <c r="F49" i="29"/>
  <c r="H49" i="29"/>
  <c r="F46" i="29"/>
  <c r="H46" i="29"/>
  <c r="F43" i="29"/>
  <c r="H43" i="29"/>
  <c r="F40" i="29"/>
  <c r="H40" i="29"/>
  <c r="F37" i="29"/>
  <c r="H37" i="29"/>
  <c r="F34" i="29"/>
  <c r="H34" i="29"/>
  <c r="F31" i="29"/>
  <c r="H31" i="29"/>
  <c r="F28" i="29"/>
  <c r="H28" i="29"/>
  <c r="F25" i="29"/>
  <c r="H25" i="29"/>
  <c r="F22" i="29"/>
  <c r="H22" i="29"/>
  <c r="F19" i="29"/>
  <c r="H19" i="29"/>
  <c r="F17" i="29"/>
  <c r="H17" i="29"/>
  <c r="F13" i="29"/>
  <c r="H13" i="29"/>
  <c r="F9" i="29"/>
  <c r="H9" i="29"/>
  <c r="H284" i="29"/>
  <c r="H139" i="29"/>
  <c r="F106" i="29"/>
  <c r="H106" i="29"/>
  <c r="H62" i="29"/>
  <c r="H8" i="29"/>
  <c r="H7" i="29"/>
  <c r="H388" i="29"/>
  <c r="H390" i="29"/>
  <c r="H54" i="4"/>
  <c r="I50" i="4"/>
  <c r="F50" i="4"/>
  <c r="I49" i="4"/>
  <c r="F49" i="4"/>
  <c r="I48" i="4"/>
  <c r="F48" i="4"/>
  <c r="F83" i="26"/>
  <c r="H83" i="26"/>
  <c r="F79" i="26"/>
  <c r="H79" i="26"/>
  <c r="F75" i="26"/>
  <c r="H75" i="26"/>
  <c r="F71" i="26"/>
  <c r="H71" i="26"/>
  <c r="F66" i="26"/>
  <c r="H66" i="26"/>
  <c r="F62" i="26"/>
  <c r="H62" i="26"/>
  <c r="F58" i="26"/>
  <c r="H58" i="26"/>
  <c r="F54" i="26"/>
  <c r="H54" i="26"/>
  <c r="F51" i="26"/>
  <c r="H51" i="26"/>
  <c r="F47" i="26"/>
  <c r="H47" i="26"/>
  <c r="F43" i="26"/>
  <c r="H43" i="26"/>
  <c r="F39" i="26"/>
  <c r="H39" i="26"/>
  <c r="H38" i="26"/>
  <c r="F35" i="26"/>
  <c r="H35" i="26"/>
  <c r="F33" i="26"/>
  <c r="H33" i="26"/>
  <c r="F30" i="26"/>
  <c r="H30" i="26"/>
  <c r="F28" i="26"/>
  <c r="H28" i="26"/>
  <c r="F24" i="26"/>
  <c r="H24" i="26"/>
  <c r="F23" i="26"/>
  <c r="F22" i="26"/>
  <c r="H22" i="26"/>
  <c r="F20" i="26"/>
  <c r="F18" i="26"/>
  <c r="H18" i="26"/>
  <c r="F16" i="26"/>
  <c r="F15" i="26"/>
  <c r="H15" i="26"/>
  <c r="F13" i="26"/>
  <c r="F12" i="26"/>
  <c r="H12" i="26"/>
  <c r="F10" i="26"/>
  <c r="F9" i="26"/>
  <c r="H9" i="26"/>
  <c r="H8" i="26"/>
  <c r="H42" i="26"/>
  <c r="H70" i="26"/>
  <c r="H69" i="26"/>
  <c r="H7" i="26"/>
  <c r="H85" i="26"/>
  <c r="H87" i="26"/>
  <c r="H52" i="4"/>
  <c r="F35" i="24"/>
  <c r="H35" i="24"/>
  <c r="H34" i="24"/>
  <c r="F26" i="24"/>
  <c r="H26" i="24"/>
  <c r="F19" i="24"/>
  <c r="H19" i="24"/>
  <c r="F9" i="24"/>
  <c r="H9" i="24"/>
  <c r="F42" i="23"/>
  <c r="H42" i="23"/>
  <c r="H41" i="23"/>
  <c r="F34" i="23"/>
  <c r="H34" i="23"/>
  <c r="F26" i="23"/>
  <c r="H26" i="23"/>
  <c r="F17" i="23"/>
  <c r="H17" i="23"/>
  <c r="F10" i="23"/>
  <c r="H10" i="23"/>
  <c r="H8" i="24"/>
  <c r="H7" i="24"/>
  <c r="H39" i="24"/>
  <c r="H41" i="24"/>
  <c r="C10" i="25"/>
  <c r="H9" i="23"/>
  <c r="H8" i="23"/>
  <c r="H47" i="23"/>
  <c r="H49" i="23"/>
  <c r="C9" i="25"/>
  <c r="F872" i="6"/>
  <c r="F73" i="21"/>
  <c r="H73" i="21"/>
  <c r="H72" i="21"/>
  <c r="F70" i="21"/>
  <c r="H69" i="21"/>
  <c r="F67" i="21"/>
  <c r="H67" i="21"/>
  <c r="F66" i="21"/>
  <c r="H66" i="21"/>
  <c r="F64" i="21"/>
  <c r="F62" i="21"/>
  <c r="F60" i="21"/>
  <c r="H60" i="21"/>
  <c r="F58" i="21"/>
  <c r="F56" i="21"/>
  <c r="H56" i="21"/>
  <c r="F54" i="21"/>
  <c r="F52" i="21"/>
  <c r="H52" i="21"/>
  <c r="F50" i="21"/>
  <c r="F48" i="21"/>
  <c r="H48" i="21"/>
  <c r="F45" i="21"/>
  <c r="H45" i="21"/>
  <c r="H44" i="21"/>
  <c r="F44" i="21"/>
  <c r="F43" i="21"/>
  <c r="H43" i="21"/>
  <c r="F41" i="21"/>
  <c r="F38" i="21"/>
  <c r="H38" i="21"/>
  <c r="H37" i="21"/>
  <c r="F37" i="21"/>
  <c r="F36" i="21"/>
  <c r="H36" i="21"/>
  <c r="F34" i="21"/>
  <c r="F31" i="21"/>
  <c r="H31" i="21"/>
  <c r="F30" i="21"/>
  <c r="H30" i="21"/>
  <c r="F28" i="21"/>
  <c r="F25" i="21"/>
  <c r="H25" i="21"/>
  <c r="F24" i="21"/>
  <c r="H24" i="21"/>
  <c r="F22" i="21"/>
  <c r="F19" i="21"/>
  <c r="H19" i="21"/>
  <c r="F18" i="21"/>
  <c r="H18" i="21"/>
  <c r="F16" i="21"/>
  <c r="H13" i="21"/>
  <c r="F10" i="21"/>
  <c r="H10" i="21"/>
  <c r="G41" i="21"/>
  <c r="H41" i="21"/>
  <c r="G28" i="21"/>
  <c r="H28" i="21"/>
  <c r="G22" i="21"/>
  <c r="H22" i="21"/>
  <c r="G34" i="21"/>
  <c r="H34" i="21"/>
  <c r="G64" i="21"/>
  <c r="H64" i="21"/>
  <c r="G16" i="21"/>
  <c r="H16" i="21"/>
  <c r="H9" i="21"/>
  <c r="H8" i="21"/>
  <c r="H76" i="21"/>
  <c r="H78" i="21"/>
  <c r="H45" i="4"/>
  <c r="F92" i="20"/>
  <c r="H92" i="20"/>
  <c r="H91" i="20"/>
  <c r="F82" i="20"/>
  <c r="H82" i="20"/>
  <c r="H79" i="20"/>
  <c r="H77" i="20"/>
  <c r="H76" i="20"/>
  <c r="H74" i="20"/>
  <c r="F72" i="20"/>
  <c r="H45" i="20"/>
  <c r="H31" i="20"/>
  <c r="H20" i="20"/>
  <c r="H72" i="20"/>
  <c r="H58" i="20"/>
  <c r="H10" i="20"/>
  <c r="H9" i="20"/>
  <c r="H8" i="20"/>
  <c r="H95" i="20"/>
  <c r="H97" i="20"/>
  <c r="H43" i="4"/>
  <c r="F31" i="17"/>
  <c r="H31" i="17"/>
  <c r="H30" i="17"/>
  <c r="F23" i="17"/>
  <c r="F22" i="17"/>
  <c r="H22" i="17"/>
  <c r="H21" i="17"/>
  <c r="F10" i="17"/>
  <c r="H9" i="17"/>
  <c r="F32" i="16"/>
  <c r="H32" i="16"/>
  <c r="H31" i="16"/>
  <c r="F24" i="16"/>
  <c r="F23" i="16"/>
  <c r="H23" i="16"/>
  <c r="H22" i="16"/>
  <c r="F9" i="16"/>
  <c r="H9" i="16"/>
  <c r="H8" i="16"/>
  <c r="H101" i="15"/>
  <c r="H100" i="15"/>
  <c r="F101" i="15"/>
  <c r="F92" i="15"/>
  <c r="H92" i="15"/>
  <c r="F84" i="15"/>
  <c r="H84" i="15"/>
  <c r="F70" i="15"/>
  <c r="H70" i="15"/>
  <c r="F62" i="15"/>
  <c r="H62" i="15"/>
  <c r="F54" i="15"/>
  <c r="H54" i="15"/>
  <c r="F45" i="15"/>
  <c r="H45" i="15"/>
  <c r="F37" i="15"/>
  <c r="H37" i="15"/>
  <c r="F29" i="15"/>
  <c r="H29" i="15"/>
  <c r="F21" i="15"/>
  <c r="H21" i="15"/>
  <c r="F9" i="15"/>
  <c r="H9" i="15"/>
  <c r="H8" i="15"/>
  <c r="I52" i="4"/>
  <c r="F52" i="4"/>
  <c r="F133" i="14"/>
  <c r="F132" i="14"/>
  <c r="F131" i="14"/>
  <c r="F130" i="14"/>
  <c r="F129" i="14"/>
  <c r="F128" i="14"/>
  <c r="F127" i="14"/>
  <c r="F126" i="14"/>
  <c r="F125" i="14"/>
  <c r="F124" i="14"/>
  <c r="F123" i="14"/>
  <c r="F121" i="14"/>
  <c r="F120" i="14"/>
  <c r="F119" i="14"/>
  <c r="F118" i="14"/>
  <c r="F117" i="14"/>
  <c r="F113" i="14"/>
  <c r="F112" i="14"/>
  <c r="F111" i="14"/>
  <c r="F110" i="14"/>
  <c r="F109" i="14"/>
  <c r="F108" i="14"/>
  <c r="F107" i="14"/>
  <c r="C106" i="14"/>
  <c r="F106" i="14"/>
  <c r="C105" i="14"/>
  <c r="C104" i="14"/>
  <c r="C116" i="14"/>
  <c r="F116" i="14"/>
  <c r="F104" i="14"/>
  <c r="C103" i="14"/>
  <c r="F103" i="14"/>
  <c r="C102" i="14"/>
  <c r="C100" i="14"/>
  <c r="C101" i="14"/>
  <c r="C115" i="14"/>
  <c r="F115" i="14"/>
  <c r="F114" i="14"/>
  <c r="F101" i="14"/>
  <c r="F100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C75" i="14"/>
  <c r="F75" i="14"/>
  <c r="C74" i="14"/>
  <c r="F74" i="14"/>
  <c r="F73" i="14"/>
  <c r="C72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1" i="14"/>
  <c r="F30" i="14"/>
  <c r="F29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B4" i="14"/>
  <c r="F122" i="14"/>
  <c r="F28" i="14"/>
  <c r="F32" i="14"/>
  <c r="F27" i="14"/>
  <c r="F9" i="14"/>
  <c r="H7" i="16"/>
  <c r="H35" i="16"/>
  <c r="H37" i="16"/>
  <c r="C9" i="19"/>
  <c r="H8" i="17"/>
  <c r="H34" i="17"/>
  <c r="H36" i="17"/>
  <c r="C8" i="19"/>
  <c r="F79" i="15"/>
  <c r="F78" i="15"/>
  <c r="H78" i="15"/>
  <c r="H20" i="15"/>
  <c r="H7" i="15"/>
  <c r="H108" i="15"/>
  <c r="H110" i="15"/>
  <c r="C8" i="25"/>
  <c r="C11" i="25"/>
  <c r="H58" i="4"/>
  <c r="F8" i="14"/>
  <c r="F102" i="14"/>
  <c r="F105" i="14"/>
  <c r="F99" i="14"/>
  <c r="C10" i="19"/>
  <c r="H60" i="4"/>
  <c r="J1" i="14"/>
  <c r="H55" i="4"/>
  <c r="F98" i="11"/>
  <c r="H98" i="11"/>
  <c r="H97" i="11"/>
  <c r="F93" i="11"/>
  <c r="H93" i="11"/>
  <c r="F89" i="11"/>
  <c r="H89" i="11"/>
  <c r="F85" i="11"/>
  <c r="H85" i="11"/>
  <c r="F81" i="11"/>
  <c r="H81" i="11"/>
  <c r="F77" i="11"/>
  <c r="H77" i="11"/>
  <c r="F73" i="11"/>
  <c r="H73" i="11"/>
  <c r="F69" i="11"/>
  <c r="H69" i="11"/>
  <c r="F65" i="11"/>
  <c r="H65" i="11"/>
  <c r="H61" i="11"/>
  <c r="F61" i="11"/>
  <c r="F57" i="11"/>
  <c r="H57" i="11"/>
  <c r="F53" i="11"/>
  <c r="H53" i="11"/>
  <c r="F49" i="11"/>
  <c r="H49" i="11"/>
  <c r="F45" i="11"/>
  <c r="H45" i="11"/>
  <c r="H40" i="11"/>
  <c r="H39" i="11"/>
  <c r="H38" i="11"/>
  <c r="H37" i="11"/>
  <c r="H36" i="11"/>
  <c r="H35" i="11"/>
  <c r="H34" i="11"/>
  <c r="H33" i="11"/>
  <c r="F32" i="11"/>
  <c r="H32" i="11"/>
  <c r="F29" i="11"/>
  <c r="F25" i="11"/>
  <c r="H25" i="11"/>
  <c r="F21" i="11"/>
  <c r="H21" i="11"/>
  <c r="F17" i="11"/>
  <c r="H17" i="11"/>
  <c r="F13" i="11"/>
  <c r="H13" i="11"/>
  <c r="F9" i="11"/>
  <c r="H9" i="11"/>
  <c r="G29" i="11"/>
  <c r="H29" i="11"/>
  <c r="H8" i="11"/>
  <c r="H7" i="11"/>
  <c r="H101" i="11"/>
  <c r="H103" i="11"/>
  <c r="H44" i="4"/>
  <c r="F225" i="10"/>
  <c r="H225" i="10"/>
  <c r="H224" i="10"/>
  <c r="H219" i="10"/>
  <c r="F219" i="10"/>
  <c r="F214" i="10"/>
  <c r="H214" i="10"/>
  <c r="F209" i="10"/>
  <c r="H209" i="10"/>
  <c r="F205" i="10"/>
  <c r="H205" i="10"/>
  <c r="H201" i="10"/>
  <c r="F201" i="10"/>
  <c r="F196" i="10"/>
  <c r="H196" i="10"/>
  <c r="H192" i="10"/>
  <c r="F192" i="10"/>
  <c r="F188" i="10"/>
  <c r="H188" i="10"/>
  <c r="F184" i="10"/>
  <c r="H184" i="10"/>
  <c r="F179" i="10"/>
  <c r="H179" i="10"/>
  <c r="H174" i="10"/>
  <c r="F174" i="10"/>
  <c r="F170" i="10"/>
  <c r="H170" i="10"/>
  <c r="H165" i="10"/>
  <c r="F165" i="10"/>
  <c r="F160" i="10"/>
  <c r="H160" i="10"/>
  <c r="F156" i="10"/>
  <c r="H156" i="10"/>
  <c r="F151" i="10"/>
  <c r="H151" i="10"/>
  <c r="H146" i="10"/>
  <c r="F146" i="10"/>
  <c r="F141" i="10"/>
  <c r="H141" i="10"/>
  <c r="H138" i="10"/>
  <c r="F138" i="10"/>
  <c r="F135" i="10"/>
  <c r="H135" i="10"/>
  <c r="F132" i="10"/>
  <c r="H132" i="10"/>
  <c r="F129" i="10"/>
  <c r="H129" i="10"/>
  <c r="H125" i="10"/>
  <c r="F125" i="10"/>
  <c r="F122" i="10"/>
  <c r="H122" i="10"/>
  <c r="H116" i="10"/>
  <c r="F116" i="10"/>
  <c r="F112" i="10"/>
  <c r="H112" i="10"/>
  <c r="F107" i="10"/>
  <c r="H107" i="10"/>
  <c r="F104" i="10"/>
  <c r="H104" i="10"/>
  <c r="H101" i="10"/>
  <c r="F101" i="10"/>
  <c r="F97" i="10"/>
  <c r="H97" i="10"/>
  <c r="H92" i="10"/>
  <c r="F92" i="10"/>
  <c r="F89" i="10"/>
  <c r="H89" i="10"/>
  <c r="F86" i="10"/>
  <c r="H86" i="10"/>
  <c r="F83" i="10"/>
  <c r="H83" i="10"/>
  <c r="H80" i="10"/>
  <c r="F80" i="10"/>
  <c r="F76" i="10"/>
  <c r="H76" i="10"/>
  <c r="F72" i="10"/>
  <c r="H72" i="10"/>
  <c r="F68" i="10"/>
  <c r="H68" i="10"/>
  <c r="F63" i="10"/>
  <c r="H63" i="10"/>
  <c r="H59" i="10"/>
  <c r="F59" i="10"/>
  <c r="F55" i="10"/>
  <c r="H55" i="10"/>
  <c r="H49" i="10"/>
  <c r="F49" i="10"/>
  <c r="F43" i="10"/>
  <c r="H43" i="10"/>
  <c r="F41" i="10"/>
  <c r="F39" i="10"/>
  <c r="H39" i="10"/>
  <c r="F40" i="10"/>
  <c r="H40" i="10"/>
  <c r="F33" i="10"/>
  <c r="F31" i="10"/>
  <c r="H31" i="10"/>
  <c r="F32" i="10"/>
  <c r="H32" i="10"/>
  <c r="H24" i="10"/>
  <c r="F23" i="10"/>
  <c r="H23" i="10"/>
  <c r="F21" i="10"/>
  <c r="H18" i="10"/>
  <c r="H17" i="10"/>
  <c r="F17" i="10"/>
  <c r="F15" i="10"/>
  <c r="H12" i="10"/>
  <c r="F11" i="10"/>
  <c r="H11" i="10"/>
  <c r="F9" i="10"/>
  <c r="G21" i="10"/>
  <c r="H21" i="10"/>
  <c r="G9" i="10"/>
  <c r="H9" i="10"/>
  <c r="F27" i="10"/>
  <c r="F35" i="10"/>
  <c r="G15" i="10"/>
  <c r="H15" i="10"/>
  <c r="F29" i="10"/>
  <c r="H29" i="10"/>
  <c r="F37" i="10"/>
  <c r="H37" i="10"/>
  <c r="F30" i="10"/>
  <c r="H30" i="10"/>
  <c r="F38" i="10"/>
  <c r="H38" i="10"/>
  <c r="G35" i="10"/>
  <c r="H35" i="10"/>
  <c r="G27" i="10"/>
  <c r="H27" i="10"/>
  <c r="H8" i="10"/>
  <c r="H7" i="10"/>
  <c r="H228" i="10"/>
  <c r="H231" i="10"/>
  <c r="H46" i="4"/>
  <c r="F152" i="9"/>
  <c r="H152" i="9"/>
  <c r="H151" i="9"/>
  <c r="F146" i="9"/>
  <c r="F145" i="9"/>
  <c r="F144" i="9"/>
  <c r="F142" i="9"/>
  <c r="F141" i="9"/>
  <c r="F140" i="9"/>
  <c r="F139" i="9"/>
  <c r="F135" i="9"/>
  <c r="H135" i="9"/>
  <c r="F131" i="9"/>
  <c r="H131" i="9"/>
  <c r="F127" i="9"/>
  <c r="H127" i="9"/>
  <c r="F123" i="9"/>
  <c r="H123" i="9"/>
  <c r="F119" i="9"/>
  <c r="H119" i="9"/>
  <c r="F115" i="9"/>
  <c r="H115" i="9"/>
  <c r="H114" i="9"/>
  <c r="F110" i="9"/>
  <c r="H110" i="9"/>
  <c r="F106" i="9"/>
  <c r="H106" i="9"/>
  <c r="H105" i="9"/>
  <c r="F101" i="9"/>
  <c r="H101" i="9"/>
  <c r="F96" i="9"/>
  <c r="H96" i="9"/>
  <c r="F92" i="9"/>
  <c r="H92" i="9"/>
  <c r="F87" i="9"/>
  <c r="H87" i="9"/>
  <c r="F82" i="9"/>
  <c r="H82" i="9"/>
  <c r="F78" i="9"/>
  <c r="H78" i="9"/>
  <c r="F73" i="9"/>
  <c r="H73" i="9"/>
  <c r="F69" i="9"/>
  <c r="H69" i="9"/>
  <c r="F65" i="9"/>
  <c r="H65" i="9"/>
  <c r="F61" i="9"/>
  <c r="H61" i="9"/>
  <c r="F56" i="9"/>
  <c r="H56" i="9"/>
  <c r="F51" i="9"/>
  <c r="H51" i="9"/>
  <c r="F47" i="9"/>
  <c r="H47" i="9"/>
  <c r="F43" i="9"/>
  <c r="H43" i="9"/>
  <c r="F38" i="9"/>
  <c r="H38" i="9"/>
  <c r="F33" i="9"/>
  <c r="H33" i="9"/>
  <c r="F28" i="9"/>
  <c r="H28" i="9"/>
  <c r="F23" i="9"/>
  <c r="H23" i="9"/>
  <c r="F18" i="9"/>
  <c r="H18" i="9"/>
  <c r="F14" i="9"/>
  <c r="H14" i="9"/>
  <c r="F10" i="9"/>
  <c r="H10" i="9"/>
  <c r="H9" i="9"/>
  <c r="H118" i="9"/>
  <c r="H109" i="9"/>
  <c r="H8" i="9"/>
  <c r="H156" i="9"/>
  <c r="H158" i="9"/>
  <c r="H42" i="4"/>
  <c r="F201" i="8"/>
  <c r="H201" i="8"/>
  <c r="H200" i="8"/>
  <c r="F198" i="8"/>
  <c r="H198" i="8"/>
  <c r="F194" i="8"/>
  <c r="H194" i="8"/>
  <c r="F190" i="8"/>
  <c r="H190" i="8"/>
  <c r="F186" i="8"/>
  <c r="H186" i="8"/>
  <c r="F182" i="8"/>
  <c r="H182" i="8"/>
  <c r="F178" i="8"/>
  <c r="H178" i="8"/>
  <c r="F174" i="8"/>
  <c r="H174" i="8"/>
  <c r="F170" i="8"/>
  <c r="H170" i="8"/>
  <c r="F166" i="8"/>
  <c r="H166" i="8"/>
  <c r="F162" i="8"/>
  <c r="H162" i="8"/>
  <c r="F158" i="8"/>
  <c r="H158" i="8"/>
  <c r="F154" i="8"/>
  <c r="H154" i="8"/>
  <c r="F150" i="8"/>
  <c r="H150" i="8"/>
  <c r="F146" i="8"/>
  <c r="H146" i="8"/>
  <c r="F142" i="8"/>
  <c r="H142" i="8"/>
  <c r="F138" i="8"/>
  <c r="H138" i="8"/>
  <c r="F134" i="8"/>
  <c r="H134" i="8"/>
  <c r="F130" i="8"/>
  <c r="H130" i="8"/>
  <c r="F126" i="8"/>
  <c r="H126" i="8"/>
  <c r="F122" i="8"/>
  <c r="H122" i="8"/>
  <c r="F118" i="8"/>
  <c r="H118" i="8"/>
  <c r="F114" i="8"/>
  <c r="H114" i="8"/>
  <c r="F110" i="8"/>
  <c r="H110" i="8"/>
  <c r="F106" i="8"/>
  <c r="H106" i="8"/>
  <c r="F102" i="8"/>
  <c r="H102" i="8"/>
  <c r="F98" i="8"/>
  <c r="H98" i="8"/>
  <c r="F94" i="8"/>
  <c r="H94" i="8"/>
  <c r="F90" i="8"/>
  <c r="H90" i="8"/>
  <c r="F86" i="8"/>
  <c r="H86" i="8"/>
  <c r="F82" i="8"/>
  <c r="H82" i="8"/>
  <c r="F78" i="8"/>
  <c r="H78" i="8"/>
  <c r="F74" i="8"/>
  <c r="H74" i="8"/>
  <c r="F70" i="8"/>
  <c r="H70" i="8"/>
  <c r="F66" i="8"/>
  <c r="H66" i="8"/>
  <c r="F62" i="8"/>
  <c r="H62" i="8"/>
  <c r="F58" i="8"/>
  <c r="H58" i="8"/>
  <c r="F54" i="8"/>
  <c r="H54" i="8"/>
  <c r="F50" i="8"/>
  <c r="H50" i="8"/>
  <c r="F46" i="8"/>
  <c r="H46" i="8"/>
  <c r="F42" i="8"/>
  <c r="H42" i="8"/>
  <c r="F38" i="8"/>
  <c r="H38" i="8"/>
  <c r="F34" i="8"/>
  <c r="H34" i="8"/>
  <c r="F29" i="8"/>
  <c r="H29" i="8"/>
  <c r="F24" i="8"/>
  <c r="H24" i="8"/>
  <c r="F19" i="8"/>
  <c r="H19" i="8"/>
  <c r="F14" i="8"/>
  <c r="H14" i="8"/>
  <c r="F9" i="8"/>
  <c r="H9" i="8"/>
  <c r="H8" i="8"/>
  <c r="H7" i="8"/>
  <c r="H204" i="8"/>
  <c r="H206" i="8"/>
  <c r="H41" i="4"/>
  <c r="F881" i="6"/>
  <c r="H881" i="6"/>
  <c r="H872" i="6"/>
  <c r="C27" i="7"/>
  <c r="F244" i="6"/>
  <c r="H244" i="6"/>
  <c r="F242" i="6"/>
  <c r="F240" i="6"/>
  <c r="H240" i="6"/>
  <c r="F230" i="6"/>
  <c r="F228" i="6"/>
  <c r="H228" i="6"/>
  <c r="F223" i="6"/>
  <c r="F221" i="6"/>
  <c r="H221" i="6"/>
  <c r="F220" i="6"/>
  <c r="F219" i="6"/>
  <c r="F214" i="6"/>
  <c r="F213" i="6"/>
  <c r="F211" i="6"/>
  <c r="H211" i="6"/>
  <c r="F208" i="6"/>
  <c r="F207" i="6"/>
  <c r="H207" i="6"/>
  <c r="F205" i="6"/>
  <c r="F210" i="6"/>
  <c r="F209" i="6"/>
  <c r="H209" i="6"/>
  <c r="F202" i="6"/>
  <c r="F201" i="6"/>
  <c r="H201" i="6"/>
  <c r="F200" i="6"/>
  <c r="F199" i="6"/>
  <c r="F196" i="6"/>
  <c r="F195" i="6"/>
  <c r="H195" i="6"/>
  <c r="F193" i="6"/>
  <c r="F191" i="6"/>
  <c r="H191" i="6"/>
  <c r="F186" i="6"/>
  <c r="H186" i="6"/>
  <c r="F182" i="6"/>
  <c r="H182" i="6"/>
  <c r="F168" i="6"/>
  <c r="F167" i="6"/>
  <c r="H167" i="6"/>
  <c r="F163" i="6"/>
  <c r="H163" i="6"/>
  <c r="F157" i="6"/>
  <c r="H157" i="6"/>
  <c r="F144" i="6"/>
  <c r="F117" i="6"/>
  <c r="F116" i="6"/>
  <c r="H116" i="6"/>
  <c r="F114" i="6"/>
  <c r="F113" i="6"/>
  <c r="F111" i="6"/>
  <c r="F109" i="6"/>
  <c r="H109" i="6"/>
  <c r="F107" i="6"/>
  <c r="F106" i="6"/>
  <c r="F104" i="6"/>
  <c r="F102" i="6"/>
  <c r="H102" i="6"/>
  <c r="F101" i="6"/>
  <c r="F100" i="6"/>
  <c r="F99" i="6"/>
  <c r="H99" i="6"/>
  <c r="F97" i="6"/>
  <c r="F96" i="6"/>
  <c r="F95" i="6"/>
  <c r="F94" i="6"/>
  <c r="F93" i="6"/>
  <c r="F90" i="6"/>
  <c r="F89" i="6"/>
  <c r="F86" i="6"/>
  <c r="H86" i="6"/>
  <c r="F84" i="6"/>
  <c r="H84" i="6"/>
  <c r="F83" i="6"/>
  <c r="F82" i="6"/>
  <c r="H82" i="6"/>
  <c r="F81" i="6"/>
  <c r="F80" i="6"/>
  <c r="H80" i="6"/>
  <c r="F77" i="6"/>
  <c r="H77" i="6"/>
  <c r="F75" i="6"/>
  <c r="F73" i="6"/>
  <c r="H73" i="6"/>
  <c r="F63" i="6"/>
  <c r="F62" i="6"/>
  <c r="F60" i="6"/>
  <c r="F59" i="6"/>
  <c r="F58" i="6"/>
  <c r="F55" i="6"/>
  <c r="F53" i="6"/>
  <c r="H53" i="6"/>
  <c r="F52" i="6"/>
  <c r="F51" i="6"/>
  <c r="F45" i="6"/>
  <c r="H45" i="6"/>
  <c r="F44" i="6"/>
  <c r="F42" i="6"/>
  <c r="F39" i="6"/>
  <c r="F38" i="6"/>
  <c r="F35" i="6"/>
  <c r="F34" i="6"/>
  <c r="H34" i="6"/>
  <c r="F32" i="6"/>
  <c r="F30" i="6"/>
  <c r="F28" i="6"/>
  <c r="H28" i="6"/>
  <c r="F26" i="6"/>
  <c r="F24" i="6"/>
  <c r="F20" i="6"/>
  <c r="F18" i="6"/>
  <c r="F16" i="6"/>
  <c r="H16" i="6"/>
  <c r="H15" i="6"/>
  <c r="H14" i="6"/>
  <c r="H13" i="6"/>
  <c r="H12" i="6"/>
  <c r="H11" i="6"/>
  <c r="H10" i="6"/>
  <c r="G38" i="5"/>
  <c r="G37" i="5"/>
  <c r="G36" i="5"/>
  <c r="G35" i="5"/>
  <c r="G34" i="5"/>
  <c r="G33" i="5"/>
  <c r="G32" i="5"/>
  <c r="G31" i="5"/>
  <c r="G29" i="5"/>
  <c r="G27" i="5"/>
  <c r="G26" i="5"/>
  <c r="G25" i="5"/>
  <c r="G24" i="5"/>
  <c r="G23" i="5"/>
  <c r="G22" i="5"/>
  <c r="G21" i="5"/>
  <c r="G20" i="5"/>
  <c r="G19" i="5"/>
  <c r="G18" i="5"/>
  <c r="G17" i="5"/>
  <c r="G15" i="5"/>
  <c r="G14" i="5"/>
  <c r="G13" i="5"/>
  <c r="G12" i="5"/>
  <c r="G11" i="5"/>
  <c r="G10" i="5"/>
  <c r="G9" i="5"/>
  <c r="G8" i="5"/>
  <c r="I58" i="4"/>
  <c r="F58" i="4"/>
  <c r="I59" i="4"/>
  <c r="F59" i="4"/>
  <c r="I47" i="4"/>
  <c r="F47" i="4"/>
  <c r="I39" i="4"/>
  <c r="I46" i="4"/>
  <c r="F46" i="4"/>
  <c r="I45" i="4"/>
  <c r="F45" i="4"/>
  <c r="I44" i="4"/>
  <c r="I43" i="4"/>
  <c r="F43" i="4"/>
  <c r="I42" i="4"/>
  <c r="F42" i="4"/>
  <c r="I55" i="4"/>
  <c r="F55" i="4"/>
  <c r="I56" i="4"/>
  <c r="F56" i="4"/>
  <c r="I57" i="4"/>
  <c r="F57" i="4"/>
  <c r="H35" i="4"/>
  <c r="G35" i="4"/>
  <c r="H37" i="4"/>
  <c r="H172" i="6"/>
  <c r="C13" i="7"/>
  <c r="C29" i="7"/>
  <c r="F217" i="6"/>
  <c r="H217" i="6"/>
  <c r="F22" i="6"/>
  <c r="H22" i="6"/>
  <c r="F40" i="6"/>
  <c r="H40" i="6"/>
  <c r="F36" i="6"/>
  <c r="H36" i="6"/>
  <c r="C28" i="7"/>
  <c r="H199" i="6"/>
  <c r="F204" i="6"/>
  <c r="F203" i="6"/>
  <c r="H203" i="6"/>
  <c r="F61" i="6"/>
  <c r="F67" i="6"/>
  <c r="H67" i="6"/>
  <c r="F88" i="6"/>
  <c r="H88" i="6"/>
  <c r="H871" i="6"/>
  <c r="F91" i="6"/>
  <c r="H91" i="6"/>
  <c r="C12" i="7"/>
  <c r="C20" i="7"/>
  <c r="F49" i="6"/>
  <c r="H49" i="6"/>
  <c r="H113" i="6"/>
  <c r="F115" i="6"/>
  <c r="H115" i="6"/>
  <c r="C26" i="7"/>
  <c r="F98" i="6"/>
  <c r="H98" i="6"/>
  <c r="H96" i="6"/>
  <c r="F66" i="6"/>
  <c r="H66" i="6"/>
  <c r="F64" i="6"/>
  <c r="H64" i="6"/>
  <c r="C15" i="7"/>
  <c r="F108" i="6"/>
  <c r="H108" i="6"/>
  <c r="H106" i="6"/>
  <c r="H205" i="6"/>
  <c r="F198" i="6"/>
  <c r="F197" i="6"/>
  <c r="H197" i="6"/>
  <c r="I60" i="4"/>
  <c r="F60" i="4"/>
  <c r="I54" i="4"/>
  <c r="F54" i="4"/>
  <c r="I53" i="4"/>
  <c r="F53" i="4"/>
  <c r="F39" i="4"/>
  <c r="F44" i="4"/>
  <c r="I41" i="4"/>
  <c r="C17" i="7"/>
  <c r="H870" i="6"/>
  <c r="C31" i="7"/>
  <c r="C30" i="7"/>
  <c r="C11" i="7"/>
  <c r="F56" i="6"/>
  <c r="F69" i="6"/>
  <c r="H69" i="6"/>
  <c r="F65" i="6"/>
  <c r="H65" i="6"/>
  <c r="C21" i="7"/>
  <c r="C10" i="7"/>
  <c r="C14" i="7"/>
  <c r="C18" i="7"/>
  <c r="C25" i="7"/>
  <c r="C24" i="7"/>
  <c r="C23" i="7"/>
  <c r="I37" i="4"/>
  <c r="F41" i="4"/>
  <c r="F68" i="6"/>
  <c r="H68" i="6"/>
  <c r="G56" i="6"/>
  <c r="H56" i="6"/>
  <c r="H8" i="6"/>
  <c r="F37" i="4"/>
  <c r="C19" i="7"/>
  <c r="C16" i="7"/>
  <c r="C9" i="7"/>
  <c r="C8" i="7"/>
  <c r="H884" i="6"/>
  <c r="H886" i="6"/>
  <c r="C32" i="7"/>
  <c r="H40" i="4"/>
  <c r="I40" i="4"/>
  <c r="I38" i="4"/>
  <c r="I61" i="4"/>
  <c r="H38" i="4"/>
  <c r="H61" i="4"/>
  <c r="I27" i="4"/>
  <c r="F40" i="4"/>
  <c r="I28" i="4"/>
  <c r="I29" i="4"/>
  <c r="F38" i="4"/>
  <c r="F61" i="4"/>
</calcChain>
</file>

<file path=xl/sharedStrings.xml><?xml version="1.0" encoding="utf-8"?>
<sst xmlns="http://schemas.openxmlformats.org/spreadsheetml/2006/main" count="9175" uniqueCount="3883">
  <si>
    <t>Celkem</t>
  </si>
  <si>
    <t>Poznámka:</t>
  </si>
  <si>
    <t>Cena celkem</t>
  </si>
  <si>
    <t>Stavba :</t>
  </si>
  <si>
    <t xml:space="preserve">Investor : </t>
  </si>
  <si>
    <t>TECHNICO Opava s.r.o., Hradecká 1576/51, 746 01 Opava</t>
  </si>
  <si>
    <t>Za investora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</si>
  <si>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</si>
  <si>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</si>
  <si>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</si>
  <si>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</si>
  <si>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</si>
  <si>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</si>
  <si>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</si>
  <si>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</si>
  <si>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</si>
  <si>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Vedlejší rozpočtové a ostatní náklady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</si>
  <si>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</si>
  <si>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</si>
  <si>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soupisu : </t>
  </si>
  <si>
    <t xml:space="preserve">Vypracoval: </t>
  </si>
  <si>
    <t xml:space="preserve">Uchazeč: </t>
  </si>
  <si>
    <t xml:space="preserve">                                                                                               Za uchazeče :</t>
  </si>
  <si>
    <t xml:space="preserve">                                                                                                _______________</t>
  </si>
  <si>
    <t xml:space="preserve">  _______________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</si>
  <si>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</si>
  <si>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>V souladu se zákonem o veřejných zakázkách č.134/2016 Sb. uvedené odkazy na typový výrobek v této dokumentaci slouží pouze pro specifikaci technických parametrů a jejich kvalitativního standardu.</t>
  </si>
  <si>
    <t>Za zhotovitele soupisu: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</si>
  <si>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</si>
  <si>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Soupis prací stavby je zpracován na podkladě projektové dokumentace pro provádění stavby. 
Nedílnou součástí tohoto soupisu prací je projektová dokumentace pro provádění stavby.</t>
  </si>
  <si>
    <t xml:space="preserve">         D.1.1.c.01 VÝPIS DVEŘÍ</t>
  </si>
  <si>
    <t xml:space="preserve">         D.1.1. ASŘ - NOVÝ STAV</t>
  </si>
  <si>
    <t xml:space="preserve">         D.1.1. ASŘ - BOURACÍ PRÁCE</t>
  </si>
  <si>
    <t xml:space="preserve">         D.1.1.c.04 VÝPIS TRUHLÁŘSKÝCH VÝROBKŮ</t>
  </si>
  <si>
    <t xml:space="preserve">         D.1.1.c.05 VÝPIS ZÁMEČNICKÝCH VÝROBKŮ</t>
  </si>
  <si>
    <t xml:space="preserve">         D.1.1.c.06 VÝPIS KLEMPÍŘSKÝCH VÝROBKŮ</t>
  </si>
  <si>
    <t xml:space="preserve">         D.1.1.c.07 VÝPIS OSTATNÍCH VÝROBKŮ</t>
  </si>
  <si>
    <t>Datum: 01/2024</t>
  </si>
  <si>
    <t>Statutární město Liberec, Nám. Dr. E. Beneše 1, 460 59 Liberec 1</t>
  </si>
  <si>
    <t>Energetické úspory ZŠ U soudu - objekt stravovny a jídelny</t>
  </si>
  <si>
    <t xml:space="preserve">         D.1.1.c.02 VÝPIS OKEN</t>
  </si>
  <si>
    <t>Objekt :</t>
  </si>
  <si>
    <t>VEDLEJŠÍ  ROZPOČTOVÉ A OSTATNÍ NÁKLADY</t>
  </si>
  <si>
    <t>Díl:</t>
  </si>
  <si>
    <t>000</t>
  </si>
  <si>
    <t>Např. dle §8, §9, §10 apod. vyhlášky č.169/2016 Sb., rozpočtových standardů apod.</t>
  </si>
  <si>
    <t>Cenová soustava</t>
  </si>
  <si>
    <t>011002001 RTO</t>
  </si>
  <si>
    <t xml:space="preserve">Zajištění průzkumů, zkoušek, atestů, sond a revizí apod. uvedených v rozhodnutích a v projektové dokumetnaci nezbytně nutných k provedení díla. </t>
  </si>
  <si>
    <t>sada</t>
  </si>
  <si>
    <t>011002002 RTO</t>
  </si>
  <si>
    <t>Zpracování geodetického zaměření skutečného provedení stavby a geometrických plánů dle SoD a dle požadavků DOSS a zápisu do KN (je-li vyžadováno).</t>
  </si>
  <si>
    <t>011002003 RTO</t>
  </si>
  <si>
    <t>Vypracování dokumentace skutečného provedení stavby  dle SoD, platné legislativy, podmínek a požadavků investora a uživatele zajištění požadovaných dokladů a vyjádření DOSS.</t>
  </si>
  <si>
    <t>011002004 RTO</t>
  </si>
  <si>
    <t xml:space="preserve">Vypracování zhotovitelské realizačnÍ a výrobní projektové dokumentace a její koordinace. </t>
  </si>
  <si>
    <t>011002005 RTO</t>
  </si>
  <si>
    <t>Zpracování harmonogramu stavby a ZOV včetně průběžné aktualizace.</t>
  </si>
  <si>
    <t>011002006 RTO</t>
  </si>
  <si>
    <t>Vytýčení inženýrských sítí  - vč. případných kopaných sond, vč. projednání se správci, apod.</t>
  </si>
  <si>
    <t>011002007 RTO</t>
  </si>
  <si>
    <t>Vytýčení prostorové polohy dopravní a technické infrastruktury.</t>
  </si>
  <si>
    <t>011002008 RTO</t>
  </si>
  <si>
    <t>Zařízení staveniště</t>
  </si>
  <si>
    <t>" - Vybavení a provoz staveniště, bezpečnostní hrazení, oplocení, zajištění přístupu na staveniště, zajištění ostraha majetku osob v průběhu realizace stavby a až do předání stavby do užívání, zabezpečení staveniště, vnější stavby a ploch dotčených stavbou, vybavení proti odcizení a škodám, uvedení pozemků a všech povrchů dotčených stavbou včetně zařízení staveniště do původního stavu či do stavu dle Sod, PD, požadavků investora, uživatele apod. po zrušení staveniště. "</t>
  </si>
  <si>
    <t>011002009 RTO</t>
  </si>
  <si>
    <t>Zajištění a projednání všech nezbytných administrativních úkonů spojených s realizací stavby.</t>
  </si>
  <si>
    <t>011002010 RTO</t>
  </si>
  <si>
    <t>Zajištění kompletační a koordinační činnosti spojených s realizací stavby a následným dáním do užívání.</t>
  </si>
  <si>
    <t>hod</t>
  </si>
  <si>
    <t>011002011 RTO</t>
  </si>
  <si>
    <t>Provedení veškerých měření a zkoušek, zkoušek provedených násypů, revizních zpráv apod. dle platné legislativy a dle SoD.</t>
  </si>
  <si>
    <t>011002012 RTO</t>
  </si>
  <si>
    <t xml:space="preserve">Jednání s dotčenými institucemi, s dotčenými orgány státní správy a samosprávy - například zajištění dokladů nutných k získání kolaudačního souhlasu, povolení a rozhodnutí nutných k realizaci stavby apod. </t>
  </si>
  <si>
    <t>011002013 RTO</t>
  </si>
  <si>
    <t>Součinnost se všemi zúčastněnými stranami - investorem, budoucím uživatelem, prjektantem, zástupci organizací státní správy, koordinátorem BOZP apod.</t>
  </si>
  <si>
    <t>011002014 RTO</t>
  </si>
  <si>
    <t>Zajištění splnění podmínek vyplývajících z vydaných rozhodnutí a povolení apod.</t>
  </si>
  <si>
    <t>011002015 RTO</t>
  </si>
  <si>
    <t xml:space="preserve">Spolupráce na technických řešení stavby odchylek zjištěných v průběhu stavby. </t>
  </si>
  <si>
    <t>011002016 RTO</t>
  </si>
  <si>
    <t>Technická řešení kolizí se skrytými konstrukcemi, které nemohl projektant předvídat (kolize s podzemními sítěmi a konstrukcemi, apod.).</t>
  </si>
  <si>
    <t>011002017 RTO</t>
  </si>
  <si>
    <t>Technická řešení rozdílů skutečně zjištěného stavu se stavem předpokládaného projektantem apod.</t>
  </si>
  <si>
    <t>011002018 RTO</t>
  </si>
  <si>
    <t>Zaškolení obsluhy a investorem pověřených osob, vypracování a odsouhlasení provozních a manipulačních řádů, proškolení provozovatele s provozováním a užíváním realizovaného díla dle SoD a jiných podmínek.</t>
  </si>
  <si>
    <t>011002019 RTO</t>
  </si>
  <si>
    <t>Územní vlivy</t>
  </si>
  <si>
    <t>" - Vlivy klimatických podmínek : - Zajištění odvodnění staveniště, zajištění proti účinkům větru, vyšší ztratné u zabudovaných materiálů, zpomalení / omezení výstavby z titulu nízkých nebo vysokých teplot, spotřeba obalového materiálu, odklizení sněhu a námrazy, posypový materiál, potřeba nadstandartních pracovních oděvů, zajištění nápojů pro zaměstnance v době vysokých teplot, čerpání vody při zaplavení výkopů nebo konstrukcí, oprava zabezpečení výkopů. " "                                                          " - Mimostaveništění doprava materiálů a výrobků. "</t>
  </si>
  <si>
    <t>011002020 RTO</t>
  </si>
  <si>
    <t>Provozní vlivy</t>
  </si>
  <si>
    <t>" - Náklady způsobené silničním provozem a provozem třetích osob a nelze jej v průběhu stavby vyloučit. "                " - Náklady spojené s pracemi v ochranných pásmech. "
" - Náklady spojené s dočasnými zábory na pozemcích mimo vlastnictví investora.</t>
  </si>
  <si>
    <t>011002023 RTO</t>
  </si>
  <si>
    <t>Bezpečnostní opatření na ochranu osob a majetku v rozsahu platné legislativy a dle podmínek v SoD.</t>
  </si>
  <si>
    <t>011002024 RTO</t>
  </si>
  <si>
    <t>Fotodokumentace průběhu výstavby a dle specifikace uvedené SoD a podmínek dotačního titulu.</t>
  </si>
  <si>
    <t>011002026 RTO</t>
  </si>
  <si>
    <t xml:space="preserve">Pasportizace území stavby a jejího okolí, zejména stavu příjezdových komunikací staveništní dopravy, předpokládaných dotčených ploch zasažených realizací stavby, požadavků vlastníků a uživatelů sousedních nemovitostí, DOSS apod. </t>
  </si>
  <si>
    <t>011002027 RTO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</si>
  <si>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</si>
  <si>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011002028 RTO</t>
  </si>
  <si>
    <t>Vzorkování materiálu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</si>
  <si>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</si>
  <si>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</si>
  <si>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</si>
  <si>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</si>
  <si>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</si>
  <si>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011002029 RTO</t>
  </si>
  <si>
    <t>Montáž + Demontáž + Pronájem kontejneru pro uskladnění zařízení/vybavení apod uživatele objektu po celou dobu výstavby + 3měsíce
Umístění, velikost apod - viz Speficikace dle PD</t>
  </si>
  <si>
    <t>011002030 RTO</t>
  </si>
  <si>
    <t>Náklady na stěhování a nastěhování vnitřního vybavení objektu včetně transportních prostředkl, balícího a ochranného materiálu apod.</t>
  </si>
  <si>
    <t xml:space="preserve">CS ÚRS/TEO 2024 01 </t>
  </si>
  <si>
    <t>CS ÚRS/TEO 2024 01</t>
  </si>
  <si>
    <t>011002031 RTO</t>
  </si>
  <si>
    <t>Demont, Zpětmont, Vyspravení, Repase, Uskladnění během realizace stavby stávajících herních prvků nacházející se na pozemku objektu jídelny   ks - zjistit počet dle situace</t>
  </si>
  <si>
    <t xml:space="preserve">Včetně nákladů na přesmístění k uskladnění apod. </t>
  </si>
  <si>
    <t>Stavba:  Energetické úspory ZŠ U soudu - objekt stravovny a jídelny</t>
  </si>
  <si>
    <t>Objekt:   D.1.1. ASŘ</t>
  </si>
  <si>
    <t>Část:   NOVÝ STAV</t>
  </si>
  <si>
    <t>P.Č.</t>
  </si>
  <si>
    <t>KCN</t>
  </si>
  <si>
    <t>Kód položky</t>
  </si>
  <si>
    <t>Popis</t>
  </si>
  <si>
    <t>MJ</t>
  </si>
  <si>
    <t>Množství celkem</t>
  </si>
  <si>
    <t>Cena jednotková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</si>
  <si>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</si>
  <si>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</si>
  <si>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</si>
  <si>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</si>
  <si>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</si>
  <si>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</si>
  <si>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</si>
  <si>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</si>
  <si>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</si>
  <si>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</si>
  <si>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</si>
  <si>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</si>
  <si>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CS ÚRS 2024 01</t>
  </si>
  <si>
    <t>Pohotovost čerpací soupravy pro dopravní výšku do 10 m přítok do 500 l/min</t>
  </si>
  <si>
    <t>den</t>
  </si>
  <si>
    <t>Dočasné zajištění potrubí ocelového nebo litinového DN do 500 mm</t>
  </si>
  <si>
    <t>m</t>
  </si>
  <si>
    <t>Dočasné zajištění potrubí z PE DN do 500 mm</t>
  </si>
  <si>
    <t>Dočasné zajištění potrubí betonového, ŽB nebo kameninového DN do 500 mm</t>
  </si>
  <si>
    <t>Dočasné zajištění kabelů a kabelových tratí z 6 volně ložených kabelů</t>
  </si>
  <si>
    <t>Hloubení nezapažených jam v nesoudržných horninách třídy těžitelnosti I skupiny 3 ručně</t>
  </si>
  <si>
    <t>m3</t>
  </si>
  <si>
    <t>" Hloubení jam - 40% z celkové kubatury "</t>
  </si>
  <si>
    <t>" Okolo objektu." (10,64+153,6+41,61+33)*0,45</t>
  </si>
  <si>
    <t>" Hloubení jam - 10% z celkové kubatury "</t>
  </si>
  <si>
    <t>" Technologický kanál." (35,46+19,3)*0,10</t>
  </si>
  <si>
    <t>" V ceně zohledněno svislé přemístění zeminy, naložení výkopku nebo uložení ve vzdálenosti do 3,0 m od jámy, lepivost a případné urovnání dna. "</t>
  </si>
  <si>
    <t>Hloubení zapažených jam v nesoudržných horninách třídy těžitelnosti II skupiny 4 ručně</t>
  </si>
  <si>
    <t>" Hloubení jam - 45% z celkové kubatury "</t>
  </si>
  <si>
    <t>" Hloubení jam - 70% z celkové kubatury "</t>
  </si>
  <si>
    <t>" Technologický kanál." (35,46+19,3)*0,70</t>
  </si>
  <si>
    <t>Hloubení zapažených jam v nesoudržných horninách třídy těžitelnosti II skupiny 5 ručně</t>
  </si>
  <si>
    <t>" Okolo objektu." (10,64+153,6+41,61+33)*0,10</t>
  </si>
  <si>
    <t>" Hloubení jam - 20% z celkové kubatury "</t>
  </si>
  <si>
    <t>" Technologický kanál." (35,46+19,3)*0,20</t>
  </si>
  <si>
    <t>" V ceně zohledněno svislé přemístění zeminy, naložení výkopku nebo uložení ve vzdálenosti do 3,0 m od jámy a případné urovnání dna. "</t>
  </si>
  <si>
    <t>Příplatek za ztížení vykopávky v blízkosti podzemního vedení</t>
  </si>
  <si>
    <t>" Příplatek 10 % " (10,64+153,6+41,61+33)*0,10</t>
  </si>
  <si>
    <t>Zhutnění podloží z hornin soudržných nebo nesoudržných pod násypy</t>
  </si>
  <si>
    <t>m2</t>
  </si>
  <si>
    <t>" Hutnění podloží pod konstrukcemi "</t>
  </si>
  <si>
    <t>" Hutnění podloží pod základy - úroveň základových desek " (71,81)</t>
  </si>
  <si>
    <t>" Hutnění podloží pod základy - technologický kanál " (3,24)</t>
  </si>
  <si>
    <t>Zásyp jam, šachet rýh nebo kolem objektů sypaninou se zhutněním ručně</t>
  </si>
  <si>
    <t>" Zásyp dovezenou zeminou. "</t>
  </si>
  <si>
    <t>" Zásyp dovezenou zeminou - ručně kolem objektu " (238,85)</t>
  </si>
  <si>
    <t>" Zásyp štěrkodrtí "</t>
  </si>
  <si>
    <t>" Zásyp štěrkodrti - ručně kolem objektu " (15,0)*1,1</t>
  </si>
  <si>
    <t>Zásyp v uzavřených prostorech sypaninou se zhutněním ručně</t>
  </si>
  <si>
    <t>" Zásyp dovezenou zeminou - ručně - vyrovnání terénu pod novou základovou desku. " (85,0)</t>
  </si>
  <si>
    <t>" Zásyp dovezenou zeminou - ručně okolo objektu. " (238,85)</t>
  </si>
  <si>
    <t>zemina pro terénní úpravy - tříděná</t>
  </si>
  <si>
    <t>t</t>
  </si>
  <si>
    <t>" Zásyp dovezenou zeminou - ručně - vyrovnání terénu pod novou základovou desku. " (85,0)*1,7</t>
  </si>
  <si>
    <t>" Zásyp dovezenou zeminou - ručně okolo objektu " (238,85)*1,7</t>
  </si>
  <si>
    <t>štěrkodrť frakce 0/32</t>
  </si>
  <si>
    <t>" Zásyp štěrkodrti - ručně kolem objektu " (16,5)*2,0</t>
  </si>
  <si>
    <t>189999803 SPC</t>
  </si>
  <si>
    <t>Náklady spojené s odvozem a uložením sypaniny / výkopku / navážky na skládku - vzdálenost skládky do 10 km</t>
  </si>
  <si>
    <t>" Odvoz zeminy z odkopávek ostatních - přesuny strojně. "</t>
  </si>
  <si>
    <t>" Odvoz zeminy celkem z výkopových prací - Třída těžitelnosti I "</t>
  </si>
  <si>
    <t>" Odvoz zeminy z hloubení jam - okolo objektu " (10,64+153,6+41,61+33)*0,45</t>
  </si>
  <si>
    <t>" Odvoz zeminy z hloubení jam - technologický kanál "  (35,46+19,3)*0,10</t>
  </si>
  <si>
    <t>" Odvoz zeminy celkem z výkopových prací - Třída těžitelnosti II "</t>
  </si>
  <si>
    <t>" Odvoz zeminy z hloubení jam - okolo objektu " (10,64+153,6+41,61+33)*0,45+(10,64+153,6+41,61+33)*0,10</t>
  </si>
  <si>
    <t>" Odvoz zeminy z hloubení jam - technologický kanál " (35,46+19,3)*0,70+(35,46+19,3)*0,20</t>
  </si>
  <si>
    <t>" - Nakládání výkopku z hornin třídy těžitelnosti I skupiny 1 až 3 přes 100 m3 "</t>
  </si>
  <si>
    <t>" - Nakládání výkopku z hornin třídy těžitelnosti II skupiny 4 a 5 přes 100 m3 "</t>
  </si>
  <si>
    <t>" - Vodorovné přemístění přes 9 000 do 10000 m výkopku/sypaniny z horniny třídy těžitelnosti I skupiny 1 až 3 "</t>
  </si>
  <si>
    <t>" - Vodorovné přemístění do 10000 m výkopku/sypaniny z horniny třídy těžitelnosti II, skupiny 4 a 5 "</t>
  </si>
  <si>
    <t>" - Uložení sypaniny do násypů nezhutněných strojně - uložení zeminy na trvalé skládce vč. předepsaného zhutnění "</t>
  </si>
  <si>
    <t>" - Poplatek za uložení na skládce (skládkovné) zeminy a kamení kód odpadu 17 05 04 "</t>
  </si>
  <si>
    <t>" POZN: Množství ze poplatek násobeno vzhledem k MJ koeficientem 2,0 → 1 m3 ≈ 2,0 t. "</t>
  </si>
  <si>
    <t>"  Včetně naložení, svislého a vodorovného přesunu zeminy / sypaniny / výkopku. 
Likvidace v souladu se zákonem č. 541/2020 Sb. O odpadech vč. správného začlenění dle přílohy č. 1 vyhlášky č. 8/2021 o Katalogu odpadů a posuzování vlastností odpadů (Katalog odpadů). 
Likvidace dle technologie na místa určené zhotovitelem, včetně poplatků za uložení zeminy / sypaniny / výkopku. "</t>
  </si>
  <si>
    <t>Zakládání</t>
  </si>
  <si>
    <t>18</t>
  </si>
  <si>
    <t>002</t>
  </si>
  <si>
    <t>Trativody z drenážních trubek plastových flexibilních D 125 mm bez lože</t>
  </si>
  <si>
    <t>" Perforované potrubí PVC v drážce pro odvětrání podloží od radonu. "</t>
  </si>
  <si>
    <t>" Drenážní potrubí pro odvětrání podloží. " (168,5)*1,1</t>
  </si>
  <si>
    <t>" POZN: Lože neuvažováno. Pro lože a obsyp uvažován materiál tvořící podloží objektu pod základovou deskou. "</t>
  </si>
  <si>
    <t>19</t>
  </si>
  <si>
    <t>212751901 SPC</t>
  </si>
  <si>
    <t>D+M Napojení drenážního potrubí pro odvod radonu na stoupací těsné potrubí - Specifikace dle PD</t>
  </si>
  <si>
    <t>kus</t>
  </si>
  <si>
    <t>" Provedení napojení potrubí drenážního na svislé vzduchotěsné potrubí KG 125. " (2)</t>
  </si>
  <si>
    <t>" V ceně veškerý materiál a práce související s napojením a jeho dokonalým utěsněním, vč. přesunu hmot. "</t>
  </si>
  <si>
    <t>20</t>
  </si>
  <si>
    <t>Zřízení vrstvy z geotextilie v rovině nebo ve sklonu do 1:5 š do 3 m</t>
  </si>
  <si>
    <t>" Ochrana drenážních trubek na odvod radonu proti zalití betonem. " (168,5)*0,4</t>
  </si>
  <si>
    <t>21</t>
  </si>
  <si>
    <t>693</t>
  </si>
  <si>
    <t>geotextilie netkaná separační, ochranná, filtrační, drenážní PES 110g/m2</t>
  </si>
  <si>
    <t>" Geotextílie na ochranu drenážních trubek na odvod radonu proti zalití betonem. " ((168,5)*0,4)*1,15</t>
  </si>
  <si>
    <t>Zemní vrut pro kontejnery a dřevostavby D 76 mm dl 1300 mm</t>
  </si>
  <si>
    <t>" Zemní vrut - ocelové schodiště venkovní. " (6)</t>
  </si>
  <si>
    <t>Zemní vrut pro kontejnery a dřevostavby D 76 mm dl 1600 mm</t>
  </si>
  <si>
    <t>" Zemní vrut - venkovní rampa vč. zastřešení. " (9)</t>
  </si>
  <si>
    <t>011</t>
  </si>
  <si>
    <t>271542211 RTO</t>
  </si>
  <si>
    <t>Podsyp pod základové konstrukce se zhutněním ze štěrkodrtě 0-32</t>
  </si>
  <si>
    <t>" Podsyp pod základovou desku - tl. 250 mm " (68,387)*0,250</t>
  </si>
  <si>
    <t>" Podsyp pod technologický kanál - tl. 250 mm " (2,823)*0,250</t>
  </si>
  <si>
    <t>Základové desky ze ŽB se zvýšenými nároky na prostředí tř. C 25/30</t>
  </si>
  <si>
    <t xml:space="preserve">" Beton C 25/30 - XC2, XA1 - Cl 0,20 - Dmax 22 - S3 " </t>
  </si>
  <si>
    <t>" Základová deska - úroveň 1.NP " (68,387)*1,05</t>
  </si>
  <si>
    <t>" Základová deska - technologický kanál " (2,823)*1,05</t>
  </si>
  <si>
    <t>" Vrchní deska - technologický kanál " (0,263)*1,05</t>
  </si>
  <si>
    <t>Zřízení bednění základových desek</t>
  </si>
  <si>
    <t>" Bednění - vrchní deska - technické kanály " (0,263)*1,05</t>
  </si>
  <si>
    <t>Odstranění bednění základových patek</t>
  </si>
  <si>
    <t>274</t>
  </si>
  <si>
    <t>Výztuž základových desek betonářskou ocelí 10 505 (R)</t>
  </si>
  <si>
    <t>" Výztuž základové desky - 60 kg/m3 hmotnost výztuže včetně ztratného a provaření výztuže. " ((71,81/1,05))*0,06</t>
  </si>
  <si>
    <t>" Výztuž základové desky - technologický kanál 110 kg/m3 hmotnost výztuže včetně ztratného a provaření výztuže. " ((2,96+0,28/1,05))*0,110</t>
  </si>
  <si>
    <t>Základové patky z betonu tř. C 25/30</t>
  </si>
  <si>
    <t xml:space="preserve">" Beton C 25/30 - XC2, XA1 " </t>
  </si>
  <si>
    <t>" Základové patky pro sloupy - úroveň 1. NP " (0,058)*1,05</t>
  </si>
  <si>
    <t>" Cena zahrnuje veškeré systémové prvky (těsnící profily, bobtnající pásy, pohledové lišty, dilatační krycí lišty apod.). "</t>
  </si>
  <si>
    <t>Zřízení bednění základových patek</t>
  </si>
  <si>
    <t>" Bednění základových patek - 1.NP " (0,946)*1,05</t>
  </si>
  <si>
    <t>Základová zeď ze ŽB se zvýšenými nároky na prostředí tř. C 25/30 bez výztuže</t>
  </si>
  <si>
    <t>" Základové stěny pro technické kanály. " (4,077)*1,05</t>
  </si>
  <si>
    <t>Zřízení oboustranného bednění základových zdí</t>
  </si>
  <si>
    <t>" Bednění stěn technického kanálu. " (55,242)*1,05</t>
  </si>
  <si>
    <t>Odstranění oboustranného bednění základových zdí</t>
  </si>
  <si>
    <t>Výztuž základových zdí nosných betonářskou ocelí 10 505</t>
  </si>
  <si>
    <t>" Výztuž základových zdí - technologický kanál 110 kg/m3, hmotnost výztuže včetně ztratného a provaření výztuže. " ((4,28)/1,05)*0,11</t>
  </si>
  <si>
    <t>Svislé a kompletní konstrukce</t>
  </si>
  <si>
    <t>Zdivo nosné z cihel dl 290 mm P7 až 15 na MC 5 nebo MC 10</t>
  </si>
  <si>
    <t>" Zdivo z cihel plných pálených na dozdívky, stěny. "</t>
  </si>
  <si>
    <t>" 1. PP " (2,082)*1,05</t>
  </si>
  <si>
    <t>" 1. NP " (2,41)*1,05</t>
  </si>
  <si>
    <t>" 2. NP " (1,935)*1,05</t>
  </si>
  <si>
    <t>Zdivo z pórobetonových tvárnic hladkých přes P2 do P4 přes 450 do 600 kg/m3 na tenkovrstvou maltu tl 250 mm</t>
  </si>
  <si>
    <t>" Zdivo z pórobetonových tvárnic na dozdívky, stěny. "</t>
  </si>
  <si>
    <t>" 1. NP " (1,816)*1,05</t>
  </si>
  <si>
    <t>Překlad nenosný pórobetonový š 150 mm v do 250 mm na tenkovrstvou maltu dl přes 1000 do 1250 mm</t>
  </si>
  <si>
    <t xml:space="preserve">" Překlad plochý 150×249×1250mm - PP1c " </t>
  </si>
  <si>
    <t>" 1. NP " (1)</t>
  </si>
  <si>
    <t>" V ceně dodání a uložení překladu, promazání ložné plochy maltou, montážní podepření. "</t>
  </si>
  <si>
    <t>317999101 SPC</t>
  </si>
  <si>
    <t>D+M Ocelobetonový překlad s valcovanými nosníky, 2x I č. 100, dl. 2,0 m - P09</t>
  </si>
  <si>
    <t>" Překlady včetně spojení nosníků při spodním povrchu pásovou ocelí a jejich vzájemného svaření. "</t>
  </si>
  <si>
    <t>" Překlad - 1.NP. " (1)</t>
  </si>
  <si>
    <t>" Včetně I profilů, betonový podkladní kvádřík pro osazení nosníků, vysekání kapsy pro podkladní kvádřík , obetonování nosníků, výplň betonem mezi nosníky, bednění a podpůrné konstrukce / cihel pro uložení na spodní příruby.."</t>
  </si>
  <si>
    <t>" V ceně povrchová úprava nosníků zákadním syntetickým nátěrem v min. tloušťce 80 µm, zřízení bednění, odstranění bednění, betonová podkládka, prostor mezi nosníky probetonovat "</t>
  </si>
  <si>
    <t xml:space="preserve">" V ceně přesun hmot " </t>
  </si>
  <si>
    <t>Příčka z pórobetonových hladkých tvárnic na tenkovrstvou maltu tl 100 mm</t>
  </si>
  <si>
    <t>" Příčky z pórobetonových tvárnic. "</t>
  </si>
  <si>
    <t>" 1. NP " (3,528)*1,05</t>
  </si>
  <si>
    <t>" 2. NP " (1,963)*1,05</t>
  </si>
  <si>
    <t>Příčka z pórobetonových hladkých tvárnic na tenkovrstvou maltu tl 150 mm</t>
  </si>
  <si>
    <t>" 1. NP " (2,934)*1,05</t>
  </si>
  <si>
    <t>342291119 SPC</t>
  </si>
  <si>
    <t>Ukotvení příček montážní polyuretanovou pěnou</t>
  </si>
  <si>
    <t>CS ÚRS/TEO 2022 02</t>
  </si>
  <si>
    <t>" Ukotvení zděných a SDK příček ke stropní konstrukci - dilatace . "</t>
  </si>
  <si>
    <t>" Urgent "</t>
  </si>
  <si>
    <t>" V ceně také přesun hmot. "</t>
  </si>
  <si>
    <t>Vodorovné konstrukce</t>
  </si>
  <si>
    <t>411121901 SPC</t>
  </si>
  <si>
    <t>D+M Deska stropní plná PZD - strop nad kolektorem</t>
  </si>
  <si>
    <t>" Předpjaté dutinové panely š. 290 mm, dl. 1790 mm a tl. 90 mm jako stropní konstrukce nového kolektoru.  "</t>
  </si>
  <si>
    <t>" Panely š. 290 mm " (25)</t>
  </si>
  <si>
    <t>" V ceně také zalití spár, podpěrná konstrukce, cementová malta pro uložení. "</t>
  </si>
  <si>
    <t>" V ceně případná úprava rozměrů PZD desky."</t>
  </si>
  <si>
    <t>" V ceně také přesun hmot a další veškeré nutné příslušenství a materiál nutnou pro montáž panelů. "</t>
  </si>
  <si>
    <t>413999901 SPC</t>
  </si>
  <si>
    <t>D+M Podchycení stropu ocelovými nosníky - Specifikace dle PD</t>
  </si>
  <si>
    <t>" Podchycení stropu ocelovými nosníky I100 - nad 1.PP, 1.NP, 2.NP."</t>
  </si>
  <si>
    <t>" V ceně vysekání kapes, kotvení pomocí čelního plechu, pomocné podchycení během prací."</t>
  </si>
  <si>
    <t>413999902 SPC</t>
  </si>
  <si>
    <t>D+M Dobetonávka čela stávajících stropních panelů - Specifikace dle PD</t>
  </si>
  <si>
    <t>" Dobetonávka čela stávajících stropních panelů." (42,55)*1,1</t>
  </si>
  <si>
    <t>Úpravy povrchu, podlahy, osazení</t>
  </si>
  <si>
    <t>612321341 RTO</t>
  </si>
  <si>
    <t>Štuková omítka vnitřních stěn / sloupů</t>
  </si>
  <si>
    <t>" Štuková omítka stropů. "</t>
  </si>
  <si>
    <t>" Nové omítky stěn - 1.PP." (407,5)*1,1</t>
  </si>
  <si>
    <t>" Nové omítky stěn - 1.NP." (989,571)*1,1</t>
  </si>
  <si>
    <t>" Nové omítky stěn - 2.NP." (1165,735)*1,1</t>
  </si>
  <si>
    <t>014</t>
  </si>
  <si>
    <t>612999901 SPC</t>
  </si>
  <si>
    <t>D+M Výplň vysekaných rýh a drážek pro vedení instalací - Specifikace dle PD</t>
  </si>
  <si>
    <t>" Hrubá výplň rýh po osazení instalací před hlavními omítkami. "</t>
  </si>
  <si>
    <t>" V ceně provedení zahození rýh a veškeré práce s tím související vč. přesunu hmot. "</t>
  </si>
  <si>
    <t>619996199 SPC</t>
  </si>
  <si>
    <t>D+M Dočasná ochrana, zakrytí, zajištění, úprava, případná demontáž a zpětná montáž stávajících konstrukcí a prvků během výstavby - části pro napojení profesí s demontáží podhledů - Specifikace dle PD</t>
  </si>
  <si>
    <t>" Ochrana stávajících konstrukcí, otvorů, prvků apod. uvnitř objektu během stavebních prací před poškozením např. pomocí OSB desek a geotextílií, fólií, apod. . "</t>
  </si>
  <si>
    <t>" V ceně montáž, obalení, následovné odstranění po provedení prací, pomocný materiál a veškeré další nutné práce a příslušenství. 
V ceně také přesun hmot, odvoz a likvidace suti. "</t>
  </si>
  <si>
    <t>"  Včetně naložení, svislého a vodorovného přesunu suti, odvoz stavební suti. 
Likvidace v souladu se zákonem č. 541/2020 Sb. O odpadech vč. správného začlenění dle přílohy č. 1 vyhlášky č. 8/2021 o Katalogu odpadů a posuzování vlastností odpadů (Katalog odpadů). 
Likvidace dle technologie na místa určené zhotovitelem, včetně poplatků za uložení odpadu. "</t>
  </si>
  <si>
    <t>9</t>
  </si>
  <si>
    <t>Ostatní konstrukce a práce-bourání</t>
  </si>
  <si>
    <t>003</t>
  </si>
  <si>
    <t>Montáž lešení řadového trubkového lehkého s podlahami zatížení do 200 kg/m2 š od 0,9 do 1,2 m v do 10 m</t>
  </si>
  <si>
    <t xml:space="preserve">" Venkovní lešení včetně ochranného zábradlí, podlahových zarážek, závětrování, zakrývání otvorů, prvků a konstrukcí proti znečištění a poškození." </t>
  </si>
  <si>
    <t>" Venkovní lešení - pro NS " (135,0)*9,0</t>
  </si>
  <si>
    <t>" V ceně náklady na dopravu, montáž, opotřebení, doby pronájmu lešení a demontáž lešení "</t>
  </si>
  <si>
    <t>Příplatek k lešení řadovému trubkovému lehkému s podlahami š 1,2 m v 10 m za první a ZKD den použití</t>
  </si>
  <si>
    <t>" Pronájem lešení - odhad 3 měsíce " ((1215,0)*90)</t>
  </si>
  <si>
    <t>Demontáž lešení řadového trubkového lehkého s podlahami zatížení do 200 kg/m2 š od 0,9 do 1,2 m v do 10 m</t>
  </si>
  <si>
    <t>" Součástí ceny demontáže je zapravení otvorů po lešenářských kotvách systémovými ucpávkami a jejich povrchová úprava. "</t>
  </si>
  <si>
    <t>Montáž ochranné sítě z textilie z umělých vláken</t>
  </si>
  <si>
    <t>" Montáž ochranné sítě pro použité lešení " (1215,0)</t>
  </si>
  <si>
    <t>Příplatek k ochranné síti za první a ZKD den použití</t>
  </si>
  <si>
    <t>" Pronájem sítě - odhad 3 měsíce " (1215,0)*90</t>
  </si>
  <si>
    <t>Demontáž ochranné sítě z textilie z umělých vláken</t>
  </si>
  <si>
    <t xml:space="preserve">" Demontáž ochranné sítě pro použité lešení " </t>
  </si>
  <si>
    <t>Montáž záchytné stříšky š přes 2,5 m</t>
  </si>
  <si>
    <t>" Montáž stříška v místě vchodů 1. NP " (6,0)</t>
  </si>
  <si>
    <t>Příplatek k záchytné stříšce š přes 2,5 m za první a ZKD den použití</t>
  </si>
  <si>
    <t>" Pronájem stříšky - odhad 3 měsíce " (6,0)*90</t>
  </si>
  <si>
    <t>Demontáž záchytné stříšky š přes 2,5 m</t>
  </si>
  <si>
    <t xml:space="preserve">" Demontáž stříšky v místě vchodů 1.NP  </t>
  </si>
  <si>
    <t>Lešení pomocné pro objekty pozemních staveb s lešeňovou podlahou v do 1,9 m zatížení do 150 kg/m2</t>
  </si>
  <si>
    <t>" Interiérové pomocné lešení pro stavební práce. "</t>
  </si>
  <si>
    <t>" Vnitřní lešení 1. PP " (16,7+7,98+11,82+1,08+2,17+3,93+5,21+15,55+6,25+20,91+89,06)</t>
  </si>
  <si>
    <t>" Vnitřní lešení 1. NP " (5,52+7,83+11,25+5,51+32,60+8,11+33,42+18,31+9,47+2,9+4,25+12,8+12,86+3,12+2+1,44+3,36+84,71+192,62+12,28+16,1+7,19+3,879+5,45+3,05+3,29+3,73+6,24+43,03+33,89+17,06+65,26+9,22+23,35+8,21)</t>
  </si>
  <si>
    <t xml:space="preserve">" Intérierové lešení včetně ochranného zábradlí, podlahových zarážek, závětrování apod. " </t>
  </si>
  <si>
    <t>Vyčištění budov bytové a občanské výstavby při výšce podlaží do 4 m</t>
  </si>
  <si>
    <t>" Vyčištění místností po provedení prací. "</t>
  </si>
  <si>
    <t>" Čistý úklid 1. PP " (16,7+7,98+11,82+1,08+2,17+3,93+5,21+15,55+6,25+20,91+89,06)</t>
  </si>
  <si>
    <t>" Čistý úklid 1. NP " (5,52+7,83+11,25+5,51+32,60+8,11+33,42+18,31+9,47+2,9+4,25+12,8+12,86+3,12+2+1,44+3,36+84,71+192,62+12,28+16,1+7,19+3,879+5,45+3,05+3,29+3,73+6,24+43,03+33,89+17,06+65,26+9,22+23,35+8,21)</t>
  </si>
  <si>
    <t>968999001 SPC</t>
  </si>
  <si>
    <t>Oprava poškozených částí podlahy při vybourání příček - Specifikace dle PD</t>
  </si>
  <si>
    <t>" Oprava a doplnění skladby podlah podél vybouráné a nově vybudované příčky."</t>
  </si>
  <si>
    <t>" 2.NP " (13,5)*1,05</t>
  </si>
  <si>
    <t>" Skladba a nášlapná vrstva dle místnosti."</t>
  </si>
  <si>
    <t>" V ceně demontáž poškozené našlapné vrstvy v nutném rozsahu, nahrazení vrstvy ve stejném dekoru a skladbě. "</t>
  </si>
  <si>
    <t>" V ceně také přesun a likvidace suti. "</t>
  </si>
  <si>
    <t>968999002 SPC</t>
  </si>
  <si>
    <t>Doplnění stávajícího prostupu ve stropní konstrukci - Specifikace dle PD</t>
  </si>
  <si>
    <t>" Doplnění stávajícího prostupu ve stropní konstrukci."</t>
  </si>
  <si>
    <t>" 2.NP " (0,6)*1,05</t>
  </si>
  <si>
    <t>" V ceně ztracené bednění z plechu, vylití betonem, skladba a nášlapná vrstva dle místnosti,  ."</t>
  </si>
  <si>
    <t>" Nahrazení vrstvy ve stejném dekoru a skladbě. "</t>
  </si>
  <si>
    <t>99</t>
  </si>
  <si>
    <t>Přesun hmot</t>
  </si>
  <si>
    <t>Přesun hmot pro budovy zděné v přes 6 do 12 m</t>
  </si>
  <si>
    <t>998999901 SPC</t>
  </si>
  <si>
    <t>Ostatní práce a materiály nespecifikované - pro HSV</t>
  </si>
  <si>
    <t>" Ostatní práce a materiál nespecifikované - HSV "</t>
  </si>
  <si>
    <t>HZS</t>
  </si>
  <si>
    <t>HZS1292</t>
  </si>
  <si>
    <t>Hodinová zúčtovací sazba stavební dělník</t>
  </si>
  <si>
    <t>" Stavební práce a dodávky spojené s provedením funkčního celku HSV - výpomoce, doplňkové práce a dodávky,kompletace apod. "</t>
  </si>
  <si>
    <t>PSV</t>
  </si>
  <si>
    <t>Práce a dodávky PSV</t>
  </si>
  <si>
    <t>711</t>
  </si>
  <si>
    <t>Izolace proti vodě, vlhkosti a plynům</t>
  </si>
  <si>
    <t>Izolace proti zemní vlhkosti nopovou fólií ukončení horní lištou</t>
  </si>
  <si>
    <t>" Lišta nopové fólie kolem nepodsklepené části budovy "  (851,0)*1,1</t>
  </si>
  <si>
    <t>711100101 SPC</t>
  </si>
  <si>
    <t>D+M Hydroizolace včetně penetračního nátěru - vodorovná - Specifikace dle PD</t>
  </si>
  <si>
    <t xml:space="preserve">CS ÚRS/TEO 2022 02 </t>
  </si>
  <si>
    <t>" Hydroizolace podkladní betonové desky technologického kanálu - vodorovná vč. ometení povrchu před pokládkou. "</t>
  </si>
  <si>
    <t>" Hydroizolace z SBS modifikovaných asfaltových pásů, nosná vložka - hliník-polyester kombinace + skleněná rohož, horní povrch s jemným minerálním posypem, spodní povrch nakašírovaná spalná fólie - 22,77 m2 " (19,8)*1,15</t>
  </si>
  <si>
    <t>" - Modifikovaný asfaltový penetrační lak na bázi rozpouštědel pod asfaltovou hydroizolaci - 0,00871 t. " ((19,8*0,4)/1000)*1,1</t>
  </si>
  <si>
    <t>" Vodorovná hydroizolace - technologický kanál " (19,8)</t>
  </si>
  <si>
    <r>
      <t>" V ceně kotvící a spojovací prvky, zesílení hydroizolace v rozích a koutech, systémové řešení prostupů, utěsnění prostupů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color indexed="12"/>
        <rFont val="Arial CE"/>
        <family val="2"/>
        <charset val="238"/>
      </rPr>
      <t>pomocí speciální tmelů (lepidel). Všechny spoje a těsnění HI u prostupů budou provedeny v 2. kategorii těsnosti. "</t>
    </r>
    <r>
      <rPr>
        <sz val="8"/>
        <color indexed="10"/>
        <rFont val="Arial CE"/>
        <family val="2"/>
        <charset val="238"/>
      </rPr>
      <t xml:space="preserve"> </t>
    </r>
  </si>
  <si>
    <t>711100102 SPC</t>
  </si>
  <si>
    <t>D+M Hydroizolace včetně penetračního nátěru - svislá - Specifikace dle PD</t>
  </si>
  <si>
    <t>" Hydroizolace technologického kanálu - svislá vč. ometení povrchu před pokládkou. "</t>
  </si>
  <si>
    <t>" Hydroizolace z SBS modifikovaných asfaltových pásů, nosná vložka - hliník-polyester kombinace + skleněná rohož, horní povrch s jemným minerálním posypem, spodní povrch nakašírovaná spalná fólie. - 22,0 m2 " (20,0)*1,1</t>
  </si>
  <si>
    <t>" - Modifikovaný asfaltový penetrační lak na bázi rozpouštědel pod asfaltovou hydroizolaci - 0,01 t. " ((20,0*0,4)/1000)*1,1</t>
  </si>
  <si>
    <t>" Svislá hydroizolace - technologický kanál. " (20,0)</t>
  </si>
  <si>
    <t>Přesun hmot procentní pro izolace proti vodě, vlhkosti a plynům v objektech v do 60 m</t>
  </si>
  <si>
    <t>CS ÚRS 2022 02</t>
  </si>
  <si>
    <t>HZS2161</t>
  </si>
  <si>
    <t>Hodinová zúčtovací sazba izolatér</t>
  </si>
  <si>
    <t xml:space="preserve">" Stavební práce a dodávky spojené s provedením funkčního celku 711 " </t>
  </si>
  <si>
    <t xml:space="preserve">" Ostatní náklady na demontáž, odstranění apod. mj.s vazbou na stávající okolní konstrukce " </t>
  </si>
  <si>
    <t>Povlakové krytiny</t>
  </si>
  <si>
    <t>712</t>
  </si>
  <si>
    <t>712999101 SPC</t>
  </si>
  <si>
    <t>D+M Střecha plochá na stávající konstrukci - extenzivní zeleň - S1</t>
  </si>
  <si>
    <t>" Skladba : "</t>
  </si>
  <si>
    <t>" - Rozchodníková rohož - předpěstovaná vegetační rohož s vytlívající kokosovou rohoži, protkaná PP síťkou, s vrstvou substrátu, tl. 20 mm - 783,15 m2 " (681,0)*1,15</t>
  </si>
  <si>
    <t>" - Extenzivní vegetační substrát vhodný pro pěstování rozchodníků a bylin tl. 80 mm. - 783,15 m3 " (681,0)*1,15</t>
  </si>
  <si>
    <t>" - Filtrační netkaná textílie pro extenzivní a  intenzivní ozelenění z polyester/polypropylenu (125 g/m2) - 783,15 m2 " (681,0)*1,15</t>
  </si>
  <si>
    <t>" - Tlakově zatížitelný drenážní a hydroakumulační prvek z HDPE - 749,10 m2 " (681,0)*1,1</t>
  </si>
  <si>
    <t>" - Ochranná rohož - mechanicky a tepelně zpevněná směs vláken z polyesterového a polypropylenového regenerátu (600g/m2) tl.4 mm - 783,15 m2 " (681,0)*1,15</t>
  </si>
  <si>
    <t>" - Polyethylenová fólie z re-granulátu - 749,10 m2." (681,0)*1,10</t>
  </si>
  <si>
    <t>" - Asfaltový SBS natavitelný pás s polyesterovou rohoží 250g/m2 s ochranou proti prorůstání kořenů - tl. 5,2 mm. - 783,15 m2 " (681,0)*1,15</t>
  </si>
  <si>
    <t>" - SBS asfaltový modifikovaný samolepící pás za studena, nosná vložka skelná mřížka se skelnou rohoží - tl. 3,0 mm - 783,15 m2 " (681,0)*1,15</t>
  </si>
  <si>
    <t>" -  Spádové klíny tepelná izolace - PIR, λ = 0,022 W/(m.K), spád 3% tl. 20 - 300 mm - 134,94 m3 " (681,50*0,180)*1,10</t>
  </si>
  <si>
    <t>" - Tepelná izolace - PIR s oboustrannou krycí vrstvou z černého hliníku, rovinné s polodrážkou λ = 0,022 W/(m.K) - tl. 180 mm - 749,65 m2." (681,50)*1,10</t>
  </si>
  <si>
    <t>" - Natavitelný SBS modifikovaný asfaltový pás s nosnou vložkou z hliníkovo-polyesterové a skelné rohože - tl. 4,0 mm -  773,19 m2. " (681,0)*1,10</t>
  </si>
  <si>
    <t>" - Asfaltový penetrační lak na bázi rozpouštědel - 0,30 t. " ((681,50*0,4)/1000)*1,1</t>
  </si>
  <si>
    <t>" Střecha." (690,50-9,0)</t>
  </si>
  <si>
    <t>" POZN: Jelikož se jedná o plochu, uvažována průměrná výška spádových klínů 180 mm. "</t>
  </si>
  <si>
    <t>" V ceně příprava podkladu před pokládkou střešního pláště (vyčištění, vyspravení, vyrovnání apod.)</t>
  </si>
  <si>
    <t>" Cena skladby včetně ztratného, zesílení izolace při řešení detailů v rozích a u prostupů, vytažení pásu na svislé stěny, zesílení tepelné izolace v místě vpustí, kotvící a spojovací prvky jednotlivých vrstev, lepidla, lepící tmely apod. "</t>
  </si>
  <si>
    <t>D+M Střecha plochá na stávající konstrukci - pochůzí chodník</t>
  </si>
  <si>
    <t>" - Betonová dlažba 500x500x50 mm, hladká , přírodní - 9,9 m2." (9,0)*1,1</t>
  </si>
  <si>
    <t>" - Ochranná rohož - mechanicky a tepelně zpevněná směs vláken z polyesterového a polypropylenového regenerátu (600g/m2) tl.4 mm - 10,35 m2 " (9,0)*1,15</t>
  </si>
  <si>
    <t>" - Polyethylenová fólie z re-granulátu - 9,90 m2." (9,0)*1,10</t>
  </si>
  <si>
    <t>" - Asfaltový SBS natavitelný pás s polyesterovou rohoží 250g/m2 s ochranou proti prorůstání kořenů - tl. 5,2 mm. - 11,39 m2 " (9,90)*1,15</t>
  </si>
  <si>
    <t>" - SBS asfaltový modifikovaný samolepící pás za studena, nosná vložka skelná mřížka se skelnou rohoží - tl. 3,0 mm - 10,35 m2 " (9,0)*1,15</t>
  </si>
  <si>
    <t>" -  Spádové klíny tepelná izolace - PIR, λ = 0,022 W/(m.K), spád 3% tl. 20 - 300 mm - 1,78 m3 " (9,0*0,180)*1,10</t>
  </si>
  <si>
    <t>" - Tepelná izolace - PIR s oboustrannou krycí vrstvou z černého hliníku, rovinné s polodrážkou λ = 0,022 W/(m.K) - tl. 180 mm - 9,90 m2." (9,0)*1,10</t>
  </si>
  <si>
    <t>" - Natavitelný SBS modifikovaný asfaltový pás s nosnou vložkou z hliníkovo-polyesterové a skelné rohože - tl. 4,0 mm - 9,90 m2. " (9,00)*1,10</t>
  </si>
  <si>
    <t>" - Asfaltový penetrační lak na bázi rozpouštědel - 0,0040 t. " ((9,0*0,4)/1000)*1,1</t>
  </si>
  <si>
    <t>" Střecha." (9,00)</t>
  </si>
  <si>
    <t>712999102 SPC</t>
  </si>
  <si>
    <t>D+M Střecha plochá na stávající konstrukci - obsyp kačírkem - S2</t>
  </si>
  <si>
    <t>" - Praný říční štěrk - kačírek - frakce 8-16 - tl. 100 mm - 3,44 t " (63,60)*0,10*1,55*1,05</t>
  </si>
  <si>
    <t>" - Filtrační netkaná textílie pro extenzivní a  intenzivní ozelenění z polyester/polypropylenu (125 g/m2) - 73,14 m2 " (63,60)*1,15</t>
  </si>
  <si>
    <t>" - Tlakově zatížitelný drenážní a hydroakumulační prvek z HDPE - 69,96 m2 " (63,60)*1,1</t>
  </si>
  <si>
    <t>" - Ochranná rohož - mechanicky a tepelně zpevněná směs vláken z polyesterového a polypropylenového regenerátu (600g/m2) tl.4 mm - 73,14 m2 " (63,60)*1,15</t>
  </si>
  <si>
    <t>" - Asfaltový SBS natavitelný pás s polyesterovou rohoží 250g/m2 s ochranou proti prorůstání kořenů - tl. 5,2 mm. - 73,14 m2 " (63,60)*1,15</t>
  </si>
  <si>
    <t>" - SBS asfaltový modifikovaný samolepící pás za studena, nosná vložka skelná mřížka se skelnou rohoží - tl. 3,0 mm - 73,14 m2 " (63,60)*1,15</t>
  </si>
  <si>
    <t>" -  Spádové klíny tepelná izolace - PIR, λ = 0,022 W/(m.K), spád 3% tl. 20 - 300 mm - 12,59 m3 " (63,60*0,180)*1,10</t>
  </si>
  <si>
    <t>" - Tepelná izolace - PIR s oboustrannou krycí vrstvou z černého hliníku, rovinné s polodrážkou λ = 0,022 W/(m.K) - tl. 180 mm - 69,96 m2 " (63,60)*1,1</t>
  </si>
  <si>
    <t>" - Natavitelný SBS modifikovaný asfaltový pás s nosnou vložkou z hliníkovo-polyesterové a skelné rohože - tl. 4,0 mm -  69,96 m2 " (63,60)*1,1</t>
  </si>
  <si>
    <t>" - Asfaltový penetrační lak na bázi rozpouštědel - 0,03 t. " ((63,60*0,4)/1000)*1,1</t>
  </si>
  <si>
    <t>" Střecha." (63,6)</t>
  </si>
  <si>
    <t>712999103 SPC</t>
  </si>
  <si>
    <t>D+M Střecha plochá na stávající konstrukci - kačírek - střed - S3</t>
  </si>
  <si>
    <t>" - Praný říční štěrk - kačírek - frakce 8-16 - tl. 100 mm - 3,44 t " (96,6)*0,10*1,55*1,05</t>
  </si>
  <si>
    <t>" - Filtrační netkaná textílie pro extenzivní a  intenzivní ozelenění z polyester/polypropylenu (125 g/m2) - 111,09 m2 " (96,60)*1,15</t>
  </si>
  <si>
    <t>" - Tlakově zatížitelný drenážní a hydroakumulační prvek z HDPE - 106,26 m2 " (96,60)*1,1</t>
  </si>
  <si>
    <t>" - Ochranná rohož - mechanicky a tepelně zpevněná směs vláken z polyesterového a polypropylenového regenerátu (600g/m2) tl.4 mm - 111,09 m2 " (96,60)*1,15</t>
  </si>
  <si>
    <t>" - Asfaltový SBS natavitelný pás s polyesterovou rohoží 250g/m2 s ochranou proti prorůstání kořenů - tl. 5,2 mm. - 111,09 m2 " (96,60)*1,15</t>
  </si>
  <si>
    <t>" - SBS asfaltový modifikovaný samolepící pás za studena, nosná vložka skelná mřížka se skelnou rohoží - tl. 3,0 mm - 111,09 m2 " (96,60)*1,15</t>
  </si>
  <si>
    <t>" -  Spádové klíny tepelná izolace - PIR, λ = 0,022 W/(m.K), spád 3% tl. 20 - 300 mm - 19,13 m3 " (96,60*0,180)*1,10</t>
  </si>
  <si>
    <t>" - Tepelná izolace - PIR s oboustrannou krycí vrstvou z černého hliníku, rovinné s polodrážkou λ = 0,022 W/(m.K) - tl. 180 mm - 106,26 m2 " (96,60)*1,1</t>
  </si>
  <si>
    <t>" - Natavitelný SBS modifikovaný asfaltový pás s nosnou vložkou z hliníkovo-polyesterové a skelné rohože - tl. 4,0 mm -  106,26 m2 " (96,60)*1,1</t>
  </si>
  <si>
    <t>" - Asfaltový penetrační lak na bázi rozpouštědel - 0,04 t. " ((96,60*0,4)/1000)*1,1</t>
  </si>
  <si>
    <t>" Střecha." (96,6)</t>
  </si>
  <si>
    <t>712999104 SPC</t>
  </si>
  <si>
    <t>D+M Stříška nad vstupem - nad stávající konstrukci - falcovaná plech - S4</t>
  </si>
  <si>
    <t>" - Falcovaná střešní krytina, pozinkovaný plech s polyuretanovou vrstvou, stojatá drážka, tl. 0,7 - 0,8 mm - 9,79 m2." (8,9)*1,1</t>
  </si>
  <si>
    <t>" - Profilovaná struktůrní rohož pod TiZn krytinu, difůzně otevřená, umělohmotná rohož s distanční vrstvou smyčkové rohože z umělohmotných vláken, samolepící okraj, tl. 8 mm - 9,79 m2." (8,9)*1,1</t>
  </si>
  <si>
    <t>" - Dřevěné bednění, tl. 22 mm - 9,79 m2." (8,9)*1,1</t>
  </si>
  <si>
    <t>" - Kontralatě 40/80 (Větraná vzduchová mezera), po 1 m, tl. 60 mm - 11,0 m." (10,0)*1,1</t>
  </si>
  <si>
    <t>" -  Spádové klíny z kamenné vlny, λ = 0,036 W/(m.K), spád 3% tl. 20 - 100 mm - 0,59 m3 " (8,9*0,060)*1,10</t>
  </si>
  <si>
    <t>" - Tepelná izolace z kamenné vlny s podélnou orientací vláken λ = 0,036 W/(m.K) - tl. 120 mm - 6,79 m2 " (8,9)*1,1</t>
  </si>
  <si>
    <t>" - Stávající konstrukce stříšky."</t>
  </si>
  <si>
    <t>" - Tepelná izolace z kamenné vlny s podélnou orientací vláken λ = 0,036 W/(m.K) - tl. 120 mm - 9,79 m2 " (8,9)*1,1</t>
  </si>
  <si>
    <t>" - Armovací síťovina ze skelných vláken s úpravou proti posunutí, odolná proti alkáliím. Rozměry ok tkaniny max. 4x4 mm, plošná hmotnost 165 g/m2, pevnost v tahu 1750N/5cm - 10,24 m2." (8,9)*1,15</t>
  </si>
  <si>
    <t>" - Dvě vrstvy dvousložkové stěrkové hmoty na organické bázi s uhlíkovými vlákny + základní nátěr pod probarvené omítky na bázi akrylátového kopolymeru, silikonové prykyřice a křemičitanů - 9,79 m2."  (8,9)*1,1</t>
  </si>
  <si>
    <t>" - Tenkovrstvá probarvená silikonová omítka zrnitosti 1,0 mm, s obsahem uhlíkových vláken, fasádní barva na bázi silikonové pryskyřice s integrovanou nanokřemičitou mřížkou, samočistící efekt na principu fotokatalytických pigmentů - 9,79 m2. " (8,9)*1,1</t>
  </si>
  <si>
    <t>" Stříška nad vstupem." (8,9)</t>
  </si>
  <si>
    <t>" POZN: Jelikož se jedná o plochu, uvažována průměrná výška spádových klínů 60 mm. "</t>
  </si>
  <si>
    <t>Přesun hmot procentní pro krytiny povlakové v objektech v přes 6 do 12 m</t>
  </si>
  <si>
    <t>" Stavební práce a dodávky spojené s provedením funkčního celku 712 "</t>
  </si>
  <si>
    <t>" Zednická výpomoc,doplňkové práce,kompletace, zřízení a zapravení prostupů apod."</t>
  </si>
  <si>
    <t>Izolace tepelné</t>
  </si>
  <si>
    <t>713</t>
  </si>
  <si>
    <t>713099101 SPC</t>
  </si>
  <si>
    <t>D+M Kontaktní zateplovací systém, kamenná vlna tl. 200 mm včetně povrchové úpravy - provedení dle ČSN (ETICS) - F1</t>
  </si>
  <si>
    <t>" Zateplení stěn objektu : "</t>
  </si>
  <si>
    <t>" - Tenkovrstvá probarvená silikonová omítka zrnitosti 1,0 mm, s obsahem uhlíkových vláken, fasádní barva na bázi silikonové pryskyřice s integrovanou nanokřemičitou mřížkou, samočistící efekt na principu fotokatalytických pigmentů - 527,87 m2. " (479,88)*1,10</t>
  </si>
  <si>
    <t>" - Dvě vrstvy dvousložkové stěrkové hmoty na organické bázi s uhlíkovými vlákny + základní nátěr pod probarvené omítky na bázi akrylátového kopolymeru, silikonové prykyřice a křemičitanů - 527,87 m2." (479,88)*1,10</t>
  </si>
  <si>
    <t>" - 2x Armovací síťovina ze skelných vláken s úpravou proti posunutí, odolná proti alkáliím. Rozměry ok tkaniny max. 4x4 mm, plošná hmotnost 165 g/m2, pevnost v tahu 1750N/5cm - 551,86 m2." (479,88)*1,15</t>
  </si>
  <si>
    <t>" - Tepelná izolace z kamenné vlny s podélnou orientací vláken, λ = 0,036 W/(m.K) - tl. 200 mm, lepeno minerálním lepícím tmelem  -  527,87 m2 " (479,88)*1,1</t>
  </si>
  <si>
    <t>" Zateplení budovy - SEVER, JIH, VÝCHOD, ZÁPAD. " (129,0*3,72)</t>
  </si>
  <si>
    <t>713099102 SPC</t>
  </si>
  <si>
    <t>D+M Kontaktní zateplovací systém, kamenná vlna tl. 150 / 200 mm včetně povrchové úpravy - provedení dle ČSN (ETICS) - F2</t>
  </si>
  <si>
    <t>" - Tenkovrstvá probarvená silikonová omítka zrnitosti 1,0 mm, s obsahem uhlíkových vláken, fasádní barva na bázi silikonové pryskyřice s integrovanou nanokřemičitou mřížkou, samočistící efekt na principu fotokatalytických pigmentů - 532,13 m2. " (483,75)*1,10</t>
  </si>
  <si>
    <t>" - Dvě vrstvy dvousložkové stěrkové hmoty na organické bázi s uhlíkovými vlákny + základní nátěr pod probarvené omítky na bázi akrylátového kopolymeru, silikonové prykyřice a křemičitanů - 532,13 m2." (483,75)*1,10</t>
  </si>
  <si>
    <t>" - 2x Armovací síťovina ze skelných vláken s úpravou proti posunutí, odolná proti alkáliím. Rozměry ok tkaniny max. 4x4 mm, plošná hmotnost 165 g/m2, pevnost v tahu 1750N/5cm - 556,31 m2." (483,75)*1,15</t>
  </si>
  <si>
    <t>" - Tepelná izolace z kamenné vlny s podélnou orientací vláken, λ = 0,036 W/(m.K) - tl. 150 mm, lepeno minerálním lepícím tmelem  -  532,13 m2 " (483,75)*1,1</t>
  </si>
  <si>
    <t>" - Tepelná izolace z kamenné vlny s podélnou orientací vláken, λ = 0,036 W/(m.K) - tl. 200 mm, lepeno minerálním lepícím tmelem  -  532,13 m2 " 532,13 m2 " (483,75)*1,1</t>
  </si>
  <si>
    <t>" Zateplení budovy - SEVER, JIH, VÝCHOD, ZÁPAD. " (129,0*3,75)</t>
  </si>
  <si>
    <t>713099103 SPC</t>
  </si>
  <si>
    <t>D+M Kontaktní zateplovací systém - zateplení 300 mm nad terén, EPS Perimetr tl. 180 mm - provedení dle ČSN (ETICS) - I.F2</t>
  </si>
  <si>
    <t>" - Tenkovrstvá probarvená silikonová omítka zrnitosti 1,0 mm, s obsahem uhlíkových vláken, fasádní barva na bázi silikonové pryskyřice s integrovanou nanokřemičitou mřížkou, samočistící efekt na principu fotokatalytických pigmentů - 84,06 m2. " (76,42)*1,10</t>
  </si>
  <si>
    <t>" - Dvě vrstvy dvousložkové stěrkové hmoty na organické bázi s uhlíkovými vlákny + základní nátěr pod probarvené omítky na bázi akrylátového kopolymeru, silikonové prykyřice a křemičitanů - 84,06 m2. " (76,42)*1,10</t>
  </si>
  <si>
    <t>" - 2x Armovací síťovina ze skelných vláken s úpravou proti posunutí, odolná proti alkáliím. Rozměry ok tkaniny max. 4x4 mm, plošná hmotnost 165 g/m2, pevnost v tahu 1750N/5cm - 87,88 m2. " (76,42)*1,15</t>
  </si>
  <si>
    <t>" - Tepelná izolace soklový EPS Perimetr λ = 0,034 W/(m.K), lepený dvousložkovým bitumenovým lepidlem bez obsahu rozpouštědel - tl. 180 mm - 84,03 m2 " (76,42)*1,10</t>
  </si>
  <si>
    <t>" Zateplení budovy - SEVER, JIH, VÝCHOD, ZÁPAD. " (76,42)</t>
  </si>
  <si>
    <t>713099104 SPC</t>
  </si>
  <si>
    <t>D+M Zateplení podzemní - nepodsklepená - EPS Perimetr tl. 220 mm - F4</t>
  </si>
  <si>
    <t>" Zateplení objektu pod terénem: "</t>
  </si>
  <si>
    <t>" - Nopová fólie HDPE, výška nopu 20mm, tl. fólie 1,0mm + ochranná geotextílie - 83,20 m2 " (72,35)*1,15</t>
  </si>
  <si>
    <t>" - Lišta nopové fólie ukončovací - 69,19 m." (62,9)*1,1</t>
  </si>
  <si>
    <t>" - Tepelná izolace soklový EPS Perimetr λ = 0,034 W/(m.K), lepený dvousložkovým bitumenovým lepidlem bez obsahu rozpouštědel - tl. 180 mm - 79,59 m2 " (72,35)*1,10</t>
  </si>
  <si>
    <t>" Zateplení pod terénem - PERIMETR. " (72,35)</t>
  </si>
  <si>
    <t>713099105 SPC</t>
  </si>
  <si>
    <t>D+M Zateplení podzemní - podsklepená - EPS Perimetr tl. 220 mm - F5</t>
  </si>
  <si>
    <t>" - Nopová fólie HDPE, výška nopu 20mm, tl. fólie 1,0mm + ochranná geotextílie - 138,0 m2 " (120,0)*1,15</t>
  </si>
  <si>
    <t>" - Lišta nopové fólie ukončovací - 69,19 m." (120,0)*1,1</t>
  </si>
  <si>
    <t>" - Tepelná izolace soklový EPS Perimetr λ = 0,034 W/(m.K), lepený dvousložkovým bitumenovým lepidlem bez obsahu rozpouštědel - tl. 180 mm - 132,00 m2 " (120,0)*1,10</t>
  </si>
  <si>
    <t>" Zateplení pod terénem - PERIMETR. " (120,0)</t>
  </si>
  <si>
    <t>713099106 SPC</t>
  </si>
  <si>
    <t>D+M Kontaktní zateplovací systém - kamenná vlna tl. 120 mm, včetně povrchové úpravy - provedení dle ČSN (ETICS) - F6</t>
  </si>
  <si>
    <t>" - Tenkovrstvá probarvená silikonová omítka zrnitosti 1,0 mm, s obsahem uhlíkových vláken, fasádní barva na bázi silikonové pryskyřice s integrovanou nanokřemičitou mřížkou, samočistící efekt na principu fotokatalytických pigmentů - 29,37 m2. " (26,70)*1,10</t>
  </si>
  <si>
    <t>" - Dvě vrstvy dvousložkové stěrkové hmoty na organické bázi s uhlíkovými vlákny + základní nátěr pod probarvené omítky na bázi akrylátového kopolymeru, silikonové prykyřice a křemičitanů - 29,37 m2. " (26,70)*1,10</t>
  </si>
  <si>
    <t>" - 2x Armovací síťovina ze skelných vláken s úpravou proti posunutí, odolná proti alkáliím. Rozměry ok tkaniny max. 4x4 mm, plošná hmotnost 165 g/m2, pevnost v tahu 1750N/5cm - 30,71 m2. " (26,70)*1,15</t>
  </si>
  <si>
    <t>" - Tepelná izolace soklový EPS Perimetr λ = 0,034 W/(m.K), lepený dvousložkovým bitumenovým lepidlem bez obsahu rozpouštědel - tl. 120 mm - 29,37 m2 " (26,70)*1,10</t>
  </si>
  <si>
    <t>" Zateplení budovy - u nákladové rampy. " (8,9)*3,0</t>
  </si>
  <si>
    <t>713099107 SPC</t>
  </si>
  <si>
    <t>D+M Obvodová stěna a střecha - střešní nástavba - F7</t>
  </si>
  <si>
    <t>" - Oplechování pozinkovaný plech s polyuretanovou vrstvou, tl. 0,7 - 0,8 mm, barva RAL 9006 - bílý hliník - 149,90 m2." (136,27)*1,1</t>
  </si>
  <si>
    <t>" - profilovaná struktůrní rohož pod TiZn krytinu, difůzně otevřená, umělohmotná rohož s distanční vrstvou smyčkové rohože z umělohmotných vláken, samolepící okraj - 149,9 m2." (136,27)*1,1</t>
  </si>
  <si>
    <t>" - dřevoštěpková deska OSB 3 P+D - 156,71 m2." (136,27)*1,15</t>
  </si>
  <si>
    <t>" Střešní nástavba - stěny. " (63,1)*0,830</t>
  </si>
  <si>
    <t>" Střešní nástavba - střecha. " (83,9)</t>
  </si>
  <si>
    <t>" Cena zahrnuje také, dilatační a zakončovací lišty, rohový a lemovací systém, vyplnění spár mezi deskami pomocí jednosložkové polyuretanové pěny. "</t>
  </si>
  <si>
    <t>D+M Kontaktní zateplovací systém - kamenná vlna tl. 200 mm, včetně povrchové úpravy - provedení dle ČSN (ETICS) - H1</t>
  </si>
  <si>
    <t>" Zateplení podhledu objektu : "</t>
  </si>
  <si>
    <t>" - Tepelná izolace z kamenné vlny s podélnou orientací vláken λ = 0,036 W/(m.K), lepeno minerálním lepícím tmelem, kotveno šroubovacími hmoždinkami, tl. 200 mm - 19,47 m2 " (26,70)*1,10</t>
  </si>
  <si>
    <t>" - 2x Armovací síťovina ze skelných vláken s úpravou proti posunutí, odolná proti alkáliím. Rozměry ok tkaniny max. 4x4 mm, plošná hmotnost 165 g/m2, pevnost v tahu 1750N/5cm - 20,36 m2. " (26,70)*1,15</t>
  </si>
  <si>
    <t>" - Dvě vrstvy dvousložkové stěrkové hmoty na organické bázi s uhlíkovými vlákny + základní nátěr pod probarvené omítky na bázi akrylátového kopolymeru, silikonové prykyřice a křemičitanů - 19,47 m2. " (26,70)*1,10</t>
  </si>
  <si>
    <t>" - Tenkovrstvá probarvená silikonová omítka zrnitosti 1,0 mm, s obsahem uhlíkových vláken, fasádní barva na bázi silikonové pryskyřice s integrovanou nanokřemičitou mřížkou, samočistící efekt na principu fotokatalytických pigmentů - 19,47 m2. " (17,70)*1,10</t>
  </si>
  <si>
    <t>" Zateplení budovy - podhled. " (9,3+8,4)</t>
  </si>
  <si>
    <t>" - Tepelná izolace z kamenné vlny s podélnou orientací vláken λ = 0,036 W/(m.K), lepeno minerálním lepícím tmelem, kotveno šroubovacími hmoždinkami, tl. 100 mm - 184,93 m2 " (168,12)*1,10</t>
  </si>
  <si>
    <t>" - Stěrkovací tmel s vloženou armovací tkaninou, štuková omítka - 184,93 m2." (168,12)*1,10</t>
  </si>
  <si>
    <t>" Zateplení budovy - podhled. " (16,7+7,98+11,82+2,17+3,93+15,55+20,91+89,06)</t>
  </si>
  <si>
    <t>Přesun hmot procentní pro izolace tepelné v objektech v přes 6 do 12 m</t>
  </si>
  <si>
    <t xml:space="preserve">" Stavební práce a dodávky spojené s provedením funkčního celku 713." </t>
  </si>
  <si>
    <t xml:space="preserve">" Zednická výpomoc, doplňkové práce,kompletace apod." </t>
  </si>
  <si>
    <t>Akustická a protitřesová opatření</t>
  </si>
  <si>
    <t>714121901 SPC</t>
  </si>
  <si>
    <t>D+M Provedení akustického obkladu stěn - Specifikace dle PD</t>
  </si>
  <si>
    <t>" Provedení akustického obkladu - stěny vnitřní - 1. NP - m.č. 1.21 "  (15,855)*1,1</t>
  </si>
  <si>
    <t>" V ceně rastr, spojovací, kotvící, těsnící a doplňkové prvky, veškeré příslušenství, materál, apod. "</t>
  </si>
  <si>
    <t>714</t>
  </si>
  <si>
    <t>Přesun hmot procentní pro akustická a protiotřesová opatření v objektech v do 12 m</t>
  </si>
  <si>
    <t>HZS2321</t>
  </si>
  <si>
    <t>Hodinová zúčtovací sazba obkladač</t>
  </si>
  <si>
    <t xml:space="preserve">" Stavební práce a dodávky spojené s provedením funkčního celku 714 " </t>
  </si>
  <si>
    <t>Konstrukce suché výstavby</t>
  </si>
  <si>
    <t>763</t>
  </si>
  <si>
    <t>SDK příčka tl 100 mm profil CW+UW 50 deska s vysokou mechanickou odolností 1xDFRIH2 12,5 a deska 1xA 12,5 s izolací EI 60 Rw do 57 dB</t>
  </si>
  <si>
    <t>" S vloženou tepelnou izolací, s jednoduchými ocel.profily "</t>
  </si>
  <si>
    <t>" Opláštění 1xDFRIH2 do všech prostor desky vysokopevnostní. "</t>
  </si>
  <si>
    <t>" Opláštění 1xA do suchých prostor desky standartní. "</t>
  </si>
  <si>
    <t>" SDK příčka - 1. NP." (292,43)*1,05</t>
  </si>
  <si>
    <t>" SDK příčka - 2. NP." (65,054)*1,05</t>
  </si>
  <si>
    <t>" Cena včetně hladkého zatmelení napojovacích spár mezi deskami na obou vrstvách, výztužné pásky, vytmelení připojovacích spár, lemujících profilů, spojovacího a kotvícího materiálu. "</t>
  </si>
  <si>
    <t>"  V ceně penetrační nátěr, zajištění ukončení SDK ve volném prostoru, zesílení rohů Al úhelníky."</t>
  </si>
  <si>
    <t>" Součástí nosné profily / dřevoštěpkové desky pro zařizovací předměty. "</t>
  </si>
  <si>
    <t>SDK příčka tl 150 mm profil CW+UW 100 desky s vysokou mechanickou odolností 1xDFRIH2 12,5 a 1xA 12,5 s izolací EI 60 Rw do 59 dB</t>
  </si>
  <si>
    <t>" SDK příčka - 1. NP." (31,0)*1,05</t>
  </si>
  <si>
    <t>" SDK příčka - 2. NP." (68,087)*1,05</t>
  </si>
  <si>
    <t>763111481 RTO</t>
  </si>
  <si>
    <t>" SDK příčka - 2. NP." (6,120)*1,05</t>
  </si>
  <si>
    <t>763113351 RTO</t>
  </si>
  <si>
    <t>SDK příčka instalační tl 205 - 700 mm zdvojený profil CW+UW 75 desky 1xDFRIH2 12,5 a 1xA 12,5 s izolací REI 45 Rw do 62 dB</t>
  </si>
  <si>
    <t>" S vloženou tepelnou izolací, se zdvojenými ocel.profily "</t>
  </si>
  <si>
    <t>" SDK příčka instalační tl. 250 mm. "</t>
  </si>
  <si>
    <t>" SDK příčka - 1. NP." (14,025)*1,05</t>
  </si>
  <si>
    <t>" SDK příčka - 2. NP." (21,038)*1,05</t>
  </si>
  <si>
    <t>" SDK příčka instalační tl. 300 mm. "</t>
  </si>
  <si>
    <t>" SDK příčka - 1. NP." (5,28)*1,05</t>
  </si>
  <si>
    <t>" SDK příčka instalační tl. 350 mm. "</t>
  </si>
  <si>
    <t>" SDK příčka - 2. NP." (5,610)*1,05</t>
  </si>
  <si>
    <t>763121426 RTO</t>
  </si>
  <si>
    <t>SDK stěna předsazená tl 150 mm profil dle potřeby desky 2xH2 12,5 bez izolace EI 30</t>
  </si>
  <si>
    <t>" Bez tepelné izolace, s ocel.profily dle potřeby - dvojité, speciální, na míru, apod.  "</t>
  </si>
  <si>
    <t>" Opláštění 2xH2 do vlhkých prostor desky impregnované."</t>
  </si>
  <si>
    <t>" SDK stěna předsazená - instalační předstěna vysoká - 2. NP." (9,075)*1,05</t>
  </si>
  <si>
    <t>"  V ceně penetrační nátěr, zesílení rohů Al úhelníky."</t>
  </si>
  <si>
    <t>763121426 RT1</t>
  </si>
  <si>
    <t>SDK stěna předsazená tl 200 mm profil dle potřeby desky 2xH2 12,5 bez izolace EI 30</t>
  </si>
  <si>
    <t>" SDK stěna předsazená - instalační předstěna vysoká - 1. NP." (10,560)*1,05</t>
  </si>
  <si>
    <t>763121475 RTO</t>
  </si>
  <si>
    <t>SDK stěna předsazená tl 75 mm profil CW+UW 50 desky s vysokou mechanickou odolností 1xDFRIH2 12,5 A 1Xa 12,5 bez izolace</t>
  </si>
  <si>
    <t>" Bez tepelné izolace, s jednoduchými ocel.profily "</t>
  </si>
  <si>
    <t>" SDK stěna předsazená - 1. NP." (4,588)*1,05</t>
  </si>
  <si>
    <t>" SDK stěna předsazená - 2. NP." (2,707)*1,05</t>
  </si>
  <si>
    <t>763121476 RTO</t>
  </si>
  <si>
    <t>SDK stěna předsazená tl 100 mm profil CW+UW 75 desky s vysokou mechanickou odolností 1xDFRIH2 12,5 a 1xA 12,5 s izolací EI 30 Rw do 19 dB</t>
  </si>
  <si>
    <t>" SDK stěna předsazená - 1. NP." (11,22)*1,05</t>
  </si>
  <si>
    <t>763122421 RTO</t>
  </si>
  <si>
    <t>SDK stěna šachtová tl 75 mm profil CW+UW 50 desky 1xDFRIH2 12,5 a 1xA 12,5 bez izolace EI 30</t>
  </si>
  <si>
    <t>" SDK stěna šachtová - 1. NP." (20,293)*1,05</t>
  </si>
  <si>
    <t>" SDK stěna šachtová - 2. NP." (18,974)*1,05</t>
  </si>
  <si>
    <t xml:space="preserve">SDK podhled desky 1xA 15 bez izolace dvouvrstvá spodní kce profil CD+UD </t>
  </si>
  <si>
    <t>" Podhled - SDK hladký bílý "</t>
  </si>
  <si>
    <t>" 1.NP - (68,95)*1,05</t>
  </si>
  <si>
    <t>" 2.NP - (224,8)*1,05</t>
  </si>
  <si>
    <t>" Cena včetně desek, nosných profilů, závěsů, lemujících a ukončujících lišt, spojovacího a kotvícího materiálu, penetračního nátěro, příplatků, apod. "</t>
  </si>
  <si>
    <t>763164632 RTO</t>
  </si>
  <si>
    <t>SDK obklad kcí tvaru U š do 1,2 m desky 2xA 12,5</t>
  </si>
  <si>
    <t>" SDK opláštění stávajících ocelových sloupů. "</t>
  </si>
  <si>
    <t>" 1.NP - (43,4)*1,05</t>
  </si>
  <si>
    <t>763999101 SPC</t>
  </si>
  <si>
    <t>D+M Kazetový podhed z kazet 600x600 mm - RASTR 1</t>
  </si>
  <si>
    <t>" Podhled - kazetový 600x600 mm "</t>
  </si>
  <si>
    <t>" 1.NP - (74,069)*1,30</t>
  </si>
  <si>
    <t>" 2.NP - (40,291)*1,30</t>
  </si>
  <si>
    <t>" Viditelný rošt, nosný rošt z galvanizované oceli. "</t>
  </si>
  <si>
    <t>" Cena včetně kazet, nosných profilů, závěsů, lemujících a ukončujících lišt, spojovacího a kotvícího materiálu, příplatku za zavěšení, apod. "</t>
  </si>
  <si>
    <t>763999102 SPC</t>
  </si>
  <si>
    <t>D+M Kazetový podhed z kazet 600x600 mm - RASTR 2</t>
  </si>
  <si>
    <t>" Podhled - kazetový 600x600 mm - vlhký prostor."</t>
  </si>
  <si>
    <t>" 1.NP - (3,360)*1,30</t>
  </si>
  <si>
    <t>" 2.NP - (39,6)*1,30</t>
  </si>
  <si>
    <t>D+M Kazetový podhed z kazet 600x600 mm - RASTR 3</t>
  </si>
  <si>
    <t>" Podhled - kazetový 600x600 mm."</t>
  </si>
  <si>
    <t>" 1.NP - (156,276)*1,30</t>
  </si>
  <si>
    <t>" 2.NP - (64,61)*1,30</t>
  </si>
  <si>
    <t>" Částečně skrytý rošt, nosný rošt z galvanizované oceli. "</t>
  </si>
  <si>
    <t>D+M Kazetový podhed z kazet 600x600 mm - RASTR 4</t>
  </si>
  <si>
    <t>" 1.NP - (25,920)*1,30</t>
  </si>
  <si>
    <t>" 2.NP - (331,75)*1,30</t>
  </si>
  <si>
    <t>" Skrytý rošt, nosný rošt z galvanizované oceli. "</t>
  </si>
  <si>
    <t>D+M Kazetový podhed z kazet 600x600 mm - RASTR 5</t>
  </si>
  <si>
    <t>" 1.NP - (191,485)*1,30</t>
  </si>
  <si>
    <t>D+M Kazetový podhed z kazet 600x600 mm - RASTR 6</t>
  </si>
  <si>
    <t>" 1.NP - (97,2)*1,30</t>
  </si>
  <si>
    <t xml:space="preserve">SDK Protipožární obklad konstrukcí podychycení stropu včetně povrchové úpravy - Specifikace dle PD </t>
  </si>
  <si>
    <t>" Cena včetně lemujících profilů, spojovacího a kotvícího materiálu, povrchové úpravy. "</t>
  </si>
  <si>
    <t>" Opláštění ocelových stropních nosníků v 1.PP " (5,0*2,25)</t>
  </si>
  <si>
    <t>" Opláštění ocelových stropních nosníků v 1.NP " (3,87*2,4)</t>
  </si>
  <si>
    <t>" Opláštění ocelových stropních nosníků v 2.NP " (0,65*17,85+2,22*2,55)</t>
  </si>
  <si>
    <t>SDK podhled skoková změna v do 0,5 m</t>
  </si>
  <si>
    <t>" Skoková změna 1.NP " (15,9)</t>
  </si>
  <si>
    <t>" Skoková změna 2.NP " (48,3)</t>
  </si>
  <si>
    <t>SDK podhled skoková změna v přes 0,5 m</t>
  </si>
  <si>
    <t>" Skoková změna 1.NP " (19,5)</t>
  </si>
  <si>
    <t>Přesun hmot procentní pro konstrukce montované z desek v objektech v přes 6 do 12 m</t>
  </si>
  <si>
    <t>HZS2171</t>
  </si>
  <si>
    <t>Hodinová zúčtovací sazba sádrokartonář</t>
  </si>
  <si>
    <t xml:space="preserve">" Stavební práce a dodávky spojené s provedením funkčního celku 763. " </t>
  </si>
  <si>
    <t>Podlahy z dlaždic</t>
  </si>
  <si>
    <t>771099101 SPC</t>
  </si>
  <si>
    <t>D+M Keramická dlažba - Podlaha v 1. NP - Specifikace dle PD - D.1.1.c.03. VÝPIS SKLADEB KONSTRUKCÍ - P3</t>
  </si>
  <si>
    <t>" Skladba podlahy na stávající konstrukci - nášlapná vrstva z keramické dlažby. "</t>
  </si>
  <si>
    <t>" Skladba podlahy : "</t>
  </si>
  <si>
    <t>" - Keramická dlažba do flexibilního lepidla tl. 15 mm - 70,24 m2. " (63,85)*1,1</t>
  </si>
  <si>
    <t>" - Hydroizolační stěrka - 67,04 m2 " (63,85)*1,05</t>
  </si>
  <si>
    <t>" - Litý samonivelační cementový potěr (CT-C30-F6) vč. příplatku za tloušťku - tl. 66 mm - 67,04 m2. " (63,85)*1,05</t>
  </si>
  <si>
    <t>" - Separační PE fólie - 73,43 m2 " (63,85)*1,15</t>
  </si>
  <si>
    <t>" - Kročejová izolace z dřevovláknité desky ( objemová hm. 230 kg/m3) - tl. 19 mm - 33,31 m2 " (63,85)*1,1</t>
  </si>
  <si>
    <t>" 1. NP - míst. č. 1.01 - 1.03, 1.06, 1.08, 1.25 - 1.30 " (5,52+7,83+11,25+13,05+0,55+3,89+5,45+3,05+3,29+3,73+6,24)</t>
  </si>
  <si>
    <t xml:space="preserve">" V ceně např. případné vyčištění podkladu, vyspravení, vyrovnání, odstranění nerovností, vysátí, čištění podlah po položení dlažby apod." </t>
  </si>
  <si>
    <t>" V ceně také ukončovací, přechodové lišty (z profilů s dilatační zónou), dilatační profily a další příslušenství, práce a prvky jinde v soupise nespecifikované, ale nutné pro provedení skladby jako celku. "</t>
  </si>
  <si>
    <t>" Cena zahrnuje flexibilní lepidlo, spárovací hmotu a pružný tmel pro dilatace. "</t>
  </si>
  <si>
    <t>771099102 SPC</t>
  </si>
  <si>
    <t>D+M Keramická dlažba - Podlaha v 1. NP - Specifikace dle PD - D.1.1.c.03. VÝPIS SKLADEB KONSTRUKCÍ - P4</t>
  </si>
  <si>
    <t>" Skladba podlahy na terénu - nášlapná vrstva z keramické dlažby. "</t>
  </si>
  <si>
    <t>" - Keramická dlažba do flexibilního lepidla tl. 15 mm - 95,10 m2. " (86,45)*1,1</t>
  </si>
  <si>
    <t>" - Litý samonivelační cementový potěr (CT-C30-F6) vč. příplatku za tloušťku - tl. 65 mm - 90,77 m2. " (86,45)*1,05</t>
  </si>
  <si>
    <t>" - Separační PE fólie - 99,42 m2 " (86,45)*1,15</t>
  </si>
  <si>
    <r>
      <t xml:space="preserve">" - Tepelná izolace - PIR, </t>
    </r>
    <r>
      <rPr>
        <sz val="8"/>
        <color indexed="12"/>
        <rFont val="MS Gothic"/>
        <family val="3"/>
        <charset val="238"/>
      </rPr>
      <t>λ</t>
    </r>
    <r>
      <rPr>
        <sz val="8"/>
        <color indexed="12"/>
        <rFont val="Arial CE"/>
        <family val="2"/>
        <charset val="238"/>
      </rPr>
      <t>=0,022 W/(m.K)</t>
    </r>
    <r>
      <rPr>
        <sz val="9.1999999999999993"/>
        <color indexed="12"/>
        <rFont val="Arial CE"/>
        <family val="2"/>
        <charset val="238"/>
      </rPr>
      <t>,</t>
    </r>
    <r>
      <rPr>
        <sz val="8"/>
        <color indexed="12"/>
        <rFont val="Arial CE"/>
        <family val="2"/>
        <charset val="238"/>
      </rPr>
      <t xml:space="preserve"> pevnost v tlaku při 10% deformaci 150 kPa, tl. 120 mm - 95,10 m2 " (86,45)*1,1</t>
    </r>
  </si>
  <si>
    <t>" 1. NP - míst. č. 1.06 - 1.10, 1.12, 1.17 - 1.19 " (19,55+32,87+16,22+8,11+2,9+2,0+1,44+3,36)</t>
  </si>
  <si>
    <t>771099103 SPC</t>
  </si>
  <si>
    <t>D+M Keramická dlažba - Podlaha v 1. NP - Specifikace dle PD - D.1.1.c.03. VÝPIS SKLADEB KONSTRUKCÍ - P5</t>
  </si>
  <si>
    <t>" - Keramická dlažba do flexibilního lepidla tl. 15 mm - 93,18 m2. " (84,71)*1,1</t>
  </si>
  <si>
    <t>" - Samonivelační vyrovnávací stěrka, tl. 5 mm - 93,18 m2 " (84,71)*1,10</t>
  </si>
  <si>
    <t>" - Betonová mazanina C25/30-XCI s KARI sítí 100x100x6 mm, tl. 110 mm - 93,18 m3. " (84,71*0,110)*1,10</t>
  </si>
  <si>
    <t>" - Separační PE fólie - 99,42 m2 " (84,71)*1,15</t>
  </si>
  <si>
    <t>" 1. NP - míst. č. 1.20 " (84,71)</t>
  </si>
  <si>
    <t>771099104 SPC</t>
  </si>
  <si>
    <t>D+M Keramická dlažba - Venkovní schodiště - Specifikace dle PD - D.1.1.c.03. VÝPIS SKLADEB KONSTRUKCÍ - P14</t>
  </si>
  <si>
    <t>" - Keramická dlažba do exteriéru, do flexibilního lepidla tl. 15 mm - 11,93 m2. " (10,37)*1,15</t>
  </si>
  <si>
    <t>" - Hydroizolační stěrka - 10,89 m2 " (10,37)*1,05</t>
  </si>
  <si>
    <t>" - Samonivelační vyrovnávací stěrka exteriérová, tl. 5 mm - 11,41 m2 " (10,37)*1,10</t>
  </si>
  <si>
    <t>" Venkovní schodiště - míst. č. 1.37 " (10,37)</t>
  </si>
  <si>
    <t>771099105 SPC</t>
  </si>
  <si>
    <t>D+M Keramická dlažba - Podlaha v 2. NP - Specifikace dle PD - D.1.1.c.03. VÝPIS SKLADEB KONSTRUKCÍ - P17</t>
  </si>
  <si>
    <t>" - Keramická dlažba do flexibilního lepidla tl. 15 mm - 44,17 m2. " (40,15)*1,1</t>
  </si>
  <si>
    <t>" - Penetrace - 44,17 m2 " (40,15)*1,10</t>
  </si>
  <si>
    <t>" - Konstrukční sádrokartonová deska 2x12,5 mm, lepené k sobě sádrovým tmelem, tl. 25 mm - 44,17 m2. " (40,15)*1,10</t>
  </si>
  <si>
    <t>" - Suchý vyrovnávací podsyp tl. 11 mm vč. příplatku za tloušťku - 33,31 m2 " (40,15)*1,1</t>
  </si>
  <si>
    <t>" 2. NP - míst. č. 2.05 - 2.11, 2.17b - 2.19 " (2,79+6,72+5,8+1,64+5,96+4,86+3,76+2,72+2,17+3,73)</t>
  </si>
  <si>
    <t>" V ceně také ukončovací, přechodové lišty (z profilů s dilatační zónou), dilatační profily, okrajové pásky a další příslušenství, práce a prvky jinde v soupise nespecifikované, ale nutné pro provedení skladby jako celku. "</t>
  </si>
  <si>
    <t>Přesun hmot procentní pro podlahy z dlaždic v objektech v přes 6 do 12 m</t>
  </si>
  <si>
    <t>HZS2331</t>
  </si>
  <si>
    <t>Hodinová zúčtovací sazba podlahář</t>
  </si>
  <si>
    <t xml:space="preserve">" Stavební práce a dodávky spojené s provedením funkčního celku 771 " </t>
  </si>
  <si>
    <t xml:space="preserve">" Zednická výpomoc,doplňkové práce,kompletace,zřízení prostupů,zapravení prostupů, apod. " </t>
  </si>
  <si>
    <t>Podlahy povlakové</t>
  </si>
  <si>
    <t>776099101 SPC</t>
  </si>
  <si>
    <t>D+M Přírodní linoleum - Podlaha v 1. NP - Specifikace dle PD - D.1.1.c.03. VÝPIS SKLADEB KONSTRUKCÍ - P6</t>
  </si>
  <si>
    <t>" Skladba podlahy na stávající konstrukci - nášlapná vrstva z přírodního linolea. "</t>
  </si>
  <si>
    <t>" - Přírodní linoleum, lepeno disperzním lepidlem, tl. 2,5 mm - 128,80 m2. " (117,09)*1,1</t>
  </si>
  <si>
    <t>" - Litý samonivelační cementový potěr (CT-C30-F6) vč. příplatku za tloušťku - tl. 78 mm - 122,94 m2. " (117,09)*1,05</t>
  </si>
  <si>
    <t>" - Separační PE fólie - 134,65 m2 " (117,09)*1,15</t>
  </si>
  <si>
    <t>" - Kročejová izolace z dřevovláknité desky ( objemová hm. 230 kg/m3) - tl. 19 mm - 128,80 m2 " (117,09)*1,1</t>
  </si>
  <si>
    <t>" 1. NP  - místn.č. 1.31, 1.32, 1.34 - 1.36 " (43,03+33,89+7,6+9,22+23,35)</t>
  </si>
  <si>
    <t xml:space="preserve">" V ceně např. případné vyčištění podkladu, vyspravení, vyrovnání, odstranění nerovností, vysátí, čištění podlah po položení povlakové podlahy apod." </t>
  </si>
  <si>
    <t>" V ceně také penetrace, ukončovací, přechodové lišty (z profilů s dilatační zónou), dilatační profily a další příslušenství, práce a prvky jinde v soupise nespecifikované, ale nutné pro provedení skladby jako celku. "</t>
  </si>
  <si>
    <t>776099102 SPC</t>
  </si>
  <si>
    <t>D+M Přírodní linoleum - Podlaha v 1. NP - Specifikace dle PD - D.1.1.c.03. VÝPIS SKLADEB KONSTRUKCÍ - P7</t>
  </si>
  <si>
    <t>" Skladba podlahy na terénu - nášlapná vrstva z přírodního linolea. "</t>
  </si>
  <si>
    <t>" - Přírodní linoleum, lepeno disperzním lepidlem, tl. 2,5 mm - 305,65 m2. " (277,86)*1,1</t>
  </si>
  <si>
    <t>" - Litý samonivelační cementový potěr (CT-C30-F6) vč. příplatku za tloušťku - tl. 77 mm - 219,75 m2. " (277,86)*1,05</t>
  </si>
  <si>
    <t>" - Separační PE fólie - 319,54 m2 " (277,86)*1,15</t>
  </si>
  <si>
    <r>
      <t xml:space="preserve">" - Tepelná izolace - PIR, </t>
    </r>
    <r>
      <rPr>
        <sz val="8"/>
        <color indexed="12"/>
        <rFont val="MS Gothic"/>
        <family val="3"/>
        <charset val="238"/>
      </rPr>
      <t>λ</t>
    </r>
    <r>
      <rPr>
        <sz val="8"/>
        <color indexed="12"/>
        <rFont val="Arial CE"/>
        <family val="2"/>
        <charset val="238"/>
      </rPr>
      <t>=0,022 W/(m.K)</t>
    </r>
    <r>
      <rPr>
        <sz val="9.1999999999999993"/>
        <color indexed="12"/>
        <rFont val="Arial CE"/>
        <family val="2"/>
        <charset val="238"/>
      </rPr>
      <t>,</t>
    </r>
    <r>
      <rPr>
        <sz val="8"/>
        <color indexed="12"/>
        <rFont val="Arial CE"/>
        <family val="2"/>
        <charset val="238"/>
      </rPr>
      <t xml:space="preserve"> pevnost v tlaku při 10% deformaci 150 kPa, tl. 120 mm - 305,65 m2 " (277,86)*1,1</t>
    </r>
  </si>
  <si>
    <t>" 1. NP  - místn.č. 1.13 - 1.16, 1.21, 1.34 " (4,25+12,8+12,86+3,12+190,95+53,88)</t>
  </si>
  <si>
    <t>776099103 SPC</t>
  </si>
  <si>
    <t>D+M Přírodní linoleum - Podlaha v 1. NP - Specifikace dle PD - D.1.1.c.03. VÝPIS SKLADEB KONSTRUKCÍ - P8</t>
  </si>
  <si>
    <t>" - Přírodní linoleum, lepeno disperzním lepidlem, tl. 2,5 mm - 13,56 m2. " (12,33)*1,1</t>
  </si>
  <si>
    <t>" - Samonivelační vyrovnávací stěrka, tl. 17 mm - 13,56 m2 " (12,33)*1,10</t>
  </si>
  <si>
    <t>" - Betonová mazanina C25/30-XCI s KARI sítí 100x100x6 mm, tl. 110 mm - 1,49 m3. " (12,33*0,110)*1,10</t>
  </si>
  <si>
    <t>" - Separační PE fólie - 14,18 m2 " (12,33)*1,15</t>
  </si>
  <si>
    <r>
      <t xml:space="preserve">" - Tepelná izolace - PIR, </t>
    </r>
    <r>
      <rPr>
        <sz val="8"/>
        <color indexed="12"/>
        <rFont val="MS Gothic"/>
        <family val="3"/>
        <charset val="238"/>
      </rPr>
      <t>λ</t>
    </r>
    <r>
      <rPr>
        <sz val="8"/>
        <color indexed="12"/>
        <rFont val="Arial CE"/>
        <family val="2"/>
        <charset val="238"/>
      </rPr>
      <t>=0,022 W/(m.K)</t>
    </r>
    <r>
      <rPr>
        <sz val="9.1999999999999993"/>
        <color indexed="12"/>
        <rFont val="Arial CE"/>
        <family val="2"/>
        <charset val="238"/>
      </rPr>
      <t>,</t>
    </r>
    <r>
      <rPr>
        <sz val="8"/>
        <color indexed="12"/>
        <rFont val="Arial CE"/>
        <family val="2"/>
        <charset val="238"/>
      </rPr>
      <t xml:space="preserve"> pevnost v tlaku při 10% deformaci 150 kPa, tl. 120 mm - 13,56 m2 " (12,33)*1,1</t>
    </r>
  </si>
  <si>
    <t>" 1. NP  - místn.č. 1.22 " (12,33)</t>
  </si>
  <si>
    <t>776099104 SPC</t>
  </si>
  <si>
    <t>D+M Přírodní linoleum - Podlaha v 1. NP, 2.NP - Specifikace dle PD - D.1.1.c.03. VÝPIS SKLADEB KONSTRUKCÍ - P10</t>
  </si>
  <si>
    <t>" Skladba podlahy na schodišti - nášlapná vrstva z přírodního linolea. "</t>
  </si>
  <si>
    <t>" - Přírodní linoleum, lepeno disperzním lepidlem, tl. 2,5 mm - 61,52 m2. " (55,93)*1,1</t>
  </si>
  <si>
    <t>" 1. NP, 2.NP  - místn.č. 1.34, 1.36, 2.01, 2.13 " (3,78+23,35+5,86+22,94)</t>
  </si>
  <si>
    <t>776099105 SPC</t>
  </si>
  <si>
    <t>D+M Přírodní linoleum - Podlaha v 2.NP - Specifikace dle PD - D.1.1.c.03. VÝPIS SKLADEB KONSTRUKCÍ - P15</t>
  </si>
  <si>
    <t>" - Přírodní linoleum, lepeno disperzním lepidlem, tl. 2,5 mm - 710,56 m2. " (645,96)*1,1</t>
  </si>
  <si>
    <t>" - Samonivelační vyrovnávací stěrka, tl. 0 - 20 mm - 710,56 m2 " (645,96)*1,10</t>
  </si>
  <si>
    <t>" 2.NP  - místn.č. 2.02 - 2.04, 2.12 - 2.15, 2.23 - 2.28 " (87,71+22,35+64,22+77,07+22,94+29,24+66,71+12,71+10,20+58,71+66,71+57,04+70,35)</t>
  </si>
  <si>
    <t>776099106 SPC</t>
  </si>
  <si>
    <t>D+M Přírodní linoleum - Podlaha v 2.NP - Specifikace dle PD - D.1.1.c.03. VÝPIS SKLADEB KONSTRUKCÍ - P16</t>
  </si>
  <si>
    <t>" - Přírodní linoleum, lepeno disperzním lepidlem, tl. 2,5 mm - 15,97 m2. " (14,52)*1,1</t>
  </si>
  <si>
    <t>" - Penetrace - 15,97 m2 " (14,52)*1,10</t>
  </si>
  <si>
    <t>" - Konstrukční sádrokartonová deska 2x12,5 mm, lepené k sobě sádrovým tmelem, tl. 25 mm - 15,97 m2. " (14,52)*1,10</t>
  </si>
  <si>
    <t>" - Kročejová izolace z dřevovláknité desky ( objemová hm. 230 kg/m3) - tl. 19 mm - 15,97 m2 " (14,52)*1,1</t>
  </si>
  <si>
    <t>" - Suchý vyrovnávací podsyp tl. 23 mm vč. příplatku za tloušťku - 15,97 m2 " (14,52)*1,1</t>
  </si>
  <si>
    <t>" 2.NP  - místn.č. 2.16, 2.17a " (11,73+2,79)</t>
  </si>
  <si>
    <t>776099202 SPC</t>
  </si>
  <si>
    <t>D+M Čistící zóna - Podlaha v 1. NP - Specifikace dle PD - D.1.1.c.03. VÝPIS SKLADEB KONSTRUKCÍ - P11</t>
  </si>
  <si>
    <t>" Skladba podlahy na stávající konstrukci - nášlapná vrstva zátěžový koberec. "</t>
  </si>
  <si>
    <t xml:space="preserve">" - Vnitřní čistící zóna kobercová vyrobena ze 75 % ze 100% recyklovaných vláken ECONYL, zátěžová třída 33 - celková tl. 9,0 mm. vč. hliníkového rámu." </t>
  </si>
  <si>
    <t xml:space="preserve">Naceněno v rozpočtu D.1.1.c.07. VÝPIS OSTATNÍCH VÝROBKŮ </t>
  </si>
  <si>
    <t>" - Litý samonivelační cementový potěr (CT-C30-F6) vč. příplatku za tloušťku - tl. 72 mm - 17,91 m2. " (17,06)*1,05</t>
  </si>
  <si>
    <t>" - Separační PE fólie - 19,62 m2 " (17,06)*1,15</t>
  </si>
  <si>
    <t>" - Kročejová izolace z dřevovláknité desky ( objemová hm. 230 kg/m3) - tl. 19 mm - 18,77 m2 " (17,06)*1,1</t>
  </si>
  <si>
    <t>" 1. NP - místn. č. 1.33 " (17,06)</t>
  </si>
  <si>
    <t xml:space="preserve">" V ceně např. případné vyčištění podkladu, vyspravení, vyrovnání, odstranění nerovností, vysátí, čištění podlah po položení čistící zóny apod." </t>
  </si>
  <si>
    <t>776099201 SPC</t>
  </si>
  <si>
    <t>D+M Čistící zóna - Podlaha v 1. NP - Specifikace dle PD - D.1.1.c.03. VÝPIS SKLADEB KONSTRUKCÍ - P12</t>
  </si>
  <si>
    <t>" Skladba podlahy na terénu - nášlapná vrstva zátěžový koberec. "</t>
  </si>
  <si>
    <t>" - Litý samonivelační cementový potěr (CT-C30-F6) vč. příplatku za tloušťku - tl. 71 mm - 2,43 m2. " (2,31)*1,05</t>
  </si>
  <si>
    <t>" - Separační PE fólie - 19,62 m2 " (2,66)*1,15</t>
  </si>
  <si>
    <t>" - Kročejová izolace z dřevovláknité desky ( objemová hm. 230 kg/m3) - tl. 19 mm - 2,54 m2 " (2,31)*1,1</t>
  </si>
  <si>
    <t>" 1. NP - místn. č. 1.10 " (2,31)</t>
  </si>
  <si>
    <t>Přesun hmot procentní pro podlahy povlakové v objektech v přes 12 do 24 m</t>
  </si>
  <si>
    <t xml:space="preserve">" Stavební práce a dodávky spojené s provedením funkčního celku 776. " </t>
  </si>
  <si>
    <t xml:space="preserve">" Zednická výpomoc,doplňkové práce,kompletace,zřízení prostupů,zapravení prostupů, apod." </t>
  </si>
  <si>
    <t>Podlahy lité</t>
  </si>
  <si>
    <t>777099101 SPC</t>
  </si>
  <si>
    <t>D+M Epoxidová stěrka - Podlaha v 1. PP - Specifikace dle PD - D.1.1.c.03. VÝPIS SKLADEB KONSTRUKCÍ - P1</t>
  </si>
  <si>
    <t>" Skladba podlahy na terénu - nášlapná vrstva z epoxidové stěrky. "</t>
  </si>
  <si>
    <t>" - Epoxidová stěrka plněná, bez vsypu - tl. 3,0 mm - 189,69 m2 " (180,66)*1,05</t>
  </si>
  <si>
    <t>" - Epoxidový penetrace - 189,69 m2 " (180,66)*1,05</t>
  </si>
  <si>
    <t>" 1. PP  - místn. č. 0.01 - 0.10 " (16,7+7,98+11,82+1,08+2,17+3,93+5,21+15,55+6,25+20,91+89,06)</t>
  </si>
  <si>
    <t>" V ceně okrajové pásky, vytažení stěrky ( fabionu) na stěny, ukončovací , přechodové a dilatační lišty a další prvky a příslušenství jinde v soupise nespecifikované, ale nutné pro provedení skladby jako celku. "</t>
  </si>
  <si>
    <t>777099102 SPC</t>
  </si>
  <si>
    <t>D+M Epoxidová stěrka - Podlaha v 1. PP - Specifikace dle PD - D.1.1.c.03. VÝPIS SKLADEB KONSTRUKCÍ - P2</t>
  </si>
  <si>
    <t>" - Epoxidová stěrka plněná, bez vsypu - tl. 3,0 mm - 7,75 m2 " (7,38)*1,05</t>
  </si>
  <si>
    <t>" - Epoxidový penetrace - 7,75 m2 " (7,38)*1,05</t>
  </si>
  <si>
    <t>" 1. PP  - místn. č. 0.04, 0.06 " (2,17+5,21)</t>
  </si>
  <si>
    <t>777099103 SPC</t>
  </si>
  <si>
    <t>D+M Epoxidová stěrka - Podlaha v 1. NP - Specifikace dle PD - D.1.1.c.03. VÝPIS SKLADEB KONSTRUKCÍ - P9</t>
  </si>
  <si>
    <t>" Skladba podlahy na nové konstrukci - nášlapná vrstva z epoxidové stěrky. "</t>
  </si>
  <si>
    <t>" - Epoxidová stěrka plněná, bez vsypu - tl. 3,0 mm - 16,91 m2 " (16,10)*1,05</t>
  </si>
  <si>
    <t>" - Epoxidový penetrace - 16,91 m2 " (16,10)*1,05</t>
  </si>
  <si>
    <t>" - Samonivelační vyrovnávací stěrka, tl. 17 mm - 17,71 m2 " (16,10)*1,10</t>
  </si>
  <si>
    <t>" - Betonová mazanina C25/30-XCI s KARI sítí 100x100x6 mm, tl. 110 mm - 1,95 m3. " (16,10*0,110)*1,10</t>
  </si>
  <si>
    <t>" - Separační PE fólie - 18,52 m2 " (16,10)*1,15</t>
  </si>
  <si>
    <r>
      <t xml:space="preserve">" - Tepelná izolace - PIR, </t>
    </r>
    <r>
      <rPr>
        <sz val="8"/>
        <color indexed="12"/>
        <rFont val="MS Gothic"/>
        <family val="3"/>
        <charset val="238"/>
      </rPr>
      <t>λ</t>
    </r>
    <r>
      <rPr>
        <sz val="8"/>
        <color indexed="12"/>
        <rFont val="Arial CE"/>
        <family val="2"/>
        <charset val="238"/>
      </rPr>
      <t>=0,022 W/(m.K)</t>
    </r>
    <r>
      <rPr>
        <sz val="9.1999999999999993"/>
        <color indexed="12"/>
        <rFont val="Arial CE"/>
        <family val="2"/>
        <charset val="238"/>
      </rPr>
      <t>,</t>
    </r>
    <r>
      <rPr>
        <sz val="8"/>
        <color indexed="12"/>
        <rFont val="Arial CE"/>
        <family val="2"/>
        <charset val="238"/>
      </rPr>
      <t xml:space="preserve"> pevnost v tlaku při 10% deformaci 150 kPa, tl. 120 mm - 17,71 m2 " (16,10)*1,1</t>
    </r>
  </si>
  <si>
    <t>" 1. NP  - místn. č. 1.23 " (16,10)</t>
  </si>
  <si>
    <t>777099104 SPC</t>
  </si>
  <si>
    <t>D+M Elektrostaticky vodivá stěrka - Podlaha v 1. NP - Specifikace dle PD - D.1.1.c.03. VÝPIS SKLADEB KONSTRUKCÍ - P13</t>
  </si>
  <si>
    <t>" - Kartáčovaný beton C25/30-XC4, XF1 s KARI sítí 100x100x6 mm, tl. 120 mm - 1,25 m3. " (9,47*0,120)*1,10</t>
  </si>
  <si>
    <t>" 1. NP  - místn. č. 1.11 " (9,47)</t>
  </si>
  <si>
    <t>777099105 SPC</t>
  </si>
  <si>
    <t>D+M Elektrostaticky vodivá stěrka - Podlaha v 1. NP - Specifikace dle PD - D.1.1.c.03. VÝPIS SKLADEB KONSTRUKCÍ - P18</t>
  </si>
  <si>
    <t>" - Elektrostaticky vodivá stěrka s elektrovodivými vlákny rozptýlenými ve hmotě, svodový odpor Rs 5x 104 - 106 Ω - tl. 3,0 mm - 7,55 m2 " (7,19)*1,05</t>
  </si>
  <si>
    <t>" - Epoxidový penetrace - 7,55 m2 " (7,19)*1,05</t>
  </si>
  <si>
    <t>" - Samonivelační vyrovnávací stěrka, tl. 17 mm - 7,91 m2 " (7,19)*1,10</t>
  </si>
  <si>
    <t>" - Betonová mazanina C25/30-XCI s KARI sítí 100x100x6 mm, tl. 110 mm - 0,87 m3. " (7,19*0,110)*1,10</t>
  </si>
  <si>
    <t>" - Separační PE fólie - 8,27 m2 " (7,19)*1,15</t>
  </si>
  <si>
    <r>
      <t xml:space="preserve">" - Tepelná izolace - PIR, </t>
    </r>
    <r>
      <rPr>
        <sz val="8"/>
        <color indexed="12"/>
        <rFont val="MS Gothic"/>
        <family val="3"/>
        <charset val="238"/>
      </rPr>
      <t>λ</t>
    </r>
    <r>
      <rPr>
        <sz val="8"/>
        <color indexed="12"/>
        <rFont val="Arial CE"/>
        <family val="2"/>
        <charset val="238"/>
      </rPr>
      <t>=0,022 W/(m.K)</t>
    </r>
    <r>
      <rPr>
        <sz val="9.1999999999999993"/>
        <color indexed="12"/>
        <rFont val="Arial CE"/>
        <family val="2"/>
        <charset val="238"/>
      </rPr>
      <t>,</t>
    </r>
    <r>
      <rPr>
        <sz val="8"/>
        <color indexed="12"/>
        <rFont val="Arial CE"/>
        <family val="2"/>
        <charset val="238"/>
      </rPr>
      <t xml:space="preserve"> pevnost v tlaku při 10% deformaci 150 kPa, tl. 120 mm - 7,91 m2 " (7,19)*1,1</t>
    </r>
  </si>
  <si>
    <t>" 1. NP  - místn. č. 1.24 " (7,19)</t>
  </si>
  <si>
    <t>Přesun hmot procentní pro podlahy lité v objektech v přes 12 do 24 m</t>
  </si>
  <si>
    <t xml:space="preserve">" Stavební práce a dodávky spojené s provedením funkčního celku 777. " </t>
  </si>
  <si>
    <t>781</t>
  </si>
  <si>
    <t>Obklady keramické</t>
  </si>
  <si>
    <t>781131112 RTO</t>
  </si>
  <si>
    <t>Izolace pod obklad nátěrem nebo stěrkou ve dvou vrstvách vč. systémových prvků,pásků</t>
  </si>
  <si>
    <t>" Hydroizolační stěrka pod keramický obklad - 1. NP " (168,9)*1,15</t>
  </si>
  <si>
    <t>781471991 SPC</t>
  </si>
  <si>
    <t>D+M Obklad vnitřní keramický  - hladký - Specifikace dle PD</t>
  </si>
  <si>
    <t>" Obklad vnitřní keramický hladký -  m2 "</t>
  </si>
  <si>
    <t>" Montáž obkladů vnitřních keramických  "</t>
  </si>
  <si>
    <t>" obklad velkoformátový keramický hladký " (168,9)*1,10</t>
  </si>
  <si>
    <t>" Obklad v 2. NP " (168,9)</t>
  </si>
  <si>
    <t>" V ceně hliníkové profily rohové, ukončovací a přechodové, také spárování vodoodpudivou epoxidovou hmotou a tenkovrstvé flexibilní lepidlo. Součástí také barevná spárovací hmota. Příplatky za přípravu povrchů před provedením obkladu. Penetrační nátěr."</t>
  </si>
  <si>
    <t>Příplatek k montáži obkladů vnitřních keramických hladkých za spárování tmelem dvousložkovým</t>
  </si>
  <si>
    <t>Přesun hmot procentní pro obklady keramické v objektech v přes 6 do 12 m</t>
  </si>
  <si>
    <t xml:space="preserve">" Stavební práce a dodávky spojené s provedením funkčního celku 781. " </t>
  </si>
  <si>
    <t>Nátěry</t>
  </si>
  <si>
    <t>783999901 SPC</t>
  </si>
  <si>
    <t xml:space="preserve">D+M Nátěr vnitřních a venkovních kovových a ocelových prvků a konstrukcí včetně úpravy,očištění, základního a vrchního syntetického nátěru - Specifikace dle PD </t>
  </si>
  <si>
    <t>" Nátěr: Základní rozpouštědlový nátěr s aktivními ochrannými pigmenty proti korozi, rozpouštědlo bez obsahu aromátů, email na bázi alkydové pryskyřice s přídavkem polyuretanu s obsahem rozpouštědla bez obsahu aromátů. "</t>
  </si>
  <si>
    <t>" Jídelna "</t>
  </si>
  <si>
    <t>" Vnitřní viditelné ocelové konstrukce budou otrýskány na stupeň Sa 2,5, povrchová úprava zákadním syntetickým nátěrem v min. tloušťce 60 µm a vrhním nátěrem v celkové min. tloušťce 100 µm v odstínu dle požadavků investora."</t>
  </si>
  <si>
    <t>HZS2311</t>
  </si>
  <si>
    <t>Hodinová zúčtovací sazba malíř, natěrač, lakýrník</t>
  </si>
  <si>
    <t xml:space="preserve">" Stavební práce a dodávky spojené s provedením funkčního celku 783. " </t>
  </si>
  <si>
    <t>Malby a tapety</t>
  </si>
  <si>
    <t>784171001 RTO</t>
  </si>
  <si>
    <t>Olepování vnitřních ploch páskou v místnostech výšky do 3,80 m vč. pásky</t>
  </si>
  <si>
    <t>" Olepení styčných ploch + olepení v místech ostře zakončených maleb "</t>
  </si>
  <si>
    <t xml:space="preserve">" Olepení v místě obkladu / soklu - odhad  1000 m " </t>
  </si>
  <si>
    <t>" Olepení v místě zárubní / ostění - odhad  600 m "</t>
  </si>
  <si>
    <t>" V ceně také odstranění fólie po provedení prací. "</t>
  </si>
  <si>
    <t>784171111 RTO</t>
  </si>
  <si>
    <t>Zakrytí vnitřních ploch stěn v místnostech výšky do 3,80 m vč. fólie</t>
  </si>
  <si>
    <t>" Provedení zakrytí oken, dveří, obkladů, před malováním "</t>
  </si>
  <si>
    <t xml:space="preserve">" Odhadované množství - odhad -  500 m2 " </t>
  </si>
  <si>
    <t>784171121 RTO</t>
  </si>
  <si>
    <t>Zakrytí vnitřních ploch konstrukcí nebo prvků v místnostech výšky do 3,80 m vč. fólie</t>
  </si>
  <si>
    <t>" Provedení zakrytí stávajícího vybavení - radiátorů, vybavení atp. před malováním "</t>
  </si>
  <si>
    <t>" Odhadované množství - odhad - 1000 m2 "</t>
  </si>
  <si>
    <t>784</t>
  </si>
  <si>
    <t>784211101 RTO</t>
  </si>
  <si>
    <t>D+M Dvojnásobná interiérová disperzní, matná barva bez obsahu rouzpoštědel, oděruvzdorná  - Specifikace dle PD</t>
  </si>
  <si>
    <t>" Výmalba 1.PP." (407,520)*1,1</t>
  </si>
  <si>
    <t>" Výmalba 1.NP." (924,199)*1,1</t>
  </si>
  <si>
    <t>" Výmalba 2.NP." (812,0)*1,1</t>
  </si>
  <si>
    <t>" V ceně penetrační nátěr před výmalbou."</t>
  </si>
  <si>
    <t>784211101 RT1</t>
  </si>
  <si>
    <t>D+M Dvojnásobná interiérová disperzní, matná barva bez obsahu rouzpoštědel, otěruvzdorná, omyvatelná - Specifikace dle PD</t>
  </si>
  <si>
    <t>" Výmalba 1.NP." (388,802)*1,1</t>
  </si>
  <si>
    <t>" Výmalba 2.NP." (578,829)*1,1</t>
  </si>
  <si>
    <t xml:space="preserve">" Stavební práce a dodávky spojené s provedením funkčního celku 784. " </t>
  </si>
  <si>
    <t xml:space="preserve">" Zakrytí okenních a dveřních výplní, rámů a zárubní, obkladů a ostatních zabudovaných prvků a konstrukcí před výmalbou, olepování konstrukcí páskou." </t>
  </si>
  <si>
    <t>Ostatní práce a dodávky</t>
  </si>
  <si>
    <t>790</t>
  </si>
  <si>
    <t>790999999 SPC</t>
  </si>
  <si>
    <t>Ostatní práce a materiály nespecifikované - pro PSV</t>
  </si>
  <si>
    <t>" Ostatní práce a materiál nespecifikované - PSV "</t>
  </si>
  <si>
    <t>998790203 SPC</t>
  </si>
  <si>
    <t>Přesun hmot procentní pro ostatní výrobky v objektech v do 24 m</t>
  </si>
  <si>
    <t>HZS2492</t>
  </si>
  <si>
    <t>Hodinová zúčtovací sazba pomocný dělník PSV</t>
  </si>
  <si>
    <t xml:space="preserve">" Stavební práce a dodávky spojené s provedením funkčního celku 790 " </t>
  </si>
  <si>
    <t>M</t>
  </si>
  <si>
    <t>Práce a dodávky M</t>
  </si>
  <si>
    <t>43-M</t>
  </si>
  <si>
    <t xml:space="preserve">Montáže ocelových konstrukcí </t>
  </si>
  <si>
    <t>943</t>
  </si>
  <si>
    <t>430999101 SPC</t>
  </si>
  <si>
    <t>D+M Ocelová konstrukce včetně nátěru a povchové úpravy - Specifikace dle PD</t>
  </si>
  <si>
    <t>kg</t>
  </si>
  <si>
    <t>" Cena obsahuje také kotvení ocelových konstrukcí pomocí navrtání, kotev, ocelových kotevních desek, patních a roznášecích plechů, podlití cemenotovu maltou a chemického zakotvení."</t>
  </si>
  <si>
    <t>" Konstrukce je navržena jako svařovaná svary na plný průřez, popř. koutové výšky min. 4mm."</t>
  </si>
  <si>
    <t>" Ocelová konstrukce dle ČSN EN 1090, nosné ocelové prvky dle ČSN EN 10025+A1 z oceli S235. "</t>
  </si>
  <si>
    <t>" Vnější ocelové konstrukce otrýskány na stupeň Sa 2,5, povrchová úprava bude žárovým pozinkem v min. tloušťce 100 µm, finální nátěr dle požadavků investora. "</t>
  </si>
  <si>
    <t>" Cena včetně opravy nátěru po montážních svarech, veškerý spojovací materiál z pozinkované oceli nebo opatřen antikorózní úpravou "</t>
  </si>
  <si>
    <t>HZS3121</t>
  </si>
  <si>
    <t>Hodinová zúčtovací sazba montér ocelových konstrukcí</t>
  </si>
  <si>
    <t xml:space="preserve">"Stavební práce a dodávky spojené s provedením funkčního celku M-43." </t>
  </si>
  <si>
    <t>CELKEM</t>
  </si>
  <si>
    <t>D.1.1. ASŘ - NOVÝ STAV</t>
  </si>
  <si>
    <t>Jednotkové položky zahrnují vedlejší rozpočtové náklady, náklady na montáž, dopravu, apod. a předepsané zkoušky, revize, manipulační řády, zaškolení obsluhy, není-li uvedeno jinak.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</si>
  <si>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</si>
  <si>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REKAPITULACE</t>
  </si>
  <si>
    <t>Objekt:   D.1.1. ASŘ - NOVÝ STAV</t>
  </si>
  <si>
    <t>Kód</t>
  </si>
  <si>
    <t xml:space="preserve">Cena celkem                       </t>
  </si>
  <si>
    <t>Podlahy z povlakové</t>
  </si>
  <si>
    <t>D.1.1. ASŘ - CELKEM</t>
  </si>
  <si>
    <t>763999103 SPC</t>
  </si>
  <si>
    <t>763999104 SPC</t>
  </si>
  <si>
    <t>763999105 SPC</t>
  </si>
  <si>
    <t>763999106 SPC</t>
  </si>
  <si>
    <t>763999107 SPC</t>
  </si>
  <si>
    <t>763999108 SPC</t>
  </si>
  <si>
    <t>D+M Montáž dvířek revizních do SDK kcí vel. 400x400 mm - Specifikace dle PD</t>
  </si>
  <si>
    <t>" Montáž revizních dvířek."</t>
  </si>
  <si>
    <t>" V ceně veškkeré příslušenství pro provedení."</t>
  </si>
  <si>
    <t>" - dvířka se skrytými hranami, zavírání na magnet."</t>
  </si>
  <si>
    <t>11</t>
  </si>
  <si>
    <t>17</t>
  </si>
  <si>
    <t>22</t>
  </si>
  <si>
    <t>Objekt:  D.1.1.c.01. VÝPIS DVEŘÍ</t>
  </si>
  <si>
    <t>Konstrukce truhlářské - Výpis dveří</t>
  </si>
  <si>
    <t>766</t>
  </si>
  <si>
    <t>766910101 SPC</t>
  </si>
  <si>
    <t>D+M Fasádní otočné hliníkové dveře dvoukřídlé 900+750/2100 mm, prosklené - Specifikace dle PD - D.1.1.c.01. VÝPIS DVEŘÍ - DF01</t>
  </si>
  <si>
    <t>" Fasádní dveře hliníkové otočné dvoukřídlé, prosklené.
Rozměr otvoru 1850x2600 mm. "</t>
  </si>
  <si>
    <t>" Dveře - 1. NP "</t>
  </si>
  <si>
    <t>" Včetně kování, zárubně a veškerého příslušenství a doplňků dle PD. "</t>
  </si>
  <si>
    <t>" V ceně nutné prokabelování a napojení na elektro. "</t>
  </si>
  <si>
    <t>766910105 SPC</t>
  </si>
  <si>
    <t>D+M Fasádní otočné hliníkové dveře jednokřídlé 800/2100 mm, prosklené - Specifikace dle PD - D.1.1.c.01. VÝPIS DVEŘÍ - DF02</t>
  </si>
  <si>
    <t>" Fasádní dveře hliníkové otočné jednokřídlé, prosklené.
Rozměr otvoru 1000×3000 mm. "</t>
  </si>
  <si>
    <t>766910102 SPC</t>
  </si>
  <si>
    <t>D+M Fasádní otočné hliníkové dveře dvoukřídlé 900+400/2100 mm, prosklené - Specifikace dle PD - D.1.1.c.01. VÝPIS DVEŘÍ - DF03</t>
  </si>
  <si>
    <t>" Fasádní dveře hliníkové otočné dvoukřídlé, prosklené.
Rozměr otvoru 1500x2200 mm. "</t>
  </si>
  <si>
    <t>766910106 SPC</t>
  </si>
  <si>
    <t>D+M Fasádní otočné hliníkové dveře jednokřídlé 800/2100 mm, plné - Specifikace dle PD - D.1.1.c.01. VÝPIS DVEŘÍ - DF04</t>
  </si>
  <si>
    <t>" Fasádní dveře hliníkové otočné jednokřídlé, plné.
Rozměr otvoru 1000×2100 mm. "</t>
  </si>
  <si>
    <t>766910107 SPC</t>
  </si>
  <si>
    <t>D+M Fasádní otočné hliníkové dveře jednokřídlé 800/2000 mm, plné - Specifikace dle PD - D.1.1.c.01. VÝPIS DVEŘÍ - DF05</t>
  </si>
  <si>
    <t>" Fasádní dveře hliníkové otočné jednokřídlé, plné.
Rozměr otvoru 1000x2100 mm. "</t>
  </si>
  <si>
    <t>766920101 SPC</t>
  </si>
  <si>
    <t>D+M Interiérové otočné dřevěné dveře dvoukřídlé 900+350/1970 mm, prosklené - Specifikace dle PD - D.1.1.c.01. VÝPIS DVEŘÍ - D101</t>
  </si>
  <si>
    <t>" Interiérové dveře hliníkové otočné dvoukřídlé, prosklené.
Rozměr dveří celkový 1350x2020 mm. "</t>
  </si>
  <si>
    <t>766920102 SPC</t>
  </si>
  <si>
    <t>D+M Interiérové otočné dřevěné dveře dvoukřídlé 900+350/1970 mm, s PO, prosklené - Specifikace dle PD - D.1.1.c.01. VÝPIS DVEŘÍ - D102</t>
  </si>
  <si>
    <t>" Interiérové dveře hliníkové otočné dvoukřídlé, s PO, prosklené.
Rozměr dveří celkový 1350x2020 mm. "</t>
  </si>
  <si>
    <t>766920103 SPC</t>
  </si>
  <si>
    <t>D+M Interiérové otočné dřevěné dveře dvoukřídlé 900+350/1970 mm, s PO, plné - Specifikace dle PD - D.1.1.c.01. VÝPIS DVEŘÍ - D103</t>
  </si>
  <si>
    <t>" Interiérové dveře hliníkové otočné dvoukřídlé, s PO, plné.
Rozměr dveří celkový 1350x2020 mm. "</t>
  </si>
  <si>
    <t>766920104 SPC</t>
  </si>
  <si>
    <t>D+M Interiérové otočné dřevěné dveře dvoukřídlé 900+350/1970 mm, s PO, prosklené - Specifikace dle PD - D.1.1.c.01. VÝPIS DVEŘÍ - D104</t>
  </si>
  <si>
    <t>766920105 SPC</t>
  </si>
  <si>
    <t>D+M Interiérové otočné dřevěné dveře jednokřídlé 700/1970 mm, plné - Specifikace dle PD - D.1.1.c.01. VÝPIS DVEŘÍ - D105</t>
  </si>
  <si>
    <t>" Interiérové dveře dřevěné otočné jednokřídlé, plné.
Rozměr otvoru 800x2020 mm. "</t>
  </si>
  <si>
    <t>766920106 SPC</t>
  </si>
  <si>
    <t>D+M Interiérové otočné dřevěné dveře jednokřídlé 700/1970 mm, plné - Specifikace dle PD - D.1.1.c.01. VÝPIS DVEŘÍ - D106</t>
  </si>
  <si>
    <t>766920107 SPC</t>
  </si>
  <si>
    <t>D+M Interiérové otočné dřevěné dveře jednokřídlé 700/1970 mm, plné - Specifikace dle PD - D.1.1.c.01. VÝPIS DVEŘÍ - D107</t>
  </si>
  <si>
    <t>766920108 SPC</t>
  </si>
  <si>
    <t>D+M Interiérové otočné dřevěné dveře jednokřídlé 700/1970 mm, plné - Specifikace dle PD - D.1.1.c.01. VÝPIS DVEŘÍ - D108</t>
  </si>
  <si>
    <t>766920109 SPC</t>
  </si>
  <si>
    <t>D+M Interiérové otočné dřevěné dveře jednokřídlé 700/1970 mm, plné - Specifikace dle PD - D.1.1.c.01. VÝPIS DVEŘÍ - D109</t>
  </si>
  <si>
    <t>766920110 SPC</t>
  </si>
  <si>
    <t>D+M Interiérové otočné dřevěné dveře jednokřídlé 800/1970 mm, plné - Specifikace dle PD - D.1.1.c.01. VÝPIS DVEŘÍ - D110</t>
  </si>
  <si>
    <t>" Interiérové dveře dřevěné otočné jednokřídlé, plné.
Rozměr otvoru 900x2020 mm. "</t>
  </si>
  <si>
    <t>766920111 SPC</t>
  </si>
  <si>
    <t>D+M Interiérové otočné dřevěné dveře dvoukřídlé 900+350/1970 mm, prosklené - Specifikace dle PD - D.1.1.c.01. VÝPIS DVEŘÍ - D111</t>
  </si>
  <si>
    <t>" Interiérové dveře hliníkové otočné dvoukřídlé, prosklené.
Rozměr dveří celkový 1350×2020 mm. "</t>
  </si>
  <si>
    <t>766920112 SPC</t>
  </si>
  <si>
    <t>D+M Interiérové otočné dřevěné dveře dvoukřídlé 900+350/1970 mm, prosklené - Specifikace dle PD - D.1.1.c.01. VÝPIS DVEŘÍ - D112</t>
  </si>
  <si>
    <t>766920113 SPC</t>
  </si>
  <si>
    <t>D+M Interiérové otočné dřevěné dveře jednokřídlé 800/1970 mm, plné - Specifikace dle PD - D.1.1.c.01. VÝPIS DVEŘÍ - D113</t>
  </si>
  <si>
    <t>766920114 SPC</t>
  </si>
  <si>
    <t>D+M Interiérové otočné dřevěné dveře jednokřídlé 800/1970 mm, s PO, plné - Specifikace dle PD - D.1.1.c.01. VÝPIS DVEŘÍ - D114</t>
  </si>
  <si>
    <t>" Interiérové dveře dřevěné otočné jednokřídlé, plné, s PO.
Rozměr otvoru 900x2020 mm. "</t>
  </si>
  <si>
    <t>766920201 SPC</t>
  </si>
  <si>
    <t>D+M Interiérové otočné dřevěné dveře jednokřídlé 800/1970 mm, plné - Specifikace dle PD - D.1.1.c.01. VÝPIS DVEŘÍ - D115</t>
  </si>
  <si>
    <t>D+M Interiérové otočné dřevěné dveře jednokřídlé 800/1970 mm, plné - Specifikace dle PD - D.1.1.c.01. VÝPIS DVEŘÍ - D116</t>
  </si>
  <si>
    <t>" Dveře - 2. NP "</t>
  </si>
  <si>
    <t>766930101 SPC</t>
  </si>
  <si>
    <t>D+M Interiérové otočné dřevěné dveře dvoukřídlé 900+350/1970 mm, prosklené - Specifikace dle PD - D.1.1.c.01. VÝPIS DVEŘÍ - D117</t>
  </si>
  <si>
    <t>766930102 SPC</t>
  </si>
  <si>
    <t>D+M Interiérové otočné dřevěné dveře jednokřídlé 900/1970 mm, plné - Specifikace dle PD - D.1.1.c.01. VÝPIS DVEŘÍ - D118</t>
  </si>
  <si>
    <t>" Interiérové dveře dřevěné otočné jednokřídlé, plné.
Rozměr otvoru 1000x2020 mm. "</t>
  </si>
  <si>
    <t>766930103 SPC</t>
  </si>
  <si>
    <t>D+M Interiérové otočné dřevěné dveře jednokřídlé 800/1970 mm, plné - Specifikace dle PD - D.1.1.c.01. VÝPIS DVEŘÍ - D119</t>
  </si>
  <si>
    <t>766930104 SPC</t>
  </si>
  <si>
    <t>D+M Interiérové otočné dřevěné dveře jednokřídlé 800/1970 mm, plné - Specifikace dle PD - D.1.1.c.01. VÝPIS DVEŘÍ - D120</t>
  </si>
  <si>
    <t>766930105 SPC</t>
  </si>
  <si>
    <t>D+M Interiérové otočné dřevěné dveře jednokřídlé 800/1970 mm, prosklené - Specifikace dle PD - D.1.1.c.01. VÝPIS DVEŘÍ - D121</t>
  </si>
  <si>
    <t>" Interiérové dveře dřevěné otočné jednokřídlé, prosklené.
Rozměr otvoru 900x2020 mm. "</t>
  </si>
  <si>
    <t>766930106 SPC</t>
  </si>
  <si>
    <t>D+M Interiérové otočné dřevěné dveře dvoukřídlé 900+350/1970 mm, prosklené - Specifikace dle PD - D.1.1.c.01. VÝPIS DVEŘÍ - D122</t>
  </si>
  <si>
    <t>766930107 SPC</t>
  </si>
  <si>
    <t>D+M Interiérové otočné dřevěné dveře jednokřídlé 800/1970 mm, plné - Specifikace dle PD - D.1.1.c.01. VÝPIS DVEŘÍ - D123</t>
  </si>
  <si>
    <t>766930108 SPC</t>
  </si>
  <si>
    <t>D+M Interiérové otočné dřevěné dveře jednokřídlé 700/1970 mm, plné - Specifikace dle PD - D.1.1.c.01. VÝPIS DVEŘÍ - D124</t>
  </si>
  <si>
    <t>766930109 SPC</t>
  </si>
  <si>
    <t>D+M Interiérové otočné dřevěné dveře jednokřídlé 700/1970 mm, plné - Specifikace dle PD - D.1.1.c.01. VÝPIS DVEŘÍ - D125</t>
  </si>
  <si>
    <t>766930110 SPC</t>
  </si>
  <si>
    <t>D+M Interiérové otočné dřevěné dveře jednokřídlé 800/1970 mm, plné - Specifikace dle PD - D.1.1.c.01. VÝPIS DVEŘÍ - D126</t>
  </si>
  <si>
    <t>766930111 SPC</t>
  </si>
  <si>
    <t>D+M Interiérové otočné dřevěné dveře jednokřídlé 700/1970 mm, plné - Specifikace dle PD - D.1.1.c.01. VÝPIS DVEŘÍ - D127</t>
  </si>
  <si>
    <t>766930112 SPC</t>
  </si>
  <si>
    <t>D+M Interiérové otočné dřevěné dveře jednokřídlé 800/1970 mm, prosklené - Specifikace dle PD - D.1.1.c.01. VÝPIS DVEŘÍ - D128</t>
  </si>
  <si>
    <t>766940101 SPC</t>
  </si>
  <si>
    <t>D+M Interiérové otočné dřevěné dveře jednokřídlé 800/1970 mm, plné - Specifikace dle PD - D.1.1.c.01. VÝPIS DVEŘÍ - D129</t>
  </si>
  <si>
    <t>766940102 SPC</t>
  </si>
  <si>
    <t>D+M Interiérové otočné dřevěné dveře jednokřídlé 800/1970 mm, s PO,  plné - Specifikace dle PD - D.1.1.c.01. VÝPIS DVEŘÍ - D130</t>
  </si>
  <si>
    <t>" Interiérové dveře dřevěné otočné jednokřídlé, s PO, plné.
Rozměr otvoru 900x2020 mm. "</t>
  </si>
  <si>
    <t>766940103 SPC</t>
  </si>
  <si>
    <t>D+M Interiérové otočné dřevěné dveře dvoukřídlé 800+400/1970 mm, s PO, plné - Specifikace dle PD - D.1.1.c.01. VÝPIS DVEŘÍ - D131</t>
  </si>
  <si>
    <t>" Interiérové dveře hliníkové otočné dvoukřídlé, s PO, plné.
Rozměr dveří celkový 1400×2020 mm. "</t>
  </si>
  <si>
    <t>766940104 SPC</t>
  </si>
  <si>
    <t>D+M Interiérové otočné dřevěné dveře dvoukřídlé 900+350/1970 mm, s PO, prosklené - Specifikace dle PD - D.1.1.c.01. VÝPIS DVEŘÍ - D201</t>
  </si>
  <si>
    <t>" Interiérové dveře hliníkové otočné dvoukřídlé, s PO, prosklené.
Rozměr dveří celkový 1350×2020 mm. "</t>
  </si>
  <si>
    <t>766940105 SPC</t>
  </si>
  <si>
    <t>D+M Interiérové otočné dřevěné dveře jednokřídlé 800/1970 mm, plné - Specifikace dle PD - D.1.1.c.01. VÝPIS DVEŘÍ - D202</t>
  </si>
  <si>
    <t>766940106 SPC</t>
  </si>
  <si>
    <t>D+M Interiérové otočné dřevěné dveře jednokřídlé 700/1970 mm, plné - Specifikace dle PD - D.1.1.c.01. VÝPIS DVEŘÍ - D203</t>
  </si>
  <si>
    <t>766940107 SPC</t>
  </si>
  <si>
    <t>D+M Interiérové otočné dřevěné dveře jednokřídlé 700/1970 mm, plné - Specifikace dle PD - D.1.1.c.01. VÝPIS DVEŘÍ - D204</t>
  </si>
  <si>
    <t>766940108 SPC</t>
  </si>
  <si>
    <t>D+M Interiérové otočné dřevěné dveře jednokřídlé 800/1970 mm, plné - Specifikace dle PD - D.1.1.c.01. VÝPIS DVEŘÍ - D205</t>
  </si>
  <si>
    <t>766940109 SPC</t>
  </si>
  <si>
    <t>D+M Interiérové otočné dřevěné dveře jednokřídlé 700/1970 mm, plné - Specifikace dle PD - D.1.1.c.01. VÝPIS DVEŘÍ - D206</t>
  </si>
  <si>
    <t>7669401010 SPC</t>
  </si>
  <si>
    <t>D+M Interiérové otočné dřevěné dveře jednokřídlé 700/1970 mm, plné - Specifikace dle PD - D.1.1.c.01. VÝPIS DVEŘÍ - D207</t>
  </si>
  <si>
    <t>766940111 SPC</t>
  </si>
  <si>
    <t>D+M Interiérové otočné dřevěné dveře jednokřídlé 800/1970 mm, s PO, plné - Specifikace dle PD - D.1.1.c.01. VÝPIS DVEŘÍ - D208</t>
  </si>
  <si>
    <t>766660717 SPC</t>
  </si>
  <si>
    <t xml:space="preserve">D+M Samozavírač  na dveře mezi m.č. 2.07 - 2.28 a 2.29 - 2.29 - Specifikace dle PD - D.1.1.c.01. VÝPIS DVEŘÍ </t>
  </si>
  <si>
    <t>" Montáž a dodávka samozavírače. "</t>
  </si>
  <si>
    <t>" Samozavírače "</t>
  </si>
  <si>
    <t>" Včetně veškerého příslušenství a doplňků dle PD. "</t>
  </si>
  <si>
    <t>766940113 SPC</t>
  </si>
  <si>
    <t>D+M Štítky na všechny stávající dveře - Specifikace dle PD - D.1.1.c.01. VÝPIS DVEŘÍ</t>
  </si>
  <si>
    <t>" Štítek na dveře. "</t>
  </si>
  <si>
    <t>" Štítek na dveřích "</t>
  </si>
  <si>
    <t>766999991 SPC</t>
  </si>
  <si>
    <t>D+M Systém generálního klíče - Specifikace ve výpisu dveří</t>
  </si>
  <si>
    <t>" Systém centrálního klíče u dvěří - pětistavítkový systém, klíče dle požadavků uživatele, min. 4 klíče ke každému zámku."</t>
  </si>
  <si>
    <t>Přesun hmot procentní pro kce truhlářské v objektech v přes 12 do 24 m</t>
  </si>
  <si>
    <t>HZS2121</t>
  </si>
  <si>
    <t>Hodinová zúčtovací sazba truhlář</t>
  </si>
  <si>
    <t xml:space="preserve">" Stavební práce a dodávky spojené s provedením funkčního celku 766 " </t>
  </si>
  <si>
    <t>D.1.1.c.01. VÝPIS DVEŘÍ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</si>
  <si>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</si>
  <si>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Objekt:  D.1.1.c.02. VÝPIS OKEN</t>
  </si>
  <si>
    <t>Konstrukce truhlářské</t>
  </si>
  <si>
    <t>776999101 SPC</t>
  </si>
  <si>
    <t>D+M Plastové okno 900x600 mm - Specifikace ve výpisu oken - O01</t>
  </si>
  <si>
    <t>" Plastové okno 1x sklopné. "</t>
  </si>
  <si>
    <t>" 1. PP "</t>
  </si>
  <si>
    <t>" Okno včetně kování a příslušenství dle PD. "</t>
  </si>
  <si>
    <t>776999102 SPC</t>
  </si>
  <si>
    <t>D+M Plastové okno 1200×900 mm  - Specifikace ve výpisu oken - O02</t>
  </si>
  <si>
    <t>" Plastové okno sklopné i otevíravé. "</t>
  </si>
  <si>
    <t>776999103 SPC</t>
  </si>
  <si>
    <t>D+M Plastové okno 1200x1800 mm vč. sítě proti hmyzu - Specifikace ve výpisu oken - O101</t>
  </si>
  <si>
    <t>" Plastové okno 1x sklopné i otevíravé."</t>
  </si>
  <si>
    <t>" 1. NP "</t>
  </si>
  <si>
    <r>
      <t xml:space="preserve">" POZN: Žaluzie pro okno naceněny samostatně - v oddíle </t>
    </r>
    <r>
      <rPr>
        <i/>
        <sz val="8"/>
        <color rgb="FF0000FF"/>
        <rFont val="Arial CE"/>
        <family val="2"/>
        <charset val="238"/>
      </rPr>
      <t>786 Stínění a čalounické úpravy</t>
    </r>
    <r>
      <rPr>
        <sz val="8"/>
        <color rgb="FF0000FF"/>
        <rFont val="Arial CE"/>
        <family val="2"/>
        <charset val="238"/>
      </rPr>
      <t>. "</t>
    </r>
  </si>
  <si>
    <t>776999104 SPC</t>
  </si>
  <si>
    <t>D+M Plastové okno 1200×1800 mm - Specifikace ve výpisu oken - O102</t>
  </si>
  <si>
    <t>776999105 SPC</t>
  </si>
  <si>
    <t>D+M Plastové okno 2400×1800 mm vč. sítě proti hmyzu - Specifikace ve výpisu oken - O103</t>
  </si>
  <si>
    <t>" Plastové okno 2x sklopné i otevíravé. "</t>
  </si>
  <si>
    <t>776999106 SPC</t>
  </si>
  <si>
    <t>D+M Plastové okno 2400×1800 mm vč. sítě proti hmyzu - Specifikace ve výpisu oken - O104</t>
  </si>
  <si>
    <t>776999107 SPC</t>
  </si>
  <si>
    <t>D+M Plastové okno 900×1800 mm - Specifikace ve výpisu oken - O105</t>
  </si>
  <si>
    <t>776999108 SPC</t>
  </si>
  <si>
    <t>D+M Plastové okno 1200×2100 mm - Specifikace ve výpisu oken - O106</t>
  </si>
  <si>
    <t>" Plastové okno 1x sklopné i otevíravé a 1x sklopné."</t>
  </si>
  <si>
    <t>776999109 SPC</t>
  </si>
  <si>
    <t>D+M Plastové okno 2400×2100 mm - Specifikace ve výpisu oken - O107</t>
  </si>
  <si>
    <t>" Plastové okno 2x sklopné i otevíravé a 2x sklopné. "</t>
  </si>
  <si>
    <t>776999110 SPC</t>
  </si>
  <si>
    <t>D+M Plastové okno 2400×2100 mm - Specifikace ve výpisu oken - O108</t>
  </si>
  <si>
    <t>776999111 SPC</t>
  </si>
  <si>
    <t>D+M Plastové okno 2400×2100 mm - Specifikace ve výpisu oken - O109</t>
  </si>
  <si>
    <t>776999112 SPC</t>
  </si>
  <si>
    <t>D+M Plastové okno 900×2100 mm - Specifikace ve výpisu oken - O110</t>
  </si>
  <si>
    <t>776999113 SPC</t>
  </si>
  <si>
    <t>D+M Plastové okno 900×2100 mm - Specifikace ve výpisu oken - O111</t>
  </si>
  <si>
    <t>776999114 SPC</t>
  </si>
  <si>
    <t>D+M Plastové okno 2400×1800 mm - Specifikace ve výpisu oken - O112</t>
  </si>
  <si>
    <t>776999115 SPC</t>
  </si>
  <si>
    <t>D+M Plastové okno 1200×1800 mm - Specifikace ve výpisu oken - O113</t>
  </si>
  <si>
    <t>776999116 SPC</t>
  </si>
  <si>
    <t>D+M Plastové okno 1200×2100 mm - Specifikace ve výpisu oken - O201</t>
  </si>
  <si>
    <t>" 2. NP "</t>
  </si>
  <si>
    <t>776999117 SPC</t>
  </si>
  <si>
    <t>D+M Plastové okno 2400×2100 mm - Specifikace ve výpisu oken - O202</t>
  </si>
  <si>
    <t>" Plastové okno 2x sklopné i otevíravé a 2x sklopné."</t>
  </si>
  <si>
    <t>776999118 SPC</t>
  </si>
  <si>
    <t>D+M Plastové okno 900×2100 mm - Specifikace ve výpisu oken - O203</t>
  </si>
  <si>
    <t>776999119 SPC</t>
  </si>
  <si>
    <t>D+M Plastové okno 900×2100 mm - Specifikace ve výpisu oken - O204</t>
  </si>
  <si>
    <t>776999120 SPC</t>
  </si>
  <si>
    <t>D+M Plastové okno 1200×2100 mm - Specifikace ve výpisu oken - O205</t>
  </si>
  <si>
    <t>776999121 SPC</t>
  </si>
  <si>
    <t>D+M Plastové okno 2400×2100 mm - Specifikace ve výpisu oken - O206</t>
  </si>
  <si>
    <t>Přesun hmot procentní pro kce truhlářské v objektech v přes 6 do 12 m</t>
  </si>
  <si>
    <t>23</t>
  </si>
  <si>
    <t>Konstrukce zámečnické</t>
  </si>
  <si>
    <t>767620001 SPC</t>
  </si>
  <si>
    <t>D+M Hliníkové okno 5400x1500 mm - Specifikace dle PD - D.1.1.c.02. VÝPIS OKEN - OM01</t>
  </si>
  <si>
    <t>" Hliníkový profil, 4x příčka, křídla - 4x výsuvné a 4x fixní. "</t>
  </si>
  <si>
    <t>" 1.NP "</t>
  </si>
  <si>
    <t>767</t>
  </si>
  <si>
    <t>Přesun hmot procentní pro zámečnické konstrukce v objektech v přes 6 do 12 m</t>
  </si>
  <si>
    <t>HZS2131</t>
  </si>
  <si>
    <t>Hodinová zúčtovací sazba zámečník</t>
  </si>
  <si>
    <t>Stínění a čalounické úpravy</t>
  </si>
  <si>
    <t>786999102 SPC</t>
  </si>
  <si>
    <t>D+M Interiérové žaluzie, mechanicky ovládané - pro okno O102 - Specifikace dle PD - D.1.1.c.02 VÝPIS OKEN</t>
  </si>
  <si>
    <t>" Vnitřní žaluzie - celostínící hliníkové lamely š. 25 mm. Barva bílá. "</t>
  </si>
  <si>
    <t>" Vnitřní žaluzie "</t>
  </si>
  <si>
    <t xml:space="preserve">" V ceně veškeré nutné příslušenství a materiál pro montáž vnitřních žaluzií - ovládací prvek (lano, řetízek, …), případný uložný prvek ovládání (aretace), veškeré lišty, horní profil (box), apod. " </t>
  </si>
  <si>
    <t>786999105 SPC</t>
  </si>
  <si>
    <t>D+M Interiérové žaluzie, mechanicky ovládané - pro okno O105 - Specifikace dle PD - D.1.1.c.02 VÝPIS OKEN</t>
  </si>
  <si>
    <t>786999109 SPC</t>
  </si>
  <si>
    <t>D+M Interiérové žaluzie, mechanicky ovládané - pro okno O109 - Specifikace dle PD - D.1.1.c.02 VÝPIS OKEN</t>
  </si>
  <si>
    <t>786999113 SPC</t>
  </si>
  <si>
    <t>D+M Interiérové žaluzie, mechanicky ovládané - pro okno O113 - Specifikace dle PD - D.1.1.c.02 VÝPIS OKEN</t>
  </si>
  <si>
    <t>786</t>
  </si>
  <si>
    <t>786999401 SPC</t>
  </si>
  <si>
    <t>D+M Venkovní žaluzie - elektricky ovládané - Specifikace ve výpisu oken</t>
  </si>
  <si>
    <t>" Předokenní hliníková žaluzie. Šířka lamel 80 mm. Tvar lamely "C". Montáž do systémového kastlíku, podomítkový systém. "</t>
  </si>
  <si>
    <t>" Venkovní žaluzie pro okna. "</t>
  </si>
  <si>
    <t>" Žaluzie pro okno 1200×1800 mm - O101 " - 3ks</t>
  </si>
  <si>
    <t>" Žaluzie pro okno 2400×1800 mm - O103 " - 6ks</t>
  </si>
  <si>
    <t>" Žaluzie pro okno 2400×1800 mm - O104 " - 2ks</t>
  </si>
  <si>
    <t>" Žaluzie pro okno 2400×2100 mm - O108 " - 6ks</t>
  </si>
  <si>
    <t>" Žaluzie pro okno 2400×2100 mm - O202 " - 21ks</t>
  </si>
  <si>
    <t>" Žaluzie pro okno 900×2100 mm - O203 " - 2ks</t>
  </si>
  <si>
    <t>" Žaluzie pro okno 1200×2100 mm - O205 " - 2ks</t>
  </si>
  <si>
    <t xml:space="preserve">" Včetně podpůrné a rozšiřující konstrukce, vodících kolejnic, elektrického pohonu, pokabelování, napojení na elektro, ovládacích prvků a příslušenství. " </t>
  </si>
  <si>
    <t xml:space="preserve">" V ceně žaluziový box včetně systémové izolace a izolace pro uložení a kolem boxu, systémové desky pro aplikaci omítky, oplechování z poplastovaného plechu, vynášecí profil pro žaluziový box. " </t>
  </si>
  <si>
    <t xml:space="preserve">" Součástí automaticky systém pro ovládání pomocí čidel - větrných, slunečních. " </t>
  </si>
  <si>
    <t xml:space="preserve">" POZN.: Plocha vztažena na výměru okenních výplní. " </t>
  </si>
  <si>
    <t>Přesun hmot procentní pro stínění a čalounické úpravy v objektech v do 12 m</t>
  </si>
  <si>
    <t xml:space="preserve">" Stavební práce a dodávky spojené s provedením funkčního celku 786. " </t>
  </si>
  <si>
    <t>D.1.1.c.02. VÝPIS OKEN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</si>
  <si>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</si>
  <si>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</si>
  <si>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Objekt:  D.1.1.c.07. VÝPIS OSTATNÍCH VÝROBKŮ</t>
  </si>
  <si>
    <t>790999101 SPC</t>
  </si>
  <si>
    <t>D+M Sanitární příčka - Specifikace dle PD - D.1.1.c.07. VÝPIS OSTATNÍCH VÝROBKŮ - OV1.1</t>
  </si>
  <si>
    <t>" Sestava dělících systémových sanitárních příček. "</t>
  </si>
  <si>
    <t>1a</t>
  </si>
  <si>
    <t>763412114</t>
  </si>
  <si>
    <t>" - Sanitární příčka " ((1,450+1,80)*1,850)</t>
  </si>
  <si>
    <t>1b</t>
  </si>
  <si>
    <t>763412124</t>
  </si>
  <si>
    <t>" - Dveře pro sanitární příčky "</t>
  </si>
  <si>
    <t>" Sanitární příčka "</t>
  </si>
  <si>
    <t>" V ceně veškeré kotvíci prvky a doplňky. "</t>
  </si>
  <si>
    <t>790999102 SPC</t>
  </si>
  <si>
    <t>D+M Sanitární příčka - Specifikace dle PD - D.1.1.c.07. VÝPIS OSTATNÍCH VÝROBKŮ - OV1.2</t>
  </si>
  <si>
    <t>2a</t>
  </si>
  <si>
    <t>" - Sanitární příčka " ((1,580+1,800))*1,85</t>
  </si>
  <si>
    <t>2b</t>
  </si>
  <si>
    <t>790999103 SPC</t>
  </si>
  <si>
    <t>D+M Sanitární příčka - Specifikace dle PD - D.1.1.c.07. VÝPIS OSTATNÍCH VÝROBKŮ - OV1.3</t>
  </si>
  <si>
    <t>3a</t>
  </si>
  <si>
    <t>" - Sanitární příčka " (1,460*2+2,600)*1,85</t>
  </si>
  <si>
    <t>3b</t>
  </si>
  <si>
    <t>790999111 SPC</t>
  </si>
  <si>
    <t>D+M Čistící zóna - venkovní - Specifikace dle PD - D.1.1.c.07. VÝPIS OSTATNÍCH VÝROBKŮ  - OV2.1</t>
  </si>
  <si>
    <t>" Venkovní čistící zóna. "</t>
  </si>
  <si>
    <t>4a</t>
  </si>
  <si>
    <t>" - Osazení zápustného rámu čistící zóny " (0,91)*2</t>
  </si>
  <si>
    <t>4b</t>
  </si>
  <si>
    <t>767999991 SPC</t>
  </si>
  <si>
    <t>" - Dodávka zápustného rámu čistící zóny " (0,91)*2*1,05</t>
  </si>
  <si>
    <t>4c</t>
  </si>
  <si>
    <t>" - Montáž čistící zóny " (0,91)</t>
  </si>
  <si>
    <t>4d</t>
  </si>
  <si>
    <t>767999992 SPC</t>
  </si>
  <si>
    <t>" - Dodávka čistící zóny "  (0,91)*1,05</t>
  </si>
  <si>
    <t>" Venkovní čistící zóna - 1. NP "</t>
  </si>
  <si>
    <t>" Cena vč. osazení, zapuštěného nerezového rámu. "</t>
  </si>
  <si>
    <t>D+M Vstupní čistící zóna - vnitřní - Specifikace dle PD - D.1.1.c.07. VÝPIS OSTATNÍCH VÝROBKŮ  - OV2.2</t>
  </si>
  <si>
    <t>" Vstupní čistící zóna - vnitřní. "</t>
  </si>
  <si>
    <t>5a</t>
  </si>
  <si>
    <t>" - Osazení zápustného rámu čistící zóny " (17,92+2,31)*2</t>
  </si>
  <si>
    <t>5b</t>
  </si>
  <si>
    <t>767999993 SPC</t>
  </si>
  <si>
    <t>" - Dodávka hliníkového rámečku čistící zóny " (17,92+2,31)*1,05</t>
  </si>
  <si>
    <t>5c</t>
  </si>
  <si>
    <t>" - Montáž čistící zóny " (17,92+2,31)</t>
  </si>
  <si>
    <t>5d</t>
  </si>
  <si>
    <t>" - Dodávka vnitřní čistící kobercové zóny "  (17,92+2,31)*1,05</t>
  </si>
  <si>
    <t>" Vstupní čistící zóna - 1. NP "</t>
  </si>
  <si>
    <t>790999401 SPC</t>
  </si>
  <si>
    <t>D+M Přenosný hasící přístroj práškový - Specifikace dle PD - D.1.1.c.07. VÝPIS OSTATNÍCH VÝROBKŮ - OV3.1</t>
  </si>
  <si>
    <t>" Přenosný hasicí přístroj práškový 6 kg - hasící schopnost 21A. "</t>
  </si>
  <si>
    <t>" Cena vč. držáku a úvodní revize. "</t>
  </si>
  <si>
    <t>D+M Hydrantový systém vestavěný s tvarově stálou hadící D19 - Specifikace dle PD - D.1.1.c.07. VÝPIS OSTATNÍCH VÝROBKŮ  - OV3.2</t>
  </si>
  <si>
    <t>" Hydrantový systém vestavěný s tvarově stálou hadicí D19 délky 30 m.
 Rozměr: 650x650x175 mm. "</t>
  </si>
  <si>
    <t xml:space="preserve">" 1. NP " </t>
  </si>
  <si>
    <t>" V ceně armatury, tvarovky, napojení na požární vodovod, revize"</t>
  </si>
  <si>
    <t>8</t>
  </si>
  <si>
    <t>790999501 SPC</t>
  </si>
  <si>
    <t>D+M Skříňka na hasící přístroj - Specifikace dle PD - D.1.1.c.07. VÝPIS OSTATNÍCH VÝROBKŮ - OV3.3</t>
  </si>
  <si>
    <t>" Korpus - svařovaná konstrukce z ocelového plechu
  Povrch - práškový lak, barva bílá
  Dvířka - z ocelového plechu, plná
  Rozměry - 595x260x210mm "</t>
  </si>
  <si>
    <t>790999502 SPC</t>
  </si>
  <si>
    <t>D+M Skříňka na hasící přístroj dvojitá- Specifikace dle PD - D.1.1.c.07. VÝPIS OSTATNÍCH VÝROBKŮ - OV3.4</t>
  </si>
  <si>
    <t>" Korpus - svařovaná konstrukce z ocelového plechu
  Povrch - práškový lak, barva bílá
  Dvířka - z ocelového plechu, plná
  Rozměry - 595x220x210mm "</t>
  </si>
  <si>
    <t>790999503 SPC</t>
  </si>
  <si>
    <t>D+M Tabulka " Požární evakuační plán" - Specifikace dle PD - D.1.1.c.07. VÝPIS OSTATNÍCH VÝROBKŮ  - OV3.5</t>
  </si>
  <si>
    <t>" Tabulka "Požární evakuační plán" v nerezovém ráměčku s antireflexním zasklením pro zavěšení na stěnu. Formát A4. "</t>
  </si>
  <si>
    <t>" Cena vč. rámečku, zasklení, kotvících prvků a příslušenství dle PD. "</t>
  </si>
  <si>
    <t>790999504 SPC</t>
  </si>
  <si>
    <t>D+M Tabulka " Požární poplachová směrnice" - Specifikace dle PD - D.1.1.c.07. VÝPIS OSTATNÍCH VÝROBKŮ - OV3.6</t>
  </si>
  <si>
    <t>" Tabulka "Požární poplachová směrnice" v nerezovém ráměčku se zasklením pro zavěšení na stěnu. Formát A4. "</t>
  </si>
  <si>
    <t>12</t>
  </si>
  <si>
    <t>790999920 SPC</t>
  </si>
  <si>
    <t>D+M Světlovod Ø350 mm - Specifikace dle PD - D.1.1.c.07. VÝPIS OSTATNÍCH VÝROBKŮ - OV4.1</t>
  </si>
  <si>
    <t>" Světlovod pro ploché střechy. "</t>
  </si>
  <si>
    <t>" Střecha "</t>
  </si>
  <si>
    <t>" Cena vč. kotvících prvků a příslušenství dle PD. "</t>
  </si>
  <si>
    <t>790999930 SPC</t>
  </si>
  <si>
    <t>D+M Výlez na střechu pro otvor 900×600 mm - Specifikace dle PD - D.1.1.c.07. VÝPIS OSTATNÍCH VÝROBKŮ - OV4.2</t>
  </si>
  <si>
    <t>" Systémový výlez na střechu osazen do otvoru 900×600 mm. "</t>
  </si>
  <si>
    <t>790999136 SPC</t>
  </si>
  <si>
    <t>D+M Okenní roleta  - Specifikace dle PD - D.1.1.c.07. VÝPIS OSTATNÍCH VÝROBKŮ - OV4.3</t>
  </si>
  <si>
    <t>" Okenní roleta 700x1200mm "</t>
  </si>
  <si>
    <t>D+M Okenní roleta  - Specifikace dle PD - D.1.1.c.07. VÝPIS OSTATNÍCH VÝROBKŮ - OV4.4</t>
  </si>
  <si>
    <t>" Okenní roleta 1400x1500mm "</t>
  </si>
  <si>
    <t>16</t>
  </si>
  <si>
    <t>D+M Schodový profil - ukončovací - Specifikace dle PD - D.1.1.c.07. VÝPIS OSTATNÍCH VÝROBKŮ - OV5.5</t>
  </si>
  <si>
    <t>" Schodový ukončovací profil. "</t>
  </si>
  <si>
    <t>D+M Schodový profil - vnitřní roh - Specifikace dle PD - D.1.1.c.07. VÝPIS OSTATNÍCH VÝROBKŮ - OV5.6</t>
  </si>
  <si>
    <t>790999509 SPC</t>
  </si>
  <si>
    <t>D+M Ochrana rohů - Specifikace dle PD - D.1.1.c.07. VÝPIS OSTATNÍCH VÝROBKŮ - OV6.1</t>
  </si>
  <si>
    <t>" Kryty rohů s robustním hliníkovým držák a volně plovoucím krytem "</t>
  </si>
  <si>
    <t>790999131 SPC</t>
  </si>
  <si>
    <t>D+M Cedulka objekt střežen kamerovým systémem - Specifikace dle PD - D.1.1.c.07. VÝPIS OSTATNÍCH VÝROBKŮ  - OV7.1</t>
  </si>
  <si>
    <t>" Objekt střežen kamerovým systémem "</t>
  </si>
  <si>
    <t>D+M Stávající cedule školy - Specifikace dle PD - D.1.1.c.07. VÝPIS OSTATNÍCH VÝROBKŮ - OV7.2</t>
  </si>
  <si>
    <t>" Demontáž a zpětná montáž cedulky školy "</t>
  </si>
  <si>
    <t>790999133 SPC</t>
  </si>
  <si>
    <t>D+M Hlavní orientační systém - Specifikace dle PD - D.1.1.c.07. VÝPIS OSTATNÍCH VÝROBKŮ - OV7.3</t>
  </si>
  <si>
    <t>" Hlavní orientační tabule vkládané tabule s tištěným polepem "</t>
  </si>
  <si>
    <t>D+M Hlavní orientační systém patrový - Specifikace dle PD - D.1.1.c.07. VÝPIS OSTATNÍCH VÝROBKŮ - OV7.4</t>
  </si>
  <si>
    <t>" Patrové orientační tabule vkládané tabule s tištěným polepem "</t>
  </si>
  <si>
    <t>D+M Informační systém - Specifikace dle PD - D.1.1.c.07. VÝPIS OSTATNÍCH VÝROBKŮ - OV7.5</t>
  </si>
  <si>
    <t>" Informační systém, rozměry 210x297mm "</t>
  </si>
  <si>
    <t>24</t>
  </si>
  <si>
    <t>D+M Informační systém  - Specifikace dle PD - D.1.1.c.07. VÝPIS OSTATNÍCH VÝROBKŮ - OV7.6</t>
  </si>
  <si>
    <t>" Informační systém, rozměry 210x110mm "</t>
  </si>
  <si>
    <t xml:space="preserve">" 1. PP " </t>
  </si>
  <si>
    <t xml:space="preserve">" 2. NP " </t>
  </si>
  <si>
    <t>25</t>
  </si>
  <si>
    <t>D+M Stávající cedule zákaz kouření  - Specifikace dle PD - D.1.1.c.07. VÝPIS OSTATNÍCH VÝROBKŮ - OV7.7</t>
  </si>
  <si>
    <t>" Demontáž a zpětná montáž cedule "</t>
  </si>
  <si>
    <t>790999003 SPC</t>
  </si>
  <si>
    <t>D+M Stříška na vchodem - Specifikace dle PD - D.1.1.c.07. VÝPIS OSTATNÍCH VÝROBKŮ  - OV8.1</t>
  </si>
  <si>
    <t>" Rovná vchodová skleněná stříška, bezpečnostní sklo tl 12 mm.                                  Kotvení pomoci konzol. "</t>
  </si>
  <si>
    <t xml:space="preserve">" 1. NP 1000x2000mm " </t>
  </si>
  <si>
    <t>790999207 SPC</t>
  </si>
  <si>
    <t>D+M Stojan na dezinfekci - Specifikace dle PD - D.1.1.c.07. VÝPIS OSTATNÍCH VÝROBKŮ - OV9.1</t>
  </si>
  <si>
    <t>" Stojan na dezinfekci s bezdotykovým dávkovačem a odkapávačem. "</t>
  </si>
  <si>
    <t>D+M Stojan na kola - Specifikace dle PD - D.1.1.c.07. VÝPIS OSTATNÍCH VÝROBKŮ - OV9.2</t>
  </si>
  <si>
    <t>" Stojan na kola "</t>
  </si>
  <si>
    <t>D+M Nerezový sloupek na vodu - Specifikace dle PD - D.1.1.c.07. VÝPIS OSTATNÍCH VÝROBKŮ - OV9.3</t>
  </si>
  <si>
    <t>" Zahradní sloupek na vodu čtvercový "</t>
  </si>
  <si>
    <t>D+M Stropní držák na projektor - Specifikace dle PD - D.1.1.c.07. VÝPIS OSTATNÍCH VÝROBKŮ - OV9.4</t>
  </si>
  <si>
    <t>" Stropní držák na projektor "</t>
  </si>
  <si>
    <t>790999943 SPC</t>
  </si>
  <si>
    <t>D+M Háček - Specifikace dle PD - D.1.1.c.07. VÝPIS OSTATNÍCH VÝROBKŮ - H1.1</t>
  </si>
  <si>
    <t>" Háček nástěnný. Rozměry 48x48x30 mm. "</t>
  </si>
  <si>
    <t>32</t>
  </si>
  <si>
    <t>790999950 SPC</t>
  </si>
  <si>
    <t>D+M Dávkovač tekutého mýdla - Specifikace dle PD - D.1.1.c.07. VÝPIS OSTATNÍCH VÝROBKŮ - H2.1</t>
  </si>
  <si>
    <t>" Dávkovač tekutého mýdla. Rozměr 160x105x68 mm. Materiál: nerez. "</t>
  </si>
  <si>
    <t>33</t>
  </si>
  <si>
    <t>790999946 SPC</t>
  </si>
  <si>
    <t>D+M Zásobník papírových ručníků - Specifikace dle PD - D.1.1.c.07. VÝPIS OSTATNÍCH VÝROBKŮ - H2.2</t>
  </si>
  <si>
    <t>" Zásobník na papírové ručníky - nástěnný. Rozměr 270x265x115 mm.
Materiál: nerez "</t>
  </si>
  <si>
    <t>34</t>
  </si>
  <si>
    <t>790999948 SPC</t>
  </si>
  <si>
    <t>D+M Odpadkový koš bez víka - Specifikace dle PD - D.1.1.c.07. VÝPIS OSTATNÍCH VÝROBKŮ - H2.3</t>
  </si>
  <si>
    <t>" Volně stojící odpadkový koš - objem 50 l. Rozměr 614x395x253 mm.
Materiál: nerez. "</t>
  </si>
  <si>
    <t>35</t>
  </si>
  <si>
    <t>790999945 SPC</t>
  </si>
  <si>
    <t>D+M Zásobník na toaletní papír - Specifikace dle PD - D.1.1.c.07. VÝPIS OSTATNÍCH VÝROBKŮ - H2.4</t>
  </si>
  <si>
    <t>" Zásobník toaletního papíru - nástěnný. Rozměr 250x210x115 mm.
Materiál: nerez "</t>
  </si>
  <si>
    <t>36</t>
  </si>
  <si>
    <t>790999949 SPC</t>
  </si>
  <si>
    <t>D+M Zásobník hygienických sáčků - Specifikace dle PD - D.1.1.c.07. VÝPIS OSTATNÍCH VÝROBKŮ - H2.5</t>
  </si>
  <si>
    <t>" Zásobník hygienických sáčků. Rozměr 100x140x25 mm.
Materiál: nerez. "</t>
  </si>
  <si>
    <t>37</t>
  </si>
  <si>
    <t>790999947 SPC</t>
  </si>
  <si>
    <t>D+M Odpadkový koš s víkem - Specifikace dle PD - D.1.1.c.07. VÝPIS OSTATNÍCH VÝROBKŮ - H2.6</t>
  </si>
  <si>
    <t>" Nášlapný hranatý koš - objem 6 l. Rozměr 205x260x290 mm.
Materiál: bílý plast / nerez matný. "</t>
  </si>
  <si>
    <t>38</t>
  </si>
  <si>
    <t>790999960 SPC</t>
  </si>
  <si>
    <t>D+M WC souprava - Specifikace dle PD - D.1.1.c.07. VÝPIS OSTATNÍCH VÝROBKŮ - H2.7</t>
  </si>
  <si>
    <t>" Závěsný WC kartáč s nádobkou a držákem. Rozměr 385×95x120 mm.
Materiál: nerez. "</t>
  </si>
  <si>
    <t>790999961 SPC</t>
  </si>
  <si>
    <t>D+M Dělící stěna mezi pisoáry - Specifikace PD - D.1.1.c.07. VÝPIS OSTATNÍCH VÝROBKŮ - H2.8</t>
  </si>
  <si>
    <t>" Dělící stěna mezi pisoáry. Rozměr 710x410x100mm. "</t>
  </si>
  <si>
    <t>40</t>
  </si>
  <si>
    <t>790999940 SPC</t>
  </si>
  <si>
    <t>D+M Madlo toaletní - pevné - Specifikace dle PD - D.1.1.c.07. VÝPIS OSTATNÍCH VÝROBKŮ - H2.9</t>
  </si>
  <si>
    <t>" Pevné uzavřené madlo. Rozměr 829x250x100 mm. "</t>
  </si>
  <si>
    <t>41</t>
  </si>
  <si>
    <t>790999941 SPC</t>
  </si>
  <si>
    <t>D+M Madlo toaletní - sklopné - Specifikace dle PD - D.1.1.c.07. VÝPIS OSTATNÍCH VÝROBKŮ - H2.10</t>
  </si>
  <si>
    <t>" Sklopné uzavřené madlo. Rozměr 616x250x100 mm. "</t>
  </si>
  <si>
    <t>42</t>
  </si>
  <si>
    <t>790999942 SPC</t>
  </si>
  <si>
    <t>D+M Madlo jednoduché - Specifikace dle PD - D.1.1.c.07. VÝPIS OSTATNÍCH VÝROBKŮ - H2.11</t>
  </si>
  <si>
    <t>" Rovné madlo. Rozměr 380x75x106 mm. "</t>
  </si>
  <si>
    <t>790999955 SPC</t>
  </si>
  <si>
    <t>D+M Nástěnné zrcadlo - rozměr 500x800 mm - Specifikace dle PD - D.1.1.c.07. VÝPIS OSTATNÍCH VÝROBKŮ - H3.1</t>
  </si>
  <si>
    <t>" Nástěnné zrcadlo ohraněno fazetovou hranou. Rozměr 500x800 mm. "</t>
  </si>
  <si>
    <t>D+M Výklopné zrcadlo - rozměr 400x600 mm - Specifikace dle PD - D.1.1.c.07. VÝPIS OSTATNÍCH VÝROBKŮ - H3.2</t>
  </si>
  <si>
    <t>" Výklopné zrcadlo. Rozměr 400x600 mm. "</t>
  </si>
  <si>
    <t>45</t>
  </si>
  <si>
    <t>790999965 SPC</t>
  </si>
  <si>
    <t>D+M Sprchová tyč včetně závěsu - Specifikace dle PD - D.1.1.c.07. VÝPIS OSTATNÍCH VÝROBKŮ - H4.1</t>
  </si>
  <si>
    <t>" Teleskopická tyč na spchový závěs včetně závěs. Rozměr závěsu: 2000x2000mm
Materiál: kov. "</t>
  </si>
  <si>
    <t>46</t>
  </si>
  <si>
    <t>790999963 SPC</t>
  </si>
  <si>
    <t>D+M Policový set - Specifikace dle PD - D.1.1.c.07. VÝPIS OSTATNÍCH VÝROBKŮ - H5.1</t>
  </si>
  <si>
    <t>" Policový set - nástěnný. Rozměr 828×496×320 mm.
Materiál: kov. "</t>
  </si>
  <si>
    <t>47</t>
  </si>
  <si>
    <t>790999962 SPC</t>
  </si>
  <si>
    <t>D+M Věšák úklidového nářadí - Specifikace dle PD - D.1.1.c.07. VÝPIS OSTATNÍCH VÝROBKŮ - H5.2</t>
  </si>
  <si>
    <t>" Nástěnný držák na nářadí vč. 6 výklopných háčků.
Rozměr 405×60×105 mm.
Materiál: plast. "</t>
  </si>
  <si>
    <t>48</t>
  </si>
  <si>
    <t>790999968 SPC</t>
  </si>
  <si>
    <t>D+M Úklidový vozík včetně mopu - Specifikace dle PD - D.1.1.c.07. VÝPIS OSTATNÍCH VÝROBKŮ - H5.3</t>
  </si>
  <si>
    <t>" Úklidový vozík včetně mopu "</t>
  </si>
  <si>
    <t>" Cena vč. příslušenství dle PD. "</t>
  </si>
  <si>
    <t>49</t>
  </si>
  <si>
    <t>998790202 SPC</t>
  </si>
  <si>
    <t>Přesun hmot procentní pro ostatní výrobky v objektech v do 12 m</t>
  </si>
  <si>
    <t>50</t>
  </si>
  <si>
    <t>D.1.1.c.07. VÝPIS OSTATNÍCH VÝROBKŮ</t>
  </si>
  <si>
    <t>Objekt:   D.1.1.c.05. VÝPIS ZÁMEČNICKÝCH VÝROBKŮ</t>
  </si>
  <si>
    <t>767999101 SPC</t>
  </si>
  <si>
    <t>D+M Odnímatelné zábradlí - řetízek - Specifikace dle PD - D.1.c.05 VÝPIS ZÁMEČNICKÝCH VÝROBKŮ - Z1.1</t>
  </si>
  <si>
    <t>kpl</t>
  </si>
  <si>
    <t>" Ukotveno do zdiva a do kce zábradlí ocelového schodiště žárově pozinkovaný řetěz s výškou oka 20mm. Délka 3,3m. "</t>
  </si>
  <si>
    <t xml:space="preserve">" Odnímatelné zábradlí " </t>
  </si>
  <si>
    <t>" V ceně veškerý materiál, práce a příslušenství dle PD. "</t>
  </si>
  <si>
    <t>767999102 SPC</t>
  </si>
  <si>
    <t>D+M Vnější schodišťové madlo - Specifikace dle PD - D.1.c.05 VÝPIS ZÁMEČNICKÝCH VÝROBKŮ - Z1.2</t>
  </si>
  <si>
    <t>" Madlo na zdi - madlo trubka průměru 42,5mm, žárově pozinkováno. "</t>
  </si>
  <si>
    <t>" Madlo " 2,2</t>
  </si>
  <si>
    <t>767999103 SPC</t>
  </si>
  <si>
    <t>D+M Vnější schodišťové madlo - Specifikace dle PD - D.1.c.05 VÝPIS ZÁMEČNICKÝCH VÝROBKŮ - Z1.3</t>
  </si>
  <si>
    <t>" Madlo na zdi - madlo trubka průměru 38mm, žárově pozinkováno. "</t>
  </si>
  <si>
    <t>767999104 SPC</t>
  </si>
  <si>
    <t>D+M Vnitřní schodišťové madlo - Specifikace dle PD - D.1.c.05 VÝPIS ZÁMEČNICKÝCH VÝROBKŮ - Z1.4</t>
  </si>
  <si>
    <t>" Zábradlí prutové - výška madla 1,00m a snížená výška madla 0,6m. "</t>
  </si>
  <si>
    <t>767999105 SPC</t>
  </si>
  <si>
    <t>D+M Vnější zábradlí rampy - Specifikace dle PD - D.1.c.05 VÝPIS ZÁMEČNICKÝCH VÝROBKŮ - Z1.5</t>
  </si>
  <si>
    <t>" Zábradlí prutové - výška madla 0,90m a snížená výška madla 0,6m. "</t>
  </si>
  <si>
    <t>767999106 SPC</t>
  </si>
  <si>
    <t>D+M Zádržný systém - Specifikace dle PD - D.1.c.05 VÝPIS ZÁMEČNICKÝCH VÝROBKŮ - Z3.1</t>
  </si>
  <si>
    <t>" Záchytný systém proti pádu osob složený z nerezového lana Ø 8 mm a nerezových kotvících bodů určených pro přikotvení do ŽB konstrukce. "</t>
  </si>
  <si>
    <t>" Kotvení kotvících bodů pro betonové desky → přes základní desku 200×200 mm pomocí 4 ks vysokopevnostních chemických kotev.  "</t>
  </si>
  <si>
    <t>6a</t>
  </si>
  <si>
    <t>767881901 SPC</t>
  </si>
  <si>
    <t>" - Nerezové lanko  Ø 8 mm " (25,2)*1,1</t>
  </si>
  <si>
    <t>6b</t>
  </si>
  <si>
    <t>767881902 SPC</t>
  </si>
  <si>
    <t>" - Nerezové kotvící body pro betonovou desku vč. příslušenství (izolace termostop tl. 20 mm, apod.) - plochá střecha - rohové "</t>
  </si>
  <si>
    <t>6c</t>
  </si>
  <si>
    <t>" - Nerezové kotvící body pro betonovou desku vč. příslušenství (izolace termostop tl. 20 mm, apod.) - plochá střecha - koncové "</t>
  </si>
  <si>
    <t>6d</t>
  </si>
  <si>
    <t>" - Nerezové kotvící body pro betonovou desku vč. příslušenství (izolace termostop tl. 20 mm, apod.) - plochá střecha - průběžné "</t>
  </si>
  <si>
    <t>6e</t>
  </si>
  <si>
    <t>767881903 SPC</t>
  </si>
  <si>
    <t>" - Napínací koncovka pro nerezové lano pro systémy s permanentním kotvícím vedeníím vč. napnutí lana a prací s tím související.. "</t>
  </si>
  <si>
    <t>6f</t>
  </si>
  <si>
    <t>767881904 SPC</t>
  </si>
  <si>
    <t>" - Pevná koncovka k nalisování na nerezové lano vč. napnutí lana a prací s tím související. "</t>
  </si>
  <si>
    <t>6g</t>
  </si>
  <si>
    <t>767881905 SPC</t>
  </si>
  <si>
    <t>" - Popisovací štítek pro označení jednotlivých úseků permanentního kotvícího systému. vč. zajištění popisu. "</t>
  </si>
  <si>
    <t>6h</t>
  </si>
  <si>
    <t>767881906 SPC</t>
  </si>
  <si>
    <t>" - Kovová skříňka pro uložení příslušenství pro údržbu - celotělový postroj a vázecí lano. "</t>
  </si>
  <si>
    <t>6i</t>
  </si>
  <si>
    <t>767881907 SPC</t>
  </si>
  <si>
    <t>" Celotělový prostroj + vázací lano s tlumičem "</t>
  </si>
  <si>
    <t xml:space="preserve">" Střecha nad 1. PP " </t>
  </si>
  <si>
    <t>" V ceně veškeré nutné práce pro zajištění přikotvení bodů ke konstrukci - případné vrtání, vyčištění vrtu, osazení, úprava vrtu a jeho okolí a veškeré další nutné příslušenství a práce. "</t>
  </si>
  <si>
    <t>" V ceně také veškeré případné nutné příslušenství výše neuvedené pro zajištění správné funkce a uskladnění.</t>
  </si>
  <si>
    <t>" POZN: Pevná koncovka, napínací koncovka a označovací štítek je uvažován 1 ks pro úsek do 80 m. "</t>
  </si>
  <si>
    <t>767999107 SPC</t>
  </si>
  <si>
    <t>D+M Stávající okenní mříž 1,20x1,80m - Specifikace dle PD - D.1.c.05 VÝPIS ZÁMEČNICKÝCH VÝROBKŮ - Z5.1</t>
  </si>
  <si>
    <t>" Úprava rozměrů stávající mříže dle aktuální širky otvoru "</t>
  </si>
  <si>
    <t>" 1. NP " 3</t>
  </si>
  <si>
    <t>767999108 SPC</t>
  </si>
  <si>
    <t>D+M Stávající okenní mříž 0,54x0,84m - Specifikace dle PD - D.1.c.05 VÝPIS ZÁMEČNICKÝCH VÝROBKŮ - Z5.2</t>
  </si>
  <si>
    <t>" 1. NP " 2</t>
  </si>
  <si>
    <t>767999109 SPC</t>
  </si>
  <si>
    <t>D+M Okování hrany - Specifikace dle PD - D.1.c.05 VÝPIS ZÁMEČNICKÝCH VÝROBKŮ - Z6.1</t>
  </si>
  <si>
    <t>" Ocelový nosník UPE 120, na spodní hraně pásnice je v osovém rozpětí 500mm přivařeno 9 plechů 100x100x8mm "</t>
  </si>
  <si>
    <t>767900110 SPC</t>
  </si>
  <si>
    <t>D+M Pororošt anglického dvorku - Specifikace dle PD - D.1.c.05 VÝPIS ZÁMEČNICKÝCH VÝROBKŮ - Z7.1</t>
  </si>
  <si>
    <t>" Pochozí ocelový rošt. Ocelový rošt lisovaný oka 33x33, nosná páska 40x3mm. Ocel S235 (11 375) "</t>
  </si>
  <si>
    <t>" V ceně veškeré nutné příslušenství a vybavení dle PD. "</t>
  </si>
  <si>
    <t>767900111 SPC</t>
  </si>
  <si>
    <t>D+M Revizní dvířka pro hlavní uzavěr plynu - Specifikace dle PD - D.1.c.05 VÝPIS ZÁMEČNICKÝCH VÝROBKŮ - Z7.2</t>
  </si>
  <si>
    <t>" Exteriérové dvoukřídlé pozinkované revizní dviřka pro HUP, rozměr 400x500mm. Povrchová úprava pozink. "</t>
  </si>
  <si>
    <t>767900112 SPC</t>
  </si>
  <si>
    <t>D+M Revizní poklop - Specifikace dle PD - D.1.c.05 VÝPIS ZÁMEČNICKÝCH VÝROBKŮ - Z7.3</t>
  </si>
  <si>
    <t>" Revizní poklop krytý odnimatelným pozinkovaným ocelovým plechem. Rozměr průhledného otvoru: 400x1200mm.  "</t>
  </si>
  <si>
    <t>767900113 SPC</t>
  </si>
  <si>
    <t>D+M Ocelový sloupek - Specifikace dle PD - D.1.c.05 VÝPIS ZÁMEČNICKÝCH VÝROBKŮ - Z8.1</t>
  </si>
  <si>
    <t>" Ocelový nerezový uravřený profil, obdelníkového tvaru. Rozměr: 80x60x3mm - délka 1,5m. "</t>
  </si>
  <si>
    <t>767900114 SPC</t>
  </si>
  <si>
    <t>D+M Ocelový rám - Specifikace dle PD - D.1.c.05 VÝPIS ZÁMEČNICKÝCH VÝROBKŮ - Z8.2</t>
  </si>
  <si>
    <t>" Ocelový rám z uzavřených profilů, obdelníkového tvaru. Průřez: 100x100x4mm. "</t>
  </si>
  <si>
    <t>767900115 SPC</t>
  </si>
  <si>
    <t>D+M Interiérový parapet - Specifikace dle PD - D.1.c.05 VÝPIS ZÁMEČNICKÝCH VÝROBKŮ - Z9.1</t>
  </si>
  <si>
    <t>" Z nerezové oceli. Délky: 
5,40m - 1ks
0,70m - 1ks
1,40m - 1ks. "</t>
  </si>
  <si>
    <t>767900116 SPC</t>
  </si>
  <si>
    <t>D+M Ochranný plát - Specifikace dle PD - D.1.c.05 VÝPIS ZÁMEČNICKÝCH VÝROBKŮ - Z9.2</t>
  </si>
  <si>
    <t>" Z nerezové oceli. Délky: 
7,65m - 1ks
2,50m - 1ks. "</t>
  </si>
  <si>
    <t>767900117 SPC</t>
  </si>
  <si>
    <t>D+M Stávající interiérové zábradlí - Specifikace dle PD - D.1.c.05 VÝPIS ZÁMEČNICKÝCH VÝROBKŮ - Z9.3</t>
  </si>
  <si>
    <t>" Demontáž a zpětná montáž stávajícího ocelového zabradlí. "</t>
  </si>
  <si>
    <t>767900118 SPC</t>
  </si>
  <si>
    <t>D+M Ocelová kce střešní nástavby - Specifikace dle PD - D.1.c.05 VÝPIS ZÁMEČNICKÝCH VÝROBKŮ - Z9.4</t>
  </si>
  <si>
    <t>" Ocelová konstrukce z pozinkovaných profilů jekl 60x60x4mm a jekl 40x40x3mm. "</t>
  </si>
  <si>
    <t xml:space="preserve">" Střecha " </t>
  </si>
  <si>
    <t>767900119 SPC</t>
  </si>
  <si>
    <t>D+M Ocelová kce střešní nástavby - Specifikace dle PD - D.1.c.05 VÝPIS ZÁMEČNICKÝCH VÝROBKŮ - Z9.5</t>
  </si>
  <si>
    <t xml:space="preserve">" Stavební práce a dodávky spojené s provedením funkčního celku 767 " </t>
  </si>
  <si>
    <t>D.1.1.c.05. VÝPIS ZÁMEČNICKÝCH VÝROBKŮ</t>
  </si>
  <si>
    <t>OBJEKT STRAVOVNY A JÍDELNY</t>
  </si>
  <si>
    <t>D.2.2. AREÁLOVÝ TEPLOVOD</t>
  </si>
  <si>
    <t>D.2.1. TECHNOLOGIE VÝDEJE JÍDEL</t>
  </si>
  <si>
    <t>D.1.4.7. SILNOPROUDÁ ELEKTROTECHNIKA</t>
  </si>
  <si>
    <t>D.1.4.8. ELEKTRONICKÉ KOMUNIKACE</t>
  </si>
  <si>
    <t>D.1.4.6. MĚŘENÍ A REGULACE</t>
  </si>
  <si>
    <t>cena celkem</t>
  </si>
  <si>
    <t>Označení:</t>
  </si>
  <si>
    <t>ENERGETICKÉ USPORY ZŠ U SOUDU - OBJEKT STRAVOVNY A JÍDELNY</t>
  </si>
  <si>
    <t>část:</t>
  </si>
  <si>
    <t>Výkaz Výměr</t>
  </si>
  <si>
    <t xml:space="preserve">Datum: </t>
  </si>
  <si>
    <t>Vytvořil:</t>
  </si>
  <si>
    <t>Šlerka</t>
  </si>
  <si>
    <t>Položka</t>
  </si>
  <si>
    <t>Množství</t>
  </si>
  <si>
    <t>Jednotka</t>
  </si>
  <si>
    <t>Jednotková cena v Kč(bez DPH)</t>
  </si>
  <si>
    <t>Cena celkem v Kč (bez DPH)</t>
  </si>
  <si>
    <t>Dodávka rozvaděčů</t>
  </si>
  <si>
    <t>Rozvaděč RM1</t>
  </si>
  <si>
    <t>1.1</t>
  </si>
  <si>
    <t>Rozvaděčová skříň závěsná, krytí v zavřeném stavu IP55, včetně montážního panelu
rozměr 1.200x800x300</t>
  </si>
  <si>
    <t>ks</t>
  </si>
  <si>
    <t>1.2</t>
  </si>
  <si>
    <t>Vybavení rozvaděčové skříně mimo řídící systém (relé, stykače, jističe, svorky, pojistky, kabelové žlaby, dráty,  … )</t>
  </si>
  <si>
    <t>1.3</t>
  </si>
  <si>
    <t>PXC5.E003: Systémový integrační regulátor PXC5, Modbus RTU/TCP, BACnet MS/TP, KNX PL-Link; BACnet/IP</t>
  </si>
  <si>
    <t>1.4</t>
  </si>
  <si>
    <t>PXC7.E400S: Modulární automatizační stanice PXC7, 100x I/O, Island bus, 1x Modbus RTU/BACnet MS/TP, Modbus TCP, KNX PL-Link; BACnet/IP</t>
  </si>
  <si>
    <t>1.5</t>
  </si>
  <si>
    <t>TXM1.8U: Univerzální modul, 8x UIO</t>
  </si>
  <si>
    <t>1.6</t>
  </si>
  <si>
    <t>TXM1.16D: Modul digitálních vstupů, 16x DI</t>
  </si>
  <si>
    <t>1.7</t>
  </si>
  <si>
    <t>TXM1.6R: Modul digitálních výstupů, 6x DO</t>
  </si>
  <si>
    <t>1.8</t>
  </si>
  <si>
    <t>PXM30.E: Dotykový panel 7", vestavěný BACnet/IP klient a webový server</t>
  </si>
  <si>
    <t>1.9</t>
  </si>
  <si>
    <t>Převodník M-BUS</t>
  </si>
  <si>
    <t>1.10</t>
  </si>
  <si>
    <t>cRSP – Platforma pro vzdálené připojení k technologiím budov - hardware</t>
  </si>
  <si>
    <t>1.11</t>
  </si>
  <si>
    <t>PXA-C1: Kabel 3m pro panel PXM20</t>
  </si>
  <si>
    <t>Rozvaděč RM2</t>
  </si>
  <si>
    <t>1.12</t>
  </si>
  <si>
    <t>PXC5.E24: Kompaktní automatizační stanice PXC5, 24x (80x) I/O, Island bus, Modbus RTU/TCP, BACnet MS/TP, KNX PL-Link; BACnet/IP</t>
  </si>
  <si>
    <t>1.13</t>
  </si>
  <si>
    <t>1.14</t>
  </si>
  <si>
    <t>Montáž rozvaděčů</t>
  </si>
  <si>
    <t>2.1</t>
  </si>
  <si>
    <t>Zapojení rozvaděče podle dílenské dokumentace</t>
  </si>
  <si>
    <t>2.2</t>
  </si>
  <si>
    <t>Montáž rozvaděče na zeď</t>
  </si>
  <si>
    <t>2.3</t>
  </si>
  <si>
    <t>Zapojení kabeláže do rozvaděče, včetně napájení rozvaděče a pomocného pospojování</t>
  </si>
  <si>
    <t>2.4</t>
  </si>
  <si>
    <t>2.5</t>
  </si>
  <si>
    <t>2.6</t>
  </si>
  <si>
    <t>Rozvaděč RM3</t>
  </si>
  <si>
    <t>2.7</t>
  </si>
  <si>
    <t>Rozvaděč RM4</t>
  </si>
  <si>
    <t>2.8</t>
  </si>
  <si>
    <t>Rozvaděč RM5</t>
  </si>
  <si>
    <t>2.9</t>
  </si>
  <si>
    <t>Rozvaděč RM6</t>
  </si>
  <si>
    <t>2.10</t>
  </si>
  <si>
    <t>Rozvaděč RM7</t>
  </si>
  <si>
    <t>2.11</t>
  </si>
  <si>
    <t>Rozvaděč RM8</t>
  </si>
  <si>
    <t>2.12</t>
  </si>
  <si>
    <t>Rozvaděč RM9</t>
  </si>
  <si>
    <t>2.13</t>
  </si>
  <si>
    <t>Rozvaděč RM10</t>
  </si>
  <si>
    <t>2.14</t>
  </si>
  <si>
    <t>Komponenty</t>
  </si>
  <si>
    <t>3.1</t>
  </si>
  <si>
    <t>Servopohon GDB161.1E</t>
  </si>
  <si>
    <t>3.2</t>
  </si>
  <si>
    <t>Servopohon GMA121.1E</t>
  </si>
  <si>
    <t>3.3</t>
  </si>
  <si>
    <t>Servopohon GPC121.1A</t>
  </si>
  <si>
    <t>3.4</t>
  </si>
  <si>
    <t>Servopohon GPC161.1A</t>
  </si>
  <si>
    <t>3.5</t>
  </si>
  <si>
    <t>Servopohon SKC62</t>
  </si>
  <si>
    <t>3.6</t>
  </si>
  <si>
    <t>Prostorové / Venkovní čidlo teploty QAC22</t>
  </si>
  <si>
    <t>3.7</t>
  </si>
  <si>
    <t>Příložné teplotní čidlo QAD22</t>
  </si>
  <si>
    <t>3.8</t>
  </si>
  <si>
    <t>Jímkové teplotní čidlo QAE2120.010</t>
  </si>
  <si>
    <t>3.9</t>
  </si>
  <si>
    <t>Protimrazový termostat QAF81.3</t>
  </si>
  <si>
    <t>3.10</t>
  </si>
  <si>
    <t>Potrubní teplotní čidlo QAM2120.040</t>
  </si>
  <si>
    <t>3.11</t>
  </si>
  <si>
    <t>Čidlo tlaku kapalin QBE2003-P10</t>
  </si>
  <si>
    <t>3.12</t>
  </si>
  <si>
    <t>Čidlo diferenčního tlaku QBM2030-30</t>
  </si>
  <si>
    <t>3.13</t>
  </si>
  <si>
    <t>Diferenční tlakový spínač QBM81-3</t>
  </si>
  <si>
    <t>3.14</t>
  </si>
  <si>
    <t>Diferenční tlakový spínač QBM81-5</t>
  </si>
  <si>
    <t>3.15</t>
  </si>
  <si>
    <t>Prostorový ovladač se snímáním teploty QMX2.P33</t>
  </si>
  <si>
    <t>3.16</t>
  </si>
  <si>
    <t>Prostorový ovladač se snímáním teploty a koncentrace CO2, černý, QMX3.P74-1BSC</t>
  </si>
  <si>
    <t>3.17</t>
  </si>
  <si>
    <t>Čidlo zaplavení SZ-4</t>
  </si>
  <si>
    <t>3.18</t>
  </si>
  <si>
    <t>Hlavní vypínač výměníkové stanice XAL-K178</t>
  </si>
  <si>
    <t>Montáž komponent</t>
  </si>
  <si>
    <t>4.1</t>
  </si>
  <si>
    <t>Montáž a zapojení servopohonu, včetně dodávky instalační krabice pro propojení kabeláže servopohonu s instalační kabeláží</t>
  </si>
  <si>
    <t>4.2</t>
  </si>
  <si>
    <t>Montáž a zapojení prostorového čidla včetně montáže a dodávky instalačního materiálu</t>
  </si>
  <si>
    <t>4.3</t>
  </si>
  <si>
    <t>Montáž a zapojení příložného teplotního čidla</t>
  </si>
  <si>
    <t>4.4</t>
  </si>
  <si>
    <t>Montáž a zapojení jímkového teplotního čidla (montáž jímky profese ÚT)</t>
  </si>
  <si>
    <t>4.5</t>
  </si>
  <si>
    <t xml:space="preserve">Montáž a zapojení protimrazového termostatu, včetně montáže potřebného množství úchytu kapiláry dle montážního návodu </t>
  </si>
  <si>
    <t>4.6</t>
  </si>
  <si>
    <t>Montáž a zapojení potrubního teplotního čidla včetně vyvrtání díry a osazení montážná příruby</t>
  </si>
  <si>
    <t>4.7</t>
  </si>
  <si>
    <t>Montáž a zapojení čidla tlaku pro kapaliny, (připojovací místo G1/2 montáž profese ÚT)</t>
  </si>
  <si>
    <t>4.8</t>
  </si>
  <si>
    <t>Montáž a zapojení diferenčního čidla, včetně montáže sady pro odběr tlaku</t>
  </si>
  <si>
    <t>4.9</t>
  </si>
  <si>
    <t>Montáž a zapojení prostorového ovladače, včetně dodávky a montáže instalační krabice</t>
  </si>
  <si>
    <t>4.10</t>
  </si>
  <si>
    <t>Monotáž a zapojení čidla zaplavení</t>
  </si>
  <si>
    <t>4.11</t>
  </si>
  <si>
    <t>Zapojení Bezpečnostní Armatury Plynu</t>
  </si>
  <si>
    <t>4.12</t>
  </si>
  <si>
    <t>Zapojení čerpadla</t>
  </si>
  <si>
    <t>4.13</t>
  </si>
  <si>
    <t>Zapojení Měřiče spotřeby</t>
  </si>
  <si>
    <t>4.14</t>
  </si>
  <si>
    <t>Zapojení Vodoměru</t>
  </si>
  <si>
    <t>4.15</t>
  </si>
  <si>
    <t>Zapojení Elektroměru</t>
  </si>
  <si>
    <t>4.16</t>
  </si>
  <si>
    <t>Zapojení plynoměru</t>
  </si>
  <si>
    <t>4.17</t>
  </si>
  <si>
    <t>Zapojení ventilátorů ve VZT jednotce</t>
  </si>
  <si>
    <t>4.18</t>
  </si>
  <si>
    <t>Montáž a zapojení ovladačů pro VZT jednotky REMAK, včetně dodávky a montáže instalační krabice</t>
  </si>
  <si>
    <t>4.19</t>
  </si>
  <si>
    <r>
      <t>Montáž a zapojení čidel CO</t>
    </r>
    <r>
      <rPr>
        <vertAlign val="subscript"/>
        <sz val="11"/>
        <color theme="1"/>
        <rFont val="Aptos"/>
        <family val="2"/>
        <charset val="238"/>
      </rPr>
      <t>2</t>
    </r>
    <r>
      <rPr>
        <sz val="11"/>
        <color theme="1"/>
        <rFont val="Aptos"/>
        <family val="2"/>
        <charset val="238"/>
      </rPr>
      <t xml:space="preserve"> pro VZT jednotky REMAK</t>
    </r>
  </si>
  <si>
    <t>4.20</t>
  </si>
  <si>
    <t>Zapojení servopohonů na topných uzlech VZT jednotek, včetně dodávky instalační krabice pro propojení kabeláže servopohonu s instalační kabeláží</t>
  </si>
  <si>
    <t>4.21</t>
  </si>
  <si>
    <t>Zapojení servopohonů na trojcestných ventilech jednotlivých větví, včetně dodávky instalační krabice pro propojení kabeláže servopohonu s instalační kabeláží</t>
  </si>
  <si>
    <t>4.22</t>
  </si>
  <si>
    <t>Zapojení solenoidového ventilu pro dopouštění vody</t>
  </si>
  <si>
    <t>4.23</t>
  </si>
  <si>
    <t>Zapojení servopohonů na přímých ventilech pro regulaci výkonu deskového výměníku, včetně dodávky instalační krabice pro propojení kabeláže servopohonu s instalační kabeláží</t>
  </si>
  <si>
    <t>4.24</t>
  </si>
  <si>
    <t>Asistence a zapojení řízení na kompresorové jednotce VZT</t>
  </si>
  <si>
    <t>4.25</t>
  </si>
  <si>
    <t>Montáž a zapojení hlavního vypínače výměníkové stanice</t>
  </si>
  <si>
    <t>4.26</t>
  </si>
  <si>
    <t>Připojení signalizace chodu/poruchy nucených odtahů</t>
  </si>
  <si>
    <t>4.27</t>
  </si>
  <si>
    <t>Přiojení stykačového vývodu pro nucený odtah</t>
  </si>
  <si>
    <t>Kabelová trasa</t>
  </si>
  <si>
    <t>5.1</t>
  </si>
  <si>
    <t>CXKH-R-J 3×1,5</t>
  </si>
  <si>
    <t>5.2</t>
  </si>
  <si>
    <t>CXKH-R-J 5×1,5</t>
  </si>
  <si>
    <t>5.3</t>
  </si>
  <si>
    <t>CXKH-R-J 5×4</t>
  </si>
  <si>
    <t>5.4</t>
  </si>
  <si>
    <t>CXKH-R-O 2×1,5</t>
  </si>
  <si>
    <t>5.5</t>
  </si>
  <si>
    <t>PRAFlaGuard F 1×2×0,8</t>
  </si>
  <si>
    <t>5.6</t>
  </si>
  <si>
    <t>PRAFlaGuard F 2×2×0,8</t>
  </si>
  <si>
    <t>5.7</t>
  </si>
  <si>
    <t>PRAFlaGuard F 4×2×0,8</t>
  </si>
  <si>
    <t>5.8</t>
  </si>
  <si>
    <t>Žlab MERKUR kabelový 50/50 M2 GZ délka 2m</t>
  </si>
  <si>
    <t>5.9</t>
  </si>
  <si>
    <t>Žlab MERKUR kabelový 100/50 M2 GZ délka 2m</t>
  </si>
  <si>
    <t>5.10</t>
  </si>
  <si>
    <t>KOPOS Trubka pevná 1520 pr.20 320N, barva šedá</t>
  </si>
  <si>
    <t>5.11</t>
  </si>
  <si>
    <t>KOPOS Trubka ohebná 1420 průměr 20 320N</t>
  </si>
  <si>
    <t>5.12</t>
  </si>
  <si>
    <t>WAGO Svorka 221-2411</t>
  </si>
  <si>
    <t>5.13</t>
  </si>
  <si>
    <t>Krabice PFRAD 8585 odbočná na omítku IP55</t>
  </si>
  <si>
    <t>5.14</t>
  </si>
  <si>
    <t xml:space="preserve">Krabice PHSD 6861 do dutých stěn, ø68mm, hloubka 35mm, </t>
  </si>
  <si>
    <t>Montáž kabelové trasy</t>
  </si>
  <si>
    <t>6.1</t>
  </si>
  <si>
    <t>Montáž silového kabelu</t>
  </si>
  <si>
    <t>6.2</t>
  </si>
  <si>
    <t>Montáž kabelu MaR</t>
  </si>
  <si>
    <t>6.3</t>
  </si>
  <si>
    <t>Vizualizace</t>
  </si>
  <si>
    <t>7.1</t>
  </si>
  <si>
    <t>PC včetně monitoru (Min: i7, 16 Gb RAM, 1 TB SSD) 27" Monitor, UHD rozlišení</t>
  </si>
  <si>
    <t>7.2</t>
  </si>
  <si>
    <t>Desigo CC, Základní licence Compact, Building Automation</t>
  </si>
  <si>
    <t>7.3</t>
  </si>
  <si>
    <t>Zpracování vizualizace</t>
  </si>
  <si>
    <t>dB</t>
  </si>
  <si>
    <t>Ostatní</t>
  </si>
  <si>
    <t>8.1</t>
  </si>
  <si>
    <t>Dílenská dokumentace</t>
  </si>
  <si>
    <t>8.2</t>
  </si>
  <si>
    <t>Dokumentace skutečního stavu</t>
  </si>
  <si>
    <t>8.3</t>
  </si>
  <si>
    <t>Revize</t>
  </si>
  <si>
    <t>8.4</t>
  </si>
  <si>
    <t>cRSP – Platforma pro vzdálené připojení k technologiím budov - oživení</t>
  </si>
  <si>
    <t>8.5</t>
  </si>
  <si>
    <t>Integrace vodoměru s dálkovým odečtem (Komunikace Mbus)</t>
  </si>
  <si>
    <t>8.6</t>
  </si>
  <si>
    <t>Integrace plynoměrů s dálkovým odečtem (1 ks) Plynoměry s komunikací MBUS</t>
  </si>
  <si>
    <t>8.7</t>
  </si>
  <si>
    <t>Integrace compaktních VZT (Komunikace BacNet / KNX, Max 17 DB)</t>
  </si>
  <si>
    <t>8.8</t>
  </si>
  <si>
    <t>Integrace elektroměr s dálkovým odečtem (1 ks) komunikace MBUS</t>
  </si>
  <si>
    <t>8.9</t>
  </si>
  <si>
    <t>Integrace zařízení, prostory kuchyně, kom KNX/BacNet</t>
  </si>
  <si>
    <t>8.10</t>
  </si>
  <si>
    <t>Zpracování uživatelských programů, oživení a provedení zkoušek (Desigo PX)</t>
  </si>
  <si>
    <t>8.11</t>
  </si>
  <si>
    <t>Integrace zařízení, prostory jídelny, kom KNX/BacNet</t>
  </si>
  <si>
    <t>D.1.4.4. VYTÁPĚNÍ</t>
  </si>
  <si>
    <t>D.1.4.3. VZDUCHOTECHNIKA</t>
  </si>
  <si>
    <t>D.1.4.1. ZTI</t>
  </si>
  <si>
    <t>D.1.4.2. PLYN</t>
  </si>
  <si>
    <t>Stavba:   Energetické úspory ZŠ U Soudu - Objekt stravovny a jídelny</t>
  </si>
  <si>
    <t>Objekt:   D.1.4.10.2 POZEMNÍ KOMUNIKACE A ZPEVNĚNÉ PLOCHY</t>
  </si>
  <si>
    <t>113</t>
  </si>
  <si>
    <t>113999901 SPC</t>
  </si>
  <si>
    <t>Odstranění stávajících zpevněných ploch + odvodňovacích žlabů</t>
  </si>
  <si>
    <t xml:space="preserve">" Odstranění stávajících zpevněných ploch " </t>
  </si>
  <si>
    <t>" V ceně: "</t>
  </si>
  <si>
    <t xml:space="preserve">" - Odstranění stávajících zpevněných ploch - zámkové dlažby v areálu. " </t>
  </si>
  <si>
    <t xml:space="preserve">" - Odstranění stávajících zpevněných ploch - betonových panelů / deskolem objektu. " </t>
  </si>
  <si>
    <t xml:space="preserve">" - Odstranění stávajících zpevněných ploch - betonové desky. " </t>
  </si>
  <si>
    <t xml:space="preserve">" - Odstranění stávajících zpevněných ploch - odvodňovacího žlabu v areálu. " </t>
  </si>
  <si>
    <t xml:space="preserve">" - Odstranění podkladních vrstev. " </t>
  </si>
  <si>
    <t xml:space="preserve">" - Odstranění obrubníků, krajníků " </t>
  </si>
  <si>
    <t xml:space="preserve">" - Řezání krytu pro vybourání. " </t>
  </si>
  <si>
    <t>" - Naložení, odvoz, a likvidace suti vč. poplatků za uložení (skládkovné) "</t>
  </si>
  <si>
    <t>Komunikace</t>
  </si>
  <si>
    <t>583999901 SPC</t>
  </si>
  <si>
    <t>Dlážděná plocha - pojízdná</t>
  </si>
  <si>
    <t>" Pojízdná dlážděná plocha "</t>
  </si>
  <si>
    <t xml:space="preserve">" - Veškeré zemní práce vč. nakládání s výkopkem a zhutnění podloží. " </t>
  </si>
  <si>
    <t>" - Betonová dlažba vč. lože "</t>
  </si>
  <si>
    <t>" - Podkladní vrstvy "</t>
  </si>
  <si>
    <t xml:space="preserve">" - Výškové napojení nové skladby na stávající zpevněné plochy. " </t>
  </si>
  <si>
    <t xml:space="preserve">" - Prvky lemování. " </t>
  </si>
  <si>
    <t xml:space="preserve">" - Přesun hmot. " </t>
  </si>
  <si>
    <t>583999902 SPC</t>
  </si>
  <si>
    <t>Dlážděná plocha - pochůzí - chodník</t>
  </si>
  <si>
    <t>" Pochůzí dlážděná plocha - chodník - v areálu "</t>
  </si>
  <si>
    <t>" - Betonová dlažba vč. lože a dlažby pro nevidomé "</t>
  </si>
  <si>
    <t>583999903 SPC</t>
  </si>
  <si>
    <t>Okapový chodník - betonová dlažba</t>
  </si>
  <si>
    <t>" Okapový chodník - betonová dlažba "</t>
  </si>
  <si>
    <t>" - Betonová dlažba "</t>
  </si>
  <si>
    <t xml:space="preserve">" - Geotextílie. " </t>
  </si>
  <si>
    <t>583999904 SPC</t>
  </si>
  <si>
    <t>Betonová vegetační dlažba - parkoviště</t>
  </si>
  <si>
    <t>" Betonová vegetační dlažba - parkoviště "</t>
  </si>
  <si>
    <t>" - Betonová vegetační dlažba vč. lože "</t>
  </si>
  <si>
    <t>" - Štěrkodrť / zemina vč. osetí pro výplň spar mezi dlažbou "</t>
  </si>
  <si>
    <t>583999911 SPC</t>
  </si>
  <si>
    <t>Zpeevněná plocha - kačírek</t>
  </si>
  <si>
    <t>" Zpevněná plocha - kačírek "</t>
  </si>
  <si>
    <t>" - Dekorativní kamenivo - kačírek "</t>
  </si>
  <si>
    <t>583999912 SPC</t>
  </si>
  <si>
    <t>Zpeevněná plocha - štěrk</t>
  </si>
  <si>
    <t>" Zpevněná plocha - štěrk "</t>
  </si>
  <si>
    <t>583999913SPC</t>
  </si>
  <si>
    <t>Zpeevněná plocha - pryžové doskočiště</t>
  </si>
  <si>
    <t>" Zpevněná plocha - pryžové doskočiště "</t>
  </si>
  <si>
    <t>583</t>
  </si>
  <si>
    <t>583999919 SPC</t>
  </si>
  <si>
    <t>Sanace pláně</t>
  </si>
  <si>
    <t>" Sanace pláně pod konstrukce vyjma okapového chodníku a zpevněných ploch z kačírku, štěrku a pryže. "</t>
  </si>
  <si>
    <t xml:space="preserve">" - Zhutnění podloží. " </t>
  </si>
  <si>
    <t>" - Podkladní štěrkové lože "</t>
  </si>
  <si>
    <t xml:space="preserve">" - Separační geotextílie " </t>
  </si>
  <si>
    <t>583999921 SPC</t>
  </si>
  <si>
    <t>Betonová žlabovka pro odvodnění svahu</t>
  </si>
  <si>
    <t>" Betonová žlabovka "</t>
  </si>
  <si>
    <t xml:space="preserve">" - Veškeré zemní práce vč. nakládání s výkopkem. " </t>
  </si>
  <si>
    <t>" - Betonová žlabovka vč. lože "</t>
  </si>
  <si>
    <t xml:space="preserve">" - Případné vydláždění svahu dlažbou pro zpevnění a odtok " </t>
  </si>
  <si>
    <t xml:space="preserve">" - Další veškeré nutné práce a materiál související s provedením žlabovky " </t>
  </si>
  <si>
    <t>583999922 SPC</t>
  </si>
  <si>
    <t>Prefabrikované schodišťové stupně - terénní - sedací schody</t>
  </si>
  <si>
    <t>" Terénní prefabrikované schodišťové stupně - sedací schody "</t>
  </si>
  <si>
    <t>" - Prefabrikované schodišťové stupně (sedací schody) vč. lože "</t>
  </si>
  <si>
    <t xml:space="preserve">" - Případný nátěr schodů " </t>
  </si>
  <si>
    <t xml:space="preserve">" - Další veškeré nutné práce a materiál související s provedením prefabrikovaných sedacích schodů. " </t>
  </si>
  <si>
    <t>998</t>
  </si>
  <si>
    <t>Ostatní konstrukce a práce</t>
  </si>
  <si>
    <t>" - Ochrana konstrukcí při bourání a provádění ZP - šachet, apod. "</t>
  </si>
  <si>
    <t>" - Přesunutí venkovních prvků, jejich ochrana, apod..- skluzavka, houopačka - vč. veškerých nutných prací - zemní práce, základy, apod. "</t>
  </si>
  <si>
    <t>" - Výšková úprava poklopů,mříží, apod.. "</t>
  </si>
  <si>
    <t>" - Odstranění stávajících laviček vč. veškerého příslušenství vč. odvozu a likvidace suti.. "</t>
  </si>
  <si>
    <t>" - Zajištění ochrany / úprava stávajících prvků v okolí prováděných prací - stávající schodiště, venkovní lavičky a betonové zdi, sokly lemující vstup, apod. "</t>
  </si>
  <si>
    <t xml:space="preserve">" - Další stavební práce a dodávky spojené s provedením funkčního celku HSV - výpomoce, doplňkové práce a dodávky,kompletace apod. " </t>
  </si>
  <si>
    <t>D.1.4.10.2 POZEMNÍ KOMUNIKACE A ZPEVNĚNÉ PLOCHY</t>
  </si>
  <si>
    <t>Objekt:   VENKOVNÍ ROZVOD TEPLA</t>
  </si>
  <si>
    <t>132</t>
  </si>
  <si>
    <t>132999901 SPC</t>
  </si>
  <si>
    <t xml:space="preserve">Zemní práce </t>
  </si>
  <si>
    <t>" Zemní práce "</t>
  </si>
  <si>
    <t xml:space="preserve">" - Čerpání vody. " </t>
  </si>
  <si>
    <t xml:space="preserve">" - Dočasné zajištění stávajícího vedení a prvků" </t>
  </si>
  <si>
    <t xml:space="preserve">" - Hloubení rýh vč. příplatků. " </t>
  </si>
  <si>
    <t xml:space="preserve">" - Zřízení a odstranění pažení. " </t>
  </si>
  <si>
    <t xml:space="preserve">" - Přesun zeminy na meziskládku a z meziskládky. " </t>
  </si>
  <si>
    <t xml:space="preserve">" - Zpětný zásyp zeminou + kamenivem v místě původních zpevněných ploch. " </t>
  </si>
  <si>
    <t xml:space="preserve">" - Obsyp potrubí. " </t>
  </si>
  <si>
    <t xml:space="preserve">" - Lože pod potrubí. " </t>
  </si>
  <si>
    <t xml:space="preserve">" - Odvoz nepotřebné zeminy na trvalou skládku vč. naložení a poplatků za uložení zeminy (skládkovné). " </t>
  </si>
  <si>
    <t>Trubní vedení</t>
  </si>
  <si>
    <t xml:space="preserve">851241901 SPC </t>
  </si>
  <si>
    <t>Potrubí rozvvodu tepla</t>
  </si>
  <si>
    <t>" Potrubí rozvodu tepla"</t>
  </si>
  <si>
    <t>" - Potrubí reozvodu tepla - přívodní + vratné vč. veškerých tvarovek "</t>
  </si>
  <si>
    <t>" - Prostupy a napojení "</t>
  </si>
  <si>
    <t xml:space="preserve">" - Geotextílie pro obalení vč. vodičů, fólie a vedení. " </t>
  </si>
  <si>
    <t xml:space="preserve">" - Tlaková zkouška potrubí vč. zabezpečení konců. " </t>
  </si>
  <si>
    <t>" - Ostatní práce nespecifikované a související s provedením vedení "</t>
  </si>
  <si>
    <t>VENKOVNÍ ROZVOD TEPLA</t>
  </si>
  <si>
    <t>Část   BOURÁNÍ STÁVAJÍCÍHO VEDENÍ ROZVODU TEPLA</t>
  </si>
  <si>
    <t>Součást propočtu "VENKOVNÍ ROZVOD TEPLA"</t>
  </si>
  <si>
    <t xml:space="preserve">871211901 SPC </t>
  </si>
  <si>
    <t>Vybourání stávajícího potrubí</t>
  </si>
  <si>
    <t>" Vybourání stávajícího potrubí "</t>
  </si>
  <si>
    <t xml:space="preserve">" - Vybourání stávajícího potrubí vč. tvarovek. " </t>
  </si>
  <si>
    <t>" - Vybourání veškerých prvků potrubí "</t>
  </si>
  <si>
    <t xml:space="preserve">" - Odstranění stávajících prvků potrubí - krycí fólie, signalizačních vodičů, atp. " </t>
  </si>
  <si>
    <t xml:space="preserve">" - Zaslepení stávajícího vedení v místech vybourání. " </t>
  </si>
  <si>
    <t>" - Ostatní práce nespecifikované a související s vybouráním vedení "</t>
  </si>
  <si>
    <t>VENKOVNÍ ROZVOD TEPLA - BOURÁNÍ STÁVAJÍCÍHO VEDENÍ ROZVODU TEPLA</t>
  </si>
  <si>
    <t>Objekt:   D.2.2. AREÁLOVÝ TEPLOVOD</t>
  </si>
  <si>
    <t>Venkovní rozvod tepla - bourací práce</t>
  </si>
  <si>
    <t>Venkovní rozvod tepla</t>
  </si>
  <si>
    <t>D.2.2. AREÁLOVÝ TEPLOVOD - CELKEM</t>
  </si>
  <si>
    <t>Objekt:  D.1.1.c.04. VÝPIS TRUHLÁŘSKÝCH VÝROBKŮ</t>
  </si>
  <si>
    <t>766999104 SPC</t>
  </si>
  <si>
    <t>D+M Kuchyňská linka - Specifikace dle PD - D.1.1.c.04. VÝPIS TRUHLÁŘSKÝCH VÝROBKŮ - T1.1</t>
  </si>
  <si>
    <t>" Kuchyňská linka "</t>
  </si>
  <si>
    <t>766811103 SPC</t>
  </si>
  <si>
    <t>" - Kuchyňská linka bez vybavení a spotřebičů - skříňky, deska, obklad, osvětlení apod. vč. příslušenství. - orientační délka  2,55 m  "</t>
  </si>
  <si>
    <t>" Vybavení a spotřebiče pro kuchyňskou linku "</t>
  </si>
  <si>
    <t>725311901 SPC</t>
  </si>
  <si>
    <t>1c</t>
  </si>
  <si>
    <t>766811201 SPC</t>
  </si>
  <si>
    <t>" - Mikrovlnná trouba. "</t>
  </si>
  <si>
    <t>1d</t>
  </si>
  <si>
    <t>766811101 SPC</t>
  </si>
  <si>
    <t>" - Koš na tříděný odpad. "</t>
  </si>
  <si>
    <t xml:space="preserve">" Včetně spotřebičů / vybavení, nerezového dřezu, nerezových baterií, osvětlení, obkladové desky, těsnících lišt a veškerého příslušenství dle PD. " </t>
  </si>
  <si>
    <t>D+M Kuchyňská linka - Specifikace dle PD - D.1.1.c.04. VÝPIS TRUHLÁŘSKÝCH VÝROBKŮ - T1.2</t>
  </si>
  <si>
    <t>" - Kuchyňská linka bez vybavení a spotřebičů - skříňky, deska, obklad, osvětlení apod. vč. příslušenství. - orientační délka  1,6m  "</t>
  </si>
  <si>
    <t>2c</t>
  </si>
  <si>
    <t>766811301 SPC</t>
  </si>
  <si>
    <t>" - Rychlovarná konvice "</t>
  </si>
  <si>
    <t>2d</t>
  </si>
  <si>
    <t>2e</t>
  </si>
  <si>
    <t>D+M Kuchyňská linka - Specifikace dle PD - D.1.1.c.04. VÝPIS TRUHLÁŘSKÝCH VÝROBKŮ - T1.3</t>
  </si>
  <si>
    <t>" - Kuchyňská linka bez vybavení a spotřebičů - skříňky, deska, obklad, osvětlení apod. vč. příslušenství. - orientační délka  6,98 m  "</t>
  </si>
  <si>
    <t>3c</t>
  </si>
  <si>
    <t>3d</t>
  </si>
  <si>
    <t>3e</t>
  </si>
  <si>
    <t>766811143 SPC</t>
  </si>
  <si>
    <t>" - Vestavěná kombinovaná lednice. "</t>
  </si>
  <si>
    <t>3f</t>
  </si>
  <si>
    <t>766811401 SPC</t>
  </si>
  <si>
    <t>" - Vestavná trouba. "</t>
  </si>
  <si>
    <t>3g</t>
  </si>
  <si>
    <t>766811402 SPC</t>
  </si>
  <si>
    <t>" - Indukční varná deska. "</t>
  </si>
  <si>
    <t>3h</t>
  </si>
  <si>
    <t>766811501 SPC</t>
  </si>
  <si>
    <t>" - Výsuvná digestoř. "</t>
  </si>
  <si>
    <t>3i</t>
  </si>
  <si>
    <t>D+M Kuchyňská linka - Specifikace dle PD - D.1.1.c.04. VÝPIS TRUHLÁŘSKÝCH VÝROBKŮ - T1.4</t>
  </si>
  <si>
    <t>" - Kuchyňská linka bez vybavení a spotřebičů - skříňky, deska, obklad, osvětlení apod. vč. příslušenství. - orientační délka  3,2 m  "</t>
  </si>
  <si>
    <t>766811403 SPC</t>
  </si>
  <si>
    <t>" - Pračka. "</t>
  </si>
  <si>
    <t>4e</t>
  </si>
  <si>
    <t>4f</t>
  </si>
  <si>
    <t>4g</t>
  </si>
  <si>
    <t>4h</t>
  </si>
  <si>
    <t>D+M Kuchyňská linka - Specifikace dle PD - D.1.1.c.04. VÝPIS TRUHLÁŘSKÝCH VÝROBKŮ - T1.5</t>
  </si>
  <si>
    <t>" - Kuchyňská linka bez vybavení a spotřebičů - skříňky, deska, obklad, osvětlení apod. vč. příslušenství. - orientační délka  6,53 m  "</t>
  </si>
  <si>
    <t>5e</t>
  </si>
  <si>
    <t>5f</t>
  </si>
  <si>
    <t>5g</t>
  </si>
  <si>
    <t>5h</t>
  </si>
  <si>
    <t>5i</t>
  </si>
  <si>
    <t>D+M Kuchyňská linka - Specifikace dle PD - D.1.1.c.04. VÝPIS TRUHLÁŘSKÝCH VÝROBKŮ - T1.6</t>
  </si>
  <si>
    <t>" - Kuchyňská linka bez vybavení a spotřebičů - skříňky, deska, obklad, osvětlení apod. vč. příslušenství. - orientační délka  1,8 m  "</t>
  </si>
  <si>
    <t>766999102 SPC</t>
  </si>
  <si>
    <t>D+M Kryty radiatorů - Specifikace dle PD - D.1.1.c.04. VÝPIS TRUHLÁŘSKÝCH VÝROBKŮ - T2.1</t>
  </si>
  <si>
    <t>" Dřevěný kryt na radiátor tl.150mm, výška: 900mm "</t>
  </si>
  <si>
    <t xml:space="preserve">" 1.NP " </t>
  </si>
  <si>
    <t xml:space="preserve">" 2.NP " </t>
  </si>
  <si>
    <t xml:space="preserve">" Včetně všech příslušenství " </t>
  </si>
  <si>
    <t>D.1.1.c.04. VÝPIS TRUHLÁŘSKÝCH VÝROBKŮ</t>
  </si>
  <si>
    <t>Objekt:  D.1.1.c.06. VÝPIS KLEMPÍŘSKÝCH VÝROBKŮ</t>
  </si>
  <si>
    <t>Konstrukce klempířské</t>
  </si>
  <si>
    <t>764</t>
  </si>
  <si>
    <t>764999101 SPC</t>
  </si>
  <si>
    <t>D+M Střešní svod - Specifikace dle PD - D.1.1.c.06. VÝPIS KLEMPÍŘSKÝCH VÝROBKŮ - K1.1</t>
  </si>
  <si>
    <t>" Kulatý střešní svod z pozinkovaného plechu s polyuretanovou povrchovou vrstvou tl.0,55mm. Průměr svodu 110 mm. "</t>
  </si>
  <si>
    <t>" V ceně veškerý nutný kotvící, spojovací a další materiál. "</t>
  </si>
  <si>
    <t>764999102 SPC</t>
  </si>
  <si>
    <t>D+M Střešní svod - Specifikace dle PD - D.1.1.c.06. VÝPIS KLEMPÍŘSKÝCH VÝROBKŮ - K1.2</t>
  </si>
  <si>
    <t>" Hranatý střešní svod z pozinkovaného plechu s polyuretanovou povrchovou vrstvou tl.0,55mm. Průměr svodu 80x80 mm. "</t>
  </si>
  <si>
    <t>764999201 SPC</t>
  </si>
  <si>
    <t>D+M Okapový žlab - Specifikace dle PD - D.1.1.c.06. VÝPIS KLEMPÍŘSKÝCH VÝROBKŮ - K2.1</t>
  </si>
  <si>
    <t>" Podokapní žlab půlkruhový z pozinkovaného plechu s polyuretanovou vrstvou tl. 0,55mm. Průměr žlabu 150mm, RŠ 333mm "</t>
  </si>
  <si>
    <t>" - Podokapní žlab vč. háků, čel, spojek, a veškerého příslušenství. " (1,20*2+9,45*2+11,05*2+41,60+44,00)*1,10</t>
  </si>
  <si>
    <t>764999991 SPC</t>
  </si>
  <si>
    <t>" - Oblý lapač listí z bezkadmiového PVC pro žlab. " (1,20*2+9,45*2+11,05*2+41,60+44,00)*1,10</t>
  </si>
  <si>
    <t>764999202 SPC</t>
  </si>
  <si>
    <t>D+M Okapový žlab - Specifikace dle PD - D.1.1.c.06. VÝPIS KLEMPÍŘSKÝCH VÝROBKŮ - K2.2</t>
  </si>
  <si>
    <t>" Podokapní žlab půlkruhový z pozinkovaného plechu s polyuretanovou vrstvou tl. 0,55mm. Průměr žlabu 125mm, RŠ 333mm "</t>
  </si>
  <si>
    <t>" - Podokapní žlab vč. háků, čel, spojek, a veškerého příslušenství. " (5,05)*1,10</t>
  </si>
  <si>
    <t>764999992 SPC</t>
  </si>
  <si>
    <t>" - Hranatý lapač listí z bezkadmiového PVC pro žlab. " (5,05)*1,10</t>
  </si>
  <si>
    <t>764999301 SPC</t>
  </si>
  <si>
    <t>D+M Oplechování s napojením na fasádu - dilatační, dvoudílné - Specifikace dle PD - D.1.1.c.06. VÝPIS KLEMPÍŘSKÝCH VÝROBKŮ - K3.1</t>
  </si>
  <si>
    <t>" Oplechování z pozinkovaného plechu s polyuretanovou vrstvou, tl. 0,55mm s přítlačnou lištou."</t>
  </si>
  <si>
    <t>764218604 RTO</t>
  </si>
  <si>
    <t>" - Oplechování vrchní části štítu z pozinkovaného ocelového plechu opatřeného polyuretonovou povrchovou vrstvou - RŠ  330 mm " (6,3)*1,1</t>
  </si>
  <si>
    <t>764011419 RTO</t>
  </si>
  <si>
    <t>" - Dilatační připojovací lišta z Pz plechu včetně tmelení rš 200 mm. " ((6,3)*0,19)*1,1</t>
  </si>
  <si>
    <t>" Střecha " (6,3)</t>
  </si>
  <si>
    <t>764999302 SPC</t>
  </si>
  <si>
    <t>D+M Oplechování atiky s napojením na fasádu - Specifikace dle PD - D.1.1.c.06. VÝPIS KLEMPÍŘSKÝCH VÝROBKŮ - K3.2</t>
  </si>
  <si>
    <t>" Oplechování atiky š. 700mm z pozinkovaného plechu s polyuretanovou vrstvou, tl. 0,55mm s přítlačnou lištou."</t>
  </si>
  <si>
    <t>" - Oplechování horních ploch a atik bez rohů z Pz s povrch úpravou mechanicky kotvené rš přes 800 mm cena včetně příplatku za zvýšenou pracnost " (0,7*0,99)*1,1</t>
  </si>
  <si>
    <t>764011408 RTO</t>
  </si>
  <si>
    <t>" - Podkladní plech z PZ plechu pro hřebeny, nároží, úžlabí nebo okapové hrany tl 0,55 mm rš 800 mm. " ((0,7)*0,8)*1,1</t>
  </si>
  <si>
    <t>" - Cementotřísková deska - tl. 18,0 mm " ((0,7)*0,72)*1,1</t>
  </si>
  <si>
    <t>" Střecha " (0,7)</t>
  </si>
  <si>
    <t>764999303 SPC</t>
  </si>
  <si>
    <t>D+M Oplechování s napojením na fasádu - Specifikace dle PD - D.1.1.c.06. VÝPIS KLEMPÍŘSKÝCH VÝROBKŮ - K3.3</t>
  </si>
  <si>
    <t>7a</t>
  </si>
  <si>
    <t>" - Oplechování horních ploch a atik bez rohů z Pz s povrch úpravou mechanicky kotvené rš přes 800 mm cena včetně příplatku za zvýšenou pracnost " (1,8*0,820)*1,1</t>
  </si>
  <si>
    <t>7b</t>
  </si>
  <si>
    <t>764011407 RTO</t>
  </si>
  <si>
    <t>" - Podkladní plech z PZ plechu pro hřebeny, nároží, úžlabí nebo okapové hrany tl 0,55 mm rš 670 mm. " ((1,8)*0,67)*1,1</t>
  </si>
  <si>
    <t>7c</t>
  </si>
  <si>
    <t>" - Cementotřísková deska - tl. 18,0 mm. " ((1,8)*0,55)*1,1</t>
  </si>
  <si>
    <t>" Střecha " (1,8)</t>
  </si>
  <si>
    <t>764999401 SPC</t>
  </si>
  <si>
    <t>D+M Lemování kačírku (zelené střechy) - Specifikace dle PD - D.1.1.c.06. VÝPIS KLEMPÍŘSKÝCH VÝROBKŮ - K4.1</t>
  </si>
  <si>
    <t>" Lišta k zachytávání písku AL 100/80."</t>
  </si>
  <si>
    <t>" Střecha " (321,5)*1,1</t>
  </si>
  <si>
    <t>764999402 SPC</t>
  </si>
  <si>
    <t>D+M Přítlačná lišta - Specifikace dle PD - D.1.1.c.06. VÝPIS KLEMPÍŘSKÝCH VÝROBKŮ - K4.2</t>
  </si>
  <si>
    <t>" Přítlačná lišta z pozinkovaného plechu s polyuretanovou vrstvou. RŠ = 165 mm."</t>
  </si>
  <si>
    <t>" Střecha " (25,0)*1,1</t>
  </si>
  <si>
    <t>764999403 SPC</t>
  </si>
  <si>
    <t>D+M Okapní plech - Specifikace dle PD - D.1.1.c.06. VÝPIS KLEMPÍŘSKÝCH VÝROBKŮ - K4.3</t>
  </si>
  <si>
    <t>" Okapní plech z pozinkovaného plechu s polyuretanovou vrstvou. RŠ = 350 mm."</t>
  </si>
  <si>
    <t>" Střecha " (132,1)*1,1</t>
  </si>
  <si>
    <t>764999501 SPC</t>
  </si>
  <si>
    <t>D+M Oplechování napojení stávající střechy a nové skleněné střechy - Specifikace dle PD - D.1.1.c.06. VÝPIS KLEMPÍŘSKÝCH VÝROBKŮ - K5.1</t>
  </si>
  <si>
    <t>" Oplechování z pozinkovaného plechu s polyuretanovou vrstvou. RŠ = 490 mm. "</t>
  </si>
  <si>
    <t>" Střecha " (5,2)*1,1</t>
  </si>
  <si>
    <t>764999601 SPC</t>
  </si>
  <si>
    <t>D+M Oplechování střešní nástavby - Specifikace dle PD - D.1.1.c.06. VÝPIS KLEMPÍŘSKÝCH VÝROBKŮ - K6.1</t>
  </si>
  <si>
    <t>" Oplechování budníku z pozinkovaného plechu s polyuretanovou vrstvou. RŠ do 1910 mm "</t>
  </si>
  <si>
    <t>12a</t>
  </si>
  <si>
    <t>" - Oplechování horních ploch a atik bez rohů z Pz s povrch úpravou mechanicky kotvené rš přes 800 mm cena včetně příplatku za zvýšenou pracnost - 29,939 m2. " ((1,91*2,85)*5)*1,1</t>
  </si>
  <si>
    <t>12b</t>
  </si>
  <si>
    <t>762511144 RTO</t>
  </si>
  <si>
    <t>" - Podkladová konstrukce z cementotřískových desek - tl. 18,0 mm - 1,78 m2. " ((0,75*1,81)*5)*1,1</t>
  </si>
  <si>
    <t>" Součástí je také lemování 5×1 ks prostupu pro lemování VZT a svetlovodu:
Součást: plechová základna, plechová manžeta, krycí lemování, spojovací a kotevní materiál, nerezové stahovací pásky, apod. "</t>
  </si>
  <si>
    <t>12d</t>
  </si>
  <si>
    <t>7643146198 SPC</t>
  </si>
  <si>
    <t>" - Lemování prostupu VZT s světlovodu vč. veškerého nutného příslušenství, zajištění napojení, apod. "</t>
  </si>
  <si>
    <t>" Střecha " (2,85)*5</t>
  </si>
  <si>
    <t>Přesun hmot procentní pro konstrukce klempířské v objektech v přes 6 do 12 m</t>
  </si>
  <si>
    <t>HZS2151</t>
  </si>
  <si>
    <t>Hodinová zúčtovací sazba klempíř</t>
  </si>
  <si>
    <t xml:space="preserve">" Stavební práce a dodávky spojené s provedením funkčního celku 764 " </t>
  </si>
  <si>
    <t>D.1.1.c.06. VÝPIS KLEMPÍŘSKÝCH VÝROBKŮ</t>
  </si>
  <si>
    <t>" - Ocelová konstrukce venkovní rampa vč. zastřešení  z oceli S235 - 1 250kg "</t>
  </si>
  <si>
    <t>" - Ocelová konstrukce venkovního schodiště  z oceli S460 - 400kg "</t>
  </si>
  <si>
    <t>" - Ocelová konstrukce akustické zástěny na střeše  z oceli S460 - 1 400kg "</t>
  </si>
  <si>
    <t>Objekt:   D.1.4.7. SILNOPROUDÁ ELEKTROTECHNIKA</t>
  </si>
  <si>
    <t xml:space="preserve">  </t>
  </si>
  <si>
    <t>Elektromontážní práce - Svítidla</t>
  </si>
  <si>
    <t>741999101 SPC</t>
  </si>
  <si>
    <t xml:space="preserve">CS ÚRS 2024 01 </t>
  </si>
  <si>
    <t>HZS2231</t>
  </si>
  <si>
    <t>Hodinová zúčtovací sazba elektrikář</t>
  </si>
  <si>
    <t xml:space="preserve">" Stavební práce a dodávky spojené s provedením funkčního celku 741. " </t>
  </si>
  <si>
    <t xml:space="preserve">" Zednická výpomoc,doplňkové práce,kompletace,zřízení prostupů,zapravení prostupů, apod. " </t>
  </si>
  <si>
    <t>Elektromontážní práce - Přístroje</t>
  </si>
  <si>
    <t>" Včetně instalace, napojení, rámečku, krytu a instalačních krabic. "</t>
  </si>
  <si>
    <t>Elektromontážní práce - Kabely a vodiče</t>
  </si>
  <si>
    <t>741999301 SPC</t>
  </si>
  <si>
    <t>741999302 SPC</t>
  </si>
  <si>
    <t>741999303 SPC</t>
  </si>
  <si>
    <t>741999304 SPC</t>
  </si>
  <si>
    <t>Elektromontážní práce - Rozvaděče</t>
  </si>
  <si>
    <t>741999401 SPC</t>
  </si>
  <si>
    <t>" Včetně vystrojení, skříně, montážního materiálu, montáže, zapojení a veškerého nutného příslušenství a prácí nutných pro správnou funkci. "</t>
  </si>
  <si>
    <t>Elektromontážní práce - Zemnění</t>
  </si>
  <si>
    <t>741999506 SPC</t>
  </si>
  <si>
    <t>D+M Proměření + revizní zpráva - Specifikace dle PD</t>
  </si>
  <si>
    <t>Elektromontážní práce - Hromosvod</t>
  </si>
  <si>
    <t>741999601 SPC</t>
  </si>
  <si>
    <t>741999608 SPC</t>
  </si>
  <si>
    <t>Elektromontážní práce - Ostatní</t>
  </si>
  <si>
    <t>741999701 SPC</t>
  </si>
  <si>
    <t>D+M Úložný materiál - Specifikace dle PD</t>
  </si>
  <si>
    <t>" Veškerý úložný materiál pro vedení instalace silnoproudu. "</t>
  </si>
  <si>
    <t>" V ceně ochranné trubky, lišty, žlaby, parapetní vedení, a další veškerý materiál nutný pro vedení elektroinstalace vč. veškerého nutného příslušenství - krytů, koncovek, přepážek, apod. "</t>
  </si>
  <si>
    <t>741999702 SPC</t>
  </si>
  <si>
    <t>D+M Pomocný materiál - Specifikace dle PD</t>
  </si>
  <si>
    <t>" Veškerý pomocný materiál pro zajištění vedení silnoproudu - spojovací a připevňovací materiál, hmoždinky, vruty, sádra, popisové štítky, apod. "</t>
  </si>
  <si>
    <t>" V ceně ochranné trubky, lišty, žlaby, parapetní vedení, a další veškerý materiál nutný pro vedení elektroinstalace vč. Veškerého nutného příslušenství - krytů, koncovek, přepážek, apod. "</t>
  </si>
  <si>
    <t>741999703 SPC</t>
  </si>
  <si>
    <t>D+M Případné vysekání rýh a prostupů pro vedení instalací v konstrukcích - Specifikace dle PD</t>
  </si>
  <si>
    <t>" Případné vysekání rýh ve zdivu, omítce, pro vedení elektroinstalace. "</t>
  </si>
  <si>
    <t>" V ceně vysekání rýh a drážek, případných prostupů pro vedení instalaace v konstrukcích a omítce, vč, odvozu a likvidace suti. "</t>
  </si>
  <si>
    <t>741999704 SPC</t>
  </si>
  <si>
    <t>D+M Protipožární prvky prostupy konstrukcemi požárních úseků - Specifikace dle PBŘ</t>
  </si>
  <si>
    <t>" Zajištění prostupů potrubí chlazení mezi jednotlivými požárními úseky protipožárními prvky - ucpávkami, tmely, pěny, disky, apod. - požadované požární odolnosti. "</t>
  </si>
  <si>
    <t>" Protipožární ucpávky,, manžety, tmely, apod. pro potrubí do chrániček, prostupů. "</t>
  </si>
  <si>
    <t>741999705 SPC</t>
  </si>
  <si>
    <t>D+M Proměření + výchozí revizní zpráva elektroinstalace - Specifikace dle PD.</t>
  </si>
  <si>
    <t>741999706 SPC</t>
  </si>
  <si>
    <t>D+M Zařízení a práce nespecifikované - Specifikace dle PD</t>
  </si>
  <si>
    <t>Jednotkové položky zahrnují vedlejší rozpočtové náklady, náklady na montáž, dopravu, apod. a předepsané zkoušky, revize, manipulační řády, zaškolení obsluhy, zednickou výpomoc, doplňkové práce, kompletace apod. není-li uvedeno jinak.</t>
  </si>
  <si>
    <t>Odstranění bednění základových desek</t>
  </si>
  <si>
    <t>Objekt:   D.1.4.10.1.b.02 SADOVÉ ÚPRAVY</t>
  </si>
  <si>
    <t>JKSO: 823.2.9.1</t>
  </si>
  <si>
    <t>111</t>
  </si>
  <si>
    <t>111999901 SPC</t>
  </si>
  <si>
    <t>Odstranění zeleně</t>
  </si>
  <si>
    <t>" Odstranění zeleně "</t>
  </si>
  <si>
    <t>" - Odstranění travin. "</t>
  </si>
  <si>
    <t>" - Odstranění stávajících křovin, stromů a pařezů. "</t>
  </si>
  <si>
    <t>" - Zásyp jam po pařezech. "</t>
  </si>
  <si>
    <t xml:space="preserve">" - Odvoz biologického na trvalou skládku vč. naložení a poplatků za uložení (skládkovné). " </t>
  </si>
  <si>
    <t>111999902 SPC</t>
  </si>
  <si>
    <t>Odstranění zeleně - sejmutí ornice a zpětné navrácení + odvoz nepotřebné ornice na skládku</t>
  </si>
  <si>
    <t>" Odstranění zeleně - sejmutí ornice a zpětné navrácení + odvoz nepotřebné ornice na skládku"</t>
  </si>
  <si>
    <t xml:space="preserve">" - Sejmutí ornice. " </t>
  </si>
  <si>
    <t xml:space="preserve">" - Plošná úprava terénu před zpětným rozprostřením ornice. " </t>
  </si>
  <si>
    <t xml:space="preserve">" - Zpětné rozprostření ornice " </t>
  </si>
  <si>
    <t xml:space="preserve">" - Přesun ornice na meziskládku a z meziskládky + odvoz ornice na trvalou skládku. " </t>
  </si>
  <si>
    <t xml:space="preserve">" - Úprava ornice po rozprostření - provzdušnění trávníků, doplnění osiva, hnojení, odplevelení, hrabání, zabískování, aplikace stimulátoru růstu, zalítí, apod.. " </t>
  </si>
  <si>
    <t>111999903 SPC</t>
  </si>
  <si>
    <t>Vysazení nové zeleně</t>
  </si>
  <si>
    <t>" Vysazení nové zeleně - stromy, keře, rostliny. "</t>
  </si>
  <si>
    <t>" - Výsadba nové zeleně - stromy, keře, rostliny. "</t>
  </si>
  <si>
    <t xml:space="preserve">" - Zásyp jamek, ukotvení stromů, ochrana kmene a další nutné příslušnství . " </t>
  </si>
  <si>
    <t>" - Ochrana stávajících stromů, keřů, zeleně. "</t>
  </si>
  <si>
    <t>" - Zalití rostlin po výsadbě. "</t>
  </si>
  <si>
    <t>181999901 SPC</t>
  </si>
  <si>
    <t>Provedení úprav terénu - svahování vč. výsevu trávníku</t>
  </si>
  <si>
    <t>" Provedení úprav terénu - svahování vč. výsevu trávníku. "</t>
  </si>
  <si>
    <t>" - Případný dovoz zeminy na výškovou úpravu okolí. "</t>
  </si>
  <si>
    <t xml:space="preserve">" - Provedení svahování terénu . " </t>
  </si>
  <si>
    <t>" - .Výsev trávníku vč. veškerých úprav - hnojení, hrabání, odplevelení, zalití, zapískování, apod. "</t>
  </si>
  <si>
    <t>" - Případné výškové úpravy terénů a svahů - výškové vyrovnání terénu na pozemku na novou vúroveň. "</t>
  </si>
  <si>
    <t>" - Úprava stávajícího záhonu po provedení prací. . "</t>
  </si>
  <si>
    <t>" - Ostatní práce nespecifikované a související s provedením sadových úprav. "</t>
  </si>
  <si>
    <t>D.1.4.10.1.b.02 SADOVÉ ÚPRAVY</t>
  </si>
  <si>
    <t>Objekt:   OPLOCENÍ</t>
  </si>
  <si>
    <t>338171901 SPC</t>
  </si>
  <si>
    <t>Oplocení objektu</t>
  </si>
  <si>
    <t>" Oplocení objektu "</t>
  </si>
  <si>
    <t xml:space="preserve">" - Zemní práce vč. nakládání se zeminou. " </t>
  </si>
  <si>
    <t xml:space="preserve">" - Kompletní konstrukce oplocení - sloupky vč. základů, výztuhy, podezdívky. " </t>
  </si>
  <si>
    <t xml:space="preserve">" - Vrátka, brána vč. základů a veškerého příslušenství vč. napojení na elektro " </t>
  </si>
  <si>
    <t xml:space="preserve">" - Vyplně oplocení - svařované panely, pletivu, napínací drát, podhrabové desky, apod. " </t>
  </si>
  <si>
    <t xml:space="preserve">" - Zajištění napojení na stávající oplocení. " </t>
  </si>
  <si>
    <t xml:space="preserve">" - Ostatní příslušenství oplocení " </t>
  </si>
  <si>
    <t xml:space="preserve">" - Přesun hmot " </t>
  </si>
  <si>
    <t>338171902 SPC</t>
  </si>
  <si>
    <t>Kamenná opěrná zeď / oplocení</t>
  </si>
  <si>
    <t>" Kamenná opěrná zeď "</t>
  </si>
  <si>
    <t xml:space="preserve">" - Kompletní konstrukce opěrné zdi / oplocení - sloupky vč. základů, koše, výplň kamenivem, apod. vč. případného obkladu. " </t>
  </si>
  <si>
    <t xml:space="preserve">" - Ostatní příslušenství opěrné zdi / oplocení " </t>
  </si>
  <si>
    <t>338171999 SPC</t>
  </si>
  <si>
    <t>Vybourání stávajícího oplocení</t>
  </si>
  <si>
    <t>" Odstranění stávajícího oplocení objektu vč. branek a příslušenství "</t>
  </si>
  <si>
    <t xml:space="preserve">" - Zemní práce vč. nakládání se zeminou a zpětného zásypu a dovozu zeminy pro zásypy. " </t>
  </si>
  <si>
    <t>" - Vybourání základových konstrukcí - patek. "</t>
  </si>
  <si>
    <t>" - Vybourání stávajícího oplocení jako celku vč. veškerého přísliušenství - sloupků, výplně - pletiva, drátů, branek, vjezdů, … "</t>
  </si>
  <si>
    <t xml:space="preserve">" - Odstatní práce související s vybouráním oplocení " </t>
  </si>
  <si>
    <t>" - Případná úprava stávajících oplocení (výměna poškozenýc, nový nátěr vč. odstranění stávajícího, apod.), jejich ochrana při provádění stavebních prací, dočasná demontáž a zpětná montáž vč. veškerých prvků, apod. "</t>
  </si>
  <si>
    <t>" - Ostatní práce nespecifikované a související s provedením objektů oplocení. "</t>
  </si>
  <si>
    <t>OPLOCENÍ</t>
  </si>
  <si>
    <t>Objekt:   D.1.4.10.2. POZEMNÍ KOMUNIKACE</t>
  </si>
  <si>
    <t xml:space="preserve">Pozemní komunikace </t>
  </si>
  <si>
    <t>Sadové úpravy</t>
  </si>
  <si>
    <t>Oplocení</t>
  </si>
  <si>
    <t>D.1.4.10. POZEMNÍ KOMUNIKACE, SADOVÉ ÚPRAVY, OPLOCENÍ</t>
  </si>
  <si>
    <t>Objekt:   D.1.4.2. ODBĚRNÁ PLYNOVÁ ZAŘÍZENÍ</t>
  </si>
  <si>
    <t>Zdravotně technické instalace budov - Vnitřní plynovod</t>
  </si>
  <si>
    <t>Potrubí ocelové hladké černé bezešvé spojované svařováním tvářené za tepla D 28x2,6 mm</t>
  </si>
  <si>
    <t>" Ocelové potrubí plynovodu " (18,0)*1,1</t>
  </si>
  <si>
    <t xml:space="preserve">" V ceně veškeré příslušenství, tvarovky,kotvící prvky (vč. konzol) a spojovací materiál. " </t>
  </si>
  <si>
    <t>723150306 RTO</t>
  </si>
  <si>
    <t>Potrubí ocelové hladké černé bezešvé spojované svařováním tvářené za tepla D 44,5x2,6 mm</t>
  </si>
  <si>
    <t>" Ocelové potrubí plynovodu " (0,8)*1,1</t>
  </si>
  <si>
    <t>723170118 SPC</t>
  </si>
  <si>
    <t>Chránička D 44,5x3,2 mm</t>
  </si>
  <si>
    <t>" Plastová chránička pro potrubí plynovodu " (4,00)*1,1</t>
  </si>
  <si>
    <t>721</t>
  </si>
  <si>
    <t>723170226 RTO</t>
  </si>
  <si>
    <t>Ochrana plynového potrubí korugovanými trubkami D 40</t>
  </si>
  <si>
    <t xml:space="preserve">" Ochrana plynovodního potrubí korugavanou plynotěsnou chráničkou D 40. " </t>
  </si>
  <si>
    <t>" Okorugovaná plynotěsná chránička " (4,00)*1,1</t>
  </si>
  <si>
    <t>723999105 SPC</t>
  </si>
  <si>
    <t xml:space="preserve">D+M Plynový filtr DN 20 - Specifikace dle PD </t>
  </si>
  <si>
    <t>" V ceně veškeré příslušenství a montážní materiál. "</t>
  </si>
  <si>
    <t>723229301 SPC</t>
  </si>
  <si>
    <t>D+M Automatický bezpečnostní elektromagnetický ventil DN 20 - Specifikace dle PD</t>
  </si>
  <si>
    <t>" Automatický bezpečnostní elektromagnetický ventil pro planná paliva (BAP) - DN 20. "</t>
  </si>
  <si>
    <t>" Bezpečnostní ventil pro plyn "</t>
  </si>
  <si>
    <t>" V ceně veškeré příslušenství a montážní materiál, zajištění napojení, prokabelování, odzkoušení. "</t>
  </si>
  <si>
    <t>D+M Případné pásky na potrubí - Specifikace dle PD</t>
  </si>
  <si>
    <t>" Pásky na potrubí ve vzdálenostech 150 - 500 mm od strojních zařízení, armatur, potrubních křižovatek, překážek, stěn, apod. "</t>
  </si>
  <si>
    <t>723999901 SPC</t>
  </si>
  <si>
    <t>" Zajištění prostupů potrubí plynovodu mezi jednotlivými požárními úseky protipožárními prvky - ucpávkami, tmely, pěny, disky, apod. - požadované požární odolnosti. "</t>
  </si>
  <si>
    <t>723999302 SPC</t>
  </si>
  <si>
    <t>D+M Bezpečnostní štítky pro označení zařízení PLYN - Specifikace dle PD</t>
  </si>
  <si>
    <t>" Bezpečnostní štítky pro označení armatur, ventilů, druhu média, směru proudění, apod. "</t>
  </si>
  <si>
    <t>723999991 SPC</t>
  </si>
  <si>
    <t>D+M Utěsňovací a výplňový materiál - Specifikace dle PD</t>
  </si>
  <si>
    <t>" Utěsňovací a vyplňpvací materiál pro vyplnění prostor mezi potrubím a otvorem v konstrukcích pro vyrovnání povrchu pro omítky. "</t>
  </si>
  <si>
    <t>" V ceně veškeré nutné práce a materiál pro utěsnění nepožárních prostupů - např. pěny, izolace, apod.  "</t>
  </si>
  <si>
    <t>Přesun hmot procentní pro vnitřní plynovod v objektech v přes 6 do 12 m</t>
  </si>
  <si>
    <t>HZS2211</t>
  </si>
  <si>
    <t>Hodinová zúčtovací sazba instalatér</t>
  </si>
  <si>
    <t>" Stavební práce a dodávky spojené s provedením funkčního celku 723 "</t>
  </si>
  <si>
    <t xml:space="preserve">" Zednická výpomoc,doplňkové práce,kompletace, vytvoření a zapravení prostupů apod." </t>
  </si>
  <si>
    <t>Základní antikorozní jednonásobný syntetický nátěr armatur DN do 100 mm</t>
  </si>
  <si>
    <t xml:space="preserve">" Nátěr nutných částí všech armatur " </t>
  </si>
  <si>
    <t>" Plynový filtr DN20 " 1</t>
  </si>
  <si>
    <t>" Automatický ventil DN 20 " 1</t>
  </si>
  <si>
    <t>Základní antikorozní jednonásobný syntetický potrubí DN do 50 mm</t>
  </si>
  <si>
    <t xml:space="preserve">" Nátěr plynovodního potrubí " </t>
  </si>
  <si>
    <t>" Nátěr plynovodního potrubí - D 28,0×2,6 (DN 20) " 18,0</t>
  </si>
  <si>
    <t>" Nátěr plynovodního potrubí - D 44,5×2,6 (DN 40) " 0,8</t>
  </si>
  <si>
    <t>Mezinátěr jednonásobný syntetický nátěr armatur DN do 100 mm</t>
  </si>
  <si>
    <t xml:space="preserve">" Mezinátěr nutných částí všech armatur " </t>
  </si>
  <si>
    <t>Mezinátěr jednonásobný syntetický nátěr potrubí DN do 50 mm</t>
  </si>
  <si>
    <t xml:space="preserve">" Mezinátěr plynovodního potrubí " </t>
  </si>
  <si>
    <t>" Mezinátěr plynovodního potrubí - D 28,0×2,6 (DN 20) " 18,0</t>
  </si>
  <si>
    <t>" Mezinátěr plynovodního potrubí - D 44,5×2,6 (DN 40) " 0,8</t>
  </si>
  <si>
    <t>Krycí dvojnásobný syntetický nátěr armatur DN do 100 mm</t>
  </si>
  <si>
    <t xml:space="preserve">" Krycí nátěr nutných částí všech armatur " </t>
  </si>
  <si>
    <t>Krycí dvojnásobný syntetický nátěr potrubí DN do 50 mm</t>
  </si>
  <si>
    <t xml:space="preserve">" Krycí nátěr plynovodního potrubí " </t>
  </si>
  <si>
    <t>" Krycí nátěr plynovodního potrubí - D 28,0×2,6 (DN 20) " 18,0</t>
  </si>
  <si>
    <t>" Krycí nátěr plynovodního potrubí - D 44,5×2,6 (DN 40) " 0,8</t>
  </si>
  <si>
    <t xml:space="preserve">" Zednická výpomoc,doplňkové práce,kompletace apod." </t>
  </si>
  <si>
    <t>23-M</t>
  </si>
  <si>
    <t>Montáže potrubí</t>
  </si>
  <si>
    <t>023</t>
  </si>
  <si>
    <t>Tlakové zkoušky těsnosti potrubí - příprava DN do 40</t>
  </si>
  <si>
    <t xml:space="preserve">" Zkouška těsnosti plynovodního potrubí - příprava " </t>
  </si>
  <si>
    <t xml:space="preserve">" Zkouška těsnosti plynovodního potrubí - příprava - D 28,0×2,6 (DN 20) " </t>
  </si>
  <si>
    <t xml:space="preserve">" Zkouška těsnosti plynovodního potrubí - příprava - D 44,5×2,6 (DN 40) " </t>
  </si>
  <si>
    <t>Tlakové zkoušky těsnosti potrubí - zkouška DN do 40</t>
  </si>
  <si>
    <t xml:space="preserve">" Zkouška těsnosti plynovodního potrubí " </t>
  </si>
  <si>
    <t>" Zkouška těsnosti plynovodního potrubí - D 28,0×2,6 (DN 20) " 18,0</t>
  </si>
  <si>
    <t>" Zkouška těsnosti plynovodního potrubí - D 44,5×2,6 (DN 40) " 0,8</t>
  </si>
  <si>
    <t>Čištění potrubí DN 200</t>
  </si>
  <si>
    <t xml:space="preserve">" Čištění plynovodního potrubí " </t>
  </si>
  <si>
    <t>" Čištění plynovodního potrubí - D 28,0×2,6 (DN 20) " 18,0</t>
  </si>
  <si>
    <t>" Čištění plynovodního potrubí - D 44,5×2,6 (DN 40) " 0,8</t>
  </si>
  <si>
    <t>721999801 SPC</t>
  </si>
  <si>
    <t>D+M Armatury, prvky a vybavení pro rozvody kanalizace</t>
  </si>
  <si>
    <t>" Armatury, prvky a vybavení pro rozvody plynovodu nutné pro zajištění prací, uvedené v PD, či nutné pro zajištění správné funkčnosti, ale nespecifikované v soupise prací. "</t>
  </si>
  <si>
    <t>D.1.4.2. ODBĚRNÁ PLYNOVÁ ZAŘÍZENÍ</t>
  </si>
  <si>
    <t>Objekt:   D.1.4.8. ELEKTRONICKÉ KOMUNIKACE</t>
  </si>
  <si>
    <t>742998101 SPC</t>
  </si>
  <si>
    <t>" V ceně také zapojení, odzkoušení. "</t>
  </si>
  <si>
    <t>742998151 SPC</t>
  </si>
  <si>
    <t>D+M Kabeláž pro prvky el. komunikace - strukturovaná kabeláž - Specifikace dle PD</t>
  </si>
  <si>
    <t xml:space="preserve">" Kabeláž pro prvky elektrických komunikací - strukturovaná kabeláž. " </t>
  </si>
  <si>
    <t>" V ceně veškerá nutná kabeláž pro napojen prvků el. komunikace, a dalších elektrických zařízení. V ceně veškeré nutné prvky, kotvící materiál, ukončující prvky, zapojení apod. "</t>
  </si>
  <si>
    <t>742998191 SPC</t>
  </si>
  <si>
    <t>" Veškerý úložný materiál pro vedení instalace el. komunikace "</t>
  </si>
  <si>
    <t>" V ceně ochranné trubky, lišty, žlaby, parapetní vedení, a další veškerý materiál nutný pro vedení elektroinstalace vč. veškerého nutného příslušenství - krytů, koncovek, přepážek, úchytek, apod. "</t>
  </si>
  <si>
    <t>742998192 SPC</t>
  </si>
  <si>
    <t>" Veškerý pomocný materiál pro zajištění vedení e. komunikace - spojovací a připevňovací materiál, hmoždinky, vruty, sádra, popisové štítky, apod. "</t>
  </si>
  <si>
    <t xml:space="preserve">" Stavební práce a dodávky spojené s provedením funkčního celku 742. " </t>
  </si>
  <si>
    <t xml:space="preserve">" Zednická výpomoc,doplňkové práce,kompletace apod. " </t>
  </si>
  <si>
    <t>Elektromontážní práce - Přístupový systém (ACS)</t>
  </si>
  <si>
    <t>742998201 SPC</t>
  </si>
  <si>
    <t>742998251 SPC</t>
  </si>
  <si>
    <t>D+M Kabeláž pro prvky el. komunikace - přístupový systém - Specifikace dle PD</t>
  </si>
  <si>
    <t xml:space="preserve">" Kabeláž pro prvky elektrických komunikací - přístupový systém. " </t>
  </si>
  <si>
    <t>742998291 SPC</t>
  </si>
  <si>
    <t>742998292 SPC</t>
  </si>
  <si>
    <t>Elektromontážní práce - Kamerový systém (CCTV)</t>
  </si>
  <si>
    <t>742998301 SPC</t>
  </si>
  <si>
    <t>742998351 SPC</t>
  </si>
  <si>
    <t>D+M Kabeláž pro prvky el. komunikace - kamerový systém - Specifikace dle PD</t>
  </si>
  <si>
    <t xml:space="preserve">" Kabeláž pro prvky elektrických komunikací - kamerový systém. " </t>
  </si>
  <si>
    <t>742998391 SPC</t>
  </si>
  <si>
    <t>742998392 SPC</t>
  </si>
  <si>
    <t>742998401 SPC</t>
  </si>
  <si>
    <t>742998451 SPC</t>
  </si>
  <si>
    <t>D+M Kabeláž pro prvky el. komunikace - poplachový zabezpečovací tísňový systém - Specifikace dle PD</t>
  </si>
  <si>
    <t xml:space="preserve">" Kabeláž pro prvky elektrických komunikací - PZTS. " </t>
  </si>
  <si>
    <t>742998491 SPC</t>
  </si>
  <si>
    <t>742998492 SPC</t>
  </si>
  <si>
    <t>Elektromontážní práce - AV technika</t>
  </si>
  <si>
    <t>742998701 SPC</t>
  </si>
  <si>
    <t>D+M Kabeláž pro prvky el. komunikace - AV technika - Specifikace dle PD</t>
  </si>
  <si>
    <t xml:space="preserve">" Kabeláž pro prvky elektrických komunikací - AV technika. " </t>
  </si>
  <si>
    <t>742998791 SPC</t>
  </si>
  <si>
    <t>742998792 SPC</t>
  </si>
  <si>
    <t>742998793 SPC</t>
  </si>
  <si>
    <t>Elektromontážní práce - Systém jednotného času</t>
  </si>
  <si>
    <t>742998801 SPC</t>
  </si>
  <si>
    <t>D+M Prvky systému jendotného času - Specfikace dle PD</t>
  </si>
  <si>
    <t>742998851 SPC</t>
  </si>
  <si>
    <t>742998591 SPC</t>
  </si>
  <si>
    <t>742998892 SPC</t>
  </si>
  <si>
    <t>742998893 SPC</t>
  </si>
  <si>
    <t>742998901 SPC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</si>
  <si>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Nacházeí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</si>
  <si>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D+M Areálový rozvod elektro</t>
  </si>
  <si>
    <t>742999104 SPC</t>
  </si>
  <si>
    <t>D.1.4.1.b.09 AKUMULAČNÍ NÁDRŽE</t>
  </si>
  <si>
    <t>D.1.4.1.b.10 ODLUČOVAČE TUKU</t>
  </si>
  <si>
    <t>Objekt:       D.1.4.3. VZDUCHOTECHNIKA</t>
  </si>
  <si>
    <t>Vzduchotechnika - Zařízení - VZT jednotky / Ventilátory</t>
  </si>
  <si>
    <t>751991101 SPC</t>
  </si>
  <si>
    <t>" V ceně také veškeré nutné komponenty a práce pro MaR, vč. regulace. "</t>
  </si>
  <si>
    <t>751</t>
  </si>
  <si>
    <t>751991901 SPC</t>
  </si>
  <si>
    <t>" Veškeré nutná zařízení VZT nespecifikovaná a nespecifikovaná příslušenství pro jednotky a ventilátory  - např. vany, protimrzné krabice pro VZT jednotky pro UT, apod. "</t>
  </si>
  <si>
    <t>" V ceně montáž, osazení, kotvící a spojovací prvky, apod. "</t>
  </si>
  <si>
    <t>Přesun hmot procentní pro vzduchotechniku v objektech v do 12 m</t>
  </si>
  <si>
    <t xml:space="preserve">HZS3211 </t>
  </si>
  <si>
    <t>Hodinová zúčtovací sazba montér vzduchotechniky a chlazení</t>
  </si>
  <si>
    <t xml:space="preserve">" Stavební práce a dodávky spojené s provedením funkčního celku 751. " </t>
  </si>
  <si>
    <t xml:space="preserve">" Zednická výpomoc, doplňkové práce, kompletace, zřízení a zapravení prostupů,vysekání a zapravení drážek, překlady nad prostupy apod." </t>
  </si>
  <si>
    <t>Vzduchotechnika - Potrubí</t>
  </si>
  <si>
    <t>" V ceně veškeré příslušenství, tvarovky, regulační plechy, náběhové plechy, tlumící vložky, kotvící prvky a spojovací materiál. "</t>
  </si>
  <si>
    <t>Vzduchotechnika - Koncové prvky</t>
  </si>
  <si>
    <t>751999401 SPC</t>
  </si>
  <si>
    <t xml:space="preserve">D+M Koncové prvky - Specifikace dle PD    </t>
  </si>
  <si>
    <t>" Veškeré koncové prvky VZT rozvodů "</t>
  </si>
  <si>
    <t>" V ceně přetlakové klapky, talířové ventily, anemostaty, difuzory, tlumiče hluku, větrací mřížky, protidešťové žaluzie, mřížové výústky, protidešťová stříška, regulační klapky, požární klapky, uzavírací klapky, stěnové mřížky, požární mřížky, filtrační kazety s filtry, ohřívače vzduchu, apod. "</t>
  </si>
  <si>
    <t>Vzduchotechnika</t>
  </si>
  <si>
    <t>751994101 SPC</t>
  </si>
  <si>
    <t>D+M Bezpečnostní štítky pro označení zařízení VZT  - Specifikace dle PD</t>
  </si>
  <si>
    <t>751999997 SPC</t>
  </si>
  <si>
    <t xml:space="preserve">D+M Zprovoznění, měření, kontrola, seřízení a zaregulování soustavy </t>
  </si>
  <si>
    <t>" Zaregulování, měření a seřízení průtoku vzduchu. "</t>
  </si>
  <si>
    <t>" Měření hlukových parametrů. "</t>
  </si>
  <si>
    <t>" Vyzkoušení systému - individuální, funkční a komplexní. "</t>
  </si>
  <si>
    <t>" Zkušební provoz. "</t>
  </si>
  <si>
    <t>" Sepsání záznamů. "</t>
  </si>
  <si>
    <t xml:space="preserve">"Stavební práce a dodávky spojené s provedením funkčního celku 751." </t>
  </si>
  <si>
    <t>Objekt:   D.1.4.4. VYTÁPĚNÍ</t>
  </si>
  <si>
    <t>Ústřední vytápění - Kotelny</t>
  </si>
  <si>
    <t>731</t>
  </si>
  <si>
    <t>731999101 SPC</t>
  </si>
  <si>
    <t>D+M Výměníková stanice -Specifikace dle PD - VS1</t>
  </si>
  <si>
    <t>" Tlakově nezávislá stanice. Cena vč. pohonu. "</t>
  </si>
  <si>
    <t>" Včetně prokabelování, zprovoznění, napojení a veškerého příslušenství. dle PD "</t>
  </si>
  <si>
    <t>" V ceně jsou započítány všechny armatury jako např. kohouty, teploměry, foltry, ventily, izolace atd. "</t>
  </si>
  <si>
    <t>731999102 SPC</t>
  </si>
  <si>
    <t>D+M Výměníková stanice -Specifikace dle PD - VS2</t>
  </si>
  <si>
    <t>731999103 SPC</t>
  </si>
  <si>
    <t>D+M Hlavní kombinovaný Rozdělovač / Sběrač - Specifikace dle PD - R/S</t>
  </si>
  <si>
    <t>" Hlavní kombinovaný rozdělovač / sběrač s vnitřní izolací mezi rozdělovací a sběrnou částí. V ceně veškeré nutné příslušenství, armatury, šroubení, ... a veškeré práce pro zajištění funkčnosti celku. "</t>
  </si>
  <si>
    <t>731999301 SPC</t>
  </si>
  <si>
    <t>D+M Oběhové čerpadlo s regulovatelnými otáčkami - Specifikace dle PD - OČ01</t>
  </si>
  <si>
    <t>" Oběhové čerpadlo s regulovatelnými otáčkami pro VĚTEV 1, m = 0,837 m3/h, H = 60 kPa, 230 V. "</t>
  </si>
  <si>
    <t>" Včetně prokabelování, regulátor čerpadla, měření a regulace, zprovoznění, napojení a veškerého příslušenství. "</t>
  </si>
  <si>
    <t>731999302 SPC</t>
  </si>
  <si>
    <t>D+M Oběhové čerpadlo s regulovatelnými otáčkami - Specifikace dle PD - OČ02</t>
  </si>
  <si>
    <t>" Oběhové čerpadlo s regulovatelnými otáčkami pro VĚTEV 2, m = 1,178 m3/h, H = 65 kPa, 230 V. "</t>
  </si>
  <si>
    <t>731999303 SPC</t>
  </si>
  <si>
    <t>D+M Oběhové čerpadlo s regulovatelnými otáčkami - Specifikace dle PD - OČ03</t>
  </si>
  <si>
    <t>" Oběhové čerpadlo s regulovatelnými otáčkami pro VĚTEV 3, m = 2,412 m3/h, H = 75 kPa, 230 V. "</t>
  </si>
  <si>
    <t>731999304 SPC</t>
  </si>
  <si>
    <t>D+M Oběhové čerpadlo s regulovatelnými otáčkami - Specifikace dle PD - OČ04</t>
  </si>
  <si>
    <t>" Oběhové čerpadlo s regulovatelnými otáčkami pro VZT č. 1, m = 0,129 m3/h, H = 40 kPa, 230 V. "</t>
  </si>
  <si>
    <t>731999305 SPC</t>
  </si>
  <si>
    <t>D+M Oběhové čerpadlo s regulovatelnými otáčkami - Specifikace dle PD - OČ05</t>
  </si>
  <si>
    <t>" Oběhové čerpadlo s regulovatelnými otáčkami pro VZT č. 2, m = 2,283 m3/h, H = 75 kPa, 230 V. "</t>
  </si>
  <si>
    <t>731999306 SPC</t>
  </si>
  <si>
    <t>D+M Oběhové čerpadlo s regulovatelnými otáčkami pro cirkulaci - Specifikace dle PD - OČ06</t>
  </si>
  <si>
    <t>" Oběhové čerpadlo s regulovatelnými otáčkami pro nabíjecí čerpadlo akumulace, Q = 1,68 m3/h, H = 75 kPa, 230 V. "</t>
  </si>
  <si>
    <t>731999307 SPC</t>
  </si>
  <si>
    <t>D+M Oběhové čerpadlo s regulovatelnými otáčkami - Specifikace dle PD - CČ01</t>
  </si>
  <si>
    <t>" Oběhové čerpadlo s regulovatelnými otáčkami pro cirkulaci, m = 0,788 m3/h, H = 55 kPa, 230 V. "</t>
  </si>
  <si>
    <t>731999402 SPC</t>
  </si>
  <si>
    <t>D+M Kompresorový automat - Specifikace dle PD - EX-T</t>
  </si>
  <si>
    <t>" Kompresorový automat s membránovou expanzí pro topení. "</t>
  </si>
  <si>
    <t>" Včetně prokabelování, měření a regulace, zprovoznění, napojení a veškerého příslušenství "</t>
  </si>
  <si>
    <t>731999403 SPC</t>
  </si>
  <si>
    <t>D+M Expanzní nádoba s membránou - Specifikace dle PD - EX-V</t>
  </si>
  <si>
    <t>" Expanzní nádoba s membránou pro rozvody pitné vody. "</t>
  </si>
  <si>
    <t>731999404 SPC</t>
  </si>
  <si>
    <t>D+M Odplyňovací automat - podtlakový - Specifikace dle PD - OA-P</t>
  </si>
  <si>
    <t>" Odplyňovací automat. "</t>
  </si>
  <si>
    <t>731999405 SPC</t>
  </si>
  <si>
    <t>D+M Nerezový zásobníkový ohřívač TV - Specifikace dle PD - Z1</t>
  </si>
  <si>
    <t>" Nerezový zásobníkový ohřívač TV bez vnitřních výměníku - bez elektrické patrony. "</t>
  </si>
  <si>
    <t>731999406 SPC</t>
  </si>
  <si>
    <t>D+M Automatické změkčovací zařízení - Specifikace dle PD - AZZ</t>
  </si>
  <si>
    <t>" Automatické změkčovací zařízení. "</t>
  </si>
  <si>
    <t>731999407 SPC</t>
  </si>
  <si>
    <t>D+M Automatické doplňovací zařízení - Specifikace dle PD - ADZ</t>
  </si>
  <si>
    <t>" Automatické doplňovací zařízení. "</t>
  </si>
  <si>
    <t>Přesun hmot procentní pro kotelny v objektech v přes 6 do 12 m</t>
  </si>
  <si>
    <t>HZS2221</t>
  </si>
  <si>
    <t>Hodinová zúčtovací sazba topenář</t>
  </si>
  <si>
    <t>" Stavební práce a dodávky spojené s provedením funkčního celku 731 "</t>
  </si>
  <si>
    <t>" Zednická výpomoc, doplňkové práce, kompletace, zřízení prostupů, zapravení prostupů, armatury a příslušenství apod."</t>
  </si>
  <si>
    <t>Ústřední vytápění - Potrubí</t>
  </si>
  <si>
    <t>866181901 SPC</t>
  </si>
  <si>
    <t>D+M Předizolované plastové potrubí do DN 100 - Specifikace dle PD</t>
  </si>
  <si>
    <t>" DN90 " (13,5)*1,1</t>
  </si>
  <si>
    <t>" DN100 " (1,00)*1,1</t>
  </si>
  <si>
    <t>" V ceně veškeré potřebné tvarovky, příslušenství, apod. "</t>
  </si>
  <si>
    <t>871999501 SPC</t>
  </si>
  <si>
    <t>D+M Systém podpory potrubí vedeného v kolektoru - Specifikace dle PD</t>
  </si>
  <si>
    <t>" Podpůrný systém pro vedení potrubí v kolektoru. " (13,5+1,00)</t>
  </si>
  <si>
    <t>" Ocelová rámová konstrukce pro ukotvění ke stropu či do podlahy pro instalaci / konzoly pro upevnění na stěny, vč veškerého příslušenství a dalších nutných věcí - kotvícího, spojovacího, těsnícího, aj. materiálu, apod, pro zajištění vedení potrubí v kolektoru. "</t>
  </si>
  <si>
    <t>" POZN: Systém podpory uvažován pro obě potrubí přívodní a vratné dohromady. "</t>
  </si>
  <si>
    <t>733121101 SPC</t>
  </si>
  <si>
    <t xml:space="preserve">D+M Potrubí ocelové DN 10 + TI tl. 40 mm - Specifikace dle PD </t>
  </si>
  <si>
    <t>" Součástí izolační pouzdra z minerální vlny s polepem z hliníkové fólie vyztužené mřížkou ze skelných vláken (ALS). Pouzdro na podélném spoji opatřeno přesahem fólie se samolepící páskou. Izolace v celé délce potrubí včetně kolen a odboček "</t>
  </si>
  <si>
    <t>" Ocelové potrubí pro vytápění " (12,25+237,89+158,24)*1,1</t>
  </si>
  <si>
    <t>" V ceně veškeré příslušenství, tvarovky,kotvící prvky a spojovací materiál, výměra včetně ztratného "</t>
  </si>
  <si>
    <t>733121102 SPC</t>
  </si>
  <si>
    <t xml:space="preserve">D+M Potrubí ocelové DN 15 + TI tl. 40 mm - Specifikace dle PD </t>
  </si>
  <si>
    <t>" Ocelové potrubí pro vytápění " (25,75+63,99)*1,1</t>
  </si>
  <si>
    <t>733121103 SPC</t>
  </si>
  <si>
    <t xml:space="preserve">D+M Potrubí ocelové DN 20 + TI tl. 40 mm - Specifikace dle PD </t>
  </si>
  <si>
    <t>" Ocelové potrubí pro vytápění " (54,65+0,57)*1,1</t>
  </si>
  <si>
    <t>733121104 SPC</t>
  </si>
  <si>
    <t xml:space="preserve">D+M Potrubí ocelové DN 25 + TI tl. 40 mm - Specifikace dle PD </t>
  </si>
  <si>
    <t>" Ocelové potrubí pro vytápění " (16,06)*1,1</t>
  </si>
  <si>
    <t>733121105 SPC</t>
  </si>
  <si>
    <t xml:space="preserve">D+M Potrubí ocelové DN 32 + TI tl. 50 mm - Specifikace dle PD </t>
  </si>
  <si>
    <t>" Ocelové potrubí pro vytápění " (50,50)*1,1</t>
  </si>
  <si>
    <t>733121106 SPC</t>
  </si>
  <si>
    <t xml:space="preserve">D+M Potrubí ocelové DN 40 + TI tl. 50 mm - Specifikace dle PD </t>
  </si>
  <si>
    <t>" Ocelové potrubí pro vytápění " (43,28)*1,1</t>
  </si>
  <si>
    <t>733121107 SPC</t>
  </si>
  <si>
    <t xml:space="preserve">D+M Potrubí ocelové DN 50 + TI tl. 50 mm - Specifikace dle PD </t>
  </si>
  <si>
    <t>" Ocelové potrubí pro vytápění " (45,59)*1,1</t>
  </si>
  <si>
    <t>733121108 SPC</t>
  </si>
  <si>
    <t xml:space="preserve">D+M Potrubí ocelové DN 100 + TI tl. 80 mm - Specifikace dle PD </t>
  </si>
  <si>
    <t>" Ocelové potrubí pro vytápění " (14,30)*1,1</t>
  </si>
  <si>
    <t>733190225 SPC</t>
  </si>
  <si>
    <t>Zkouška těsnosti potrubí ocelové hladké D do 133x5,0</t>
  </si>
  <si>
    <t xml:space="preserve">" Zkoušky těsnosti měděných potrubí " </t>
  </si>
  <si>
    <t>" Zkouška těsnosti potrubí " (14,30+45,59+43,28+50,50+16,06+54,65+0,57+25,75+63,99+12,25+237,89+158,24)</t>
  </si>
  <si>
    <t>733391001 SPC</t>
  </si>
  <si>
    <t xml:space="preserve">D+M Potrubí plastové s kyslíkovou bariérou do PE-Xb/AL/PE-Xb D 57,0×2,9 + TI tl. 9 mm - Specifikace dle PD </t>
  </si>
  <si>
    <t>" Součástí izolační pouzdra z PE laminované zesílenou hliníkovou fólií. Pozdro na podélném a příčném spoji přilepeno chloroprenovým kaučukovým lepidlem, popř. obaleno plastovou páskou. Izolace v celé délce potrubí včetně kolen a odboček. "</t>
  </si>
  <si>
    <t xml:space="preserve">" Přípojné potrubí pro podlahové vytápění. " </t>
  </si>
  <si>
    <t>" DN20 " (24,18)*1,1</t>
  </si>
  <si>
    <t>" DN25 " (26,05)*1,1</t>
  </si>
  <si>
    <t>" DN32 " (68,15)*1,1</t>
  </si>
  <si>
    <t>" DN40 " (6,58)*1,1</t>
  </si>
  <si>
    <t>" DN50 " (0,13)*1,1</t>
  </si>
  <si>
    <t>" V ceně zkoušky těsnosti potrubí. "</t>
  </si>
  <si>
    <t>733391102 SPC</t>
  </si>
  <si>
    <t>Zkouška těsnosti potrubí plastové D přes 32x3 do 50x4,6</t>
  </si>
  <si>
    <t>" Zkouška potrubí plastového " (24,18+26,05+68,15+6,58+0,13)</t>
  </si>
  <si>
    <t>733999301 SPC</t>
  </si>
  <si>
    <t>D+M Napojení potrubí na VZT jednotky - Specifikace dle PD</t>
  </si>
  <si>
    <t xml:space="preserve">" Napojení potrubí na VZT jednotky. " </t>
  </si>
  <si>
    <t>" Zajištění napojení potrubí UT na VZT. V ceně veškeré nutné tvarovky (redukce), armatury, těsnící profily a další nutné věci, příslušenství. "</t>
  </si>
  <si>
    <t>" POZN: Sadou je myšleno dopojení na všechna potrubí. "</t>
  </si>
  <si>
    <t>733999401 SPC</t>
  </si>
  <si>
    <t>Provedení napojení nového potrubí pro vytápění na stávající stoupací - Specifikace dle PD</t>
  </si>
  <si>
    <t>" Provedení napojení nového potrubí vytápění na stávající . "</t>
  </si>
  <si>
    <t>" Napojení potrubí stávající stoupací " 1</t>
  </si>
  <si>
    <t>" V ceně veškeré příslušenství (tvarovky, armatury, spojovací materiál, apod.) a práce nutné pro napojení - např.: Výměna kusu potrubí - rovné za odbočovací, řezání potrubí, utěsnění, nové potrubí, apod. 
V ceně také úprava stávajícího potrubí v místě napojení - výměna poškozené izolace, její doplnění, případný nátěr, vč. odstranění stávajícího poškozeného a očištění, apod. "</t>
  </si>
  <si>
    <t>" V ceně také případný přesun suti. "</t>
  </si>
  <si>
    <t>733999801 SPC</t>
  </si>
  <si>
    <t>" Zajištění prostupů potrubí vytápění mezi jednotlivými požárními úseky protipožárními prvky - ucpávkami, tmely, pěny, disky, apod. - požadované požární odolnosti. "</t>
  </si>
  <si>
    <t>733999991 SPC</t>
  </si>
  <si>
    <t>Přesun hmot procentní pro rozvody potrubí v objektech v přes 6 do 12 m</t>
  </si>
  <si>
    <t>" Stavební práce a dodávky spojené s provedením funkčního celku 733 "</t>
  </si>
  <si>
    <t>734</t>
  </si>
  <si>
    <t>Ústřední vytápění - Armatury</t>
  </si>
  <si>
    <t>734991101 SPC</t>
  </si>
  <si>
    <t>D+M Kohout kulový uzavírací DN 10 - Specifikace dle PD - KK</t>
  </si>
  <si>
    <t xml:space="preserve">" Koulový kohout vytápení - DN 10 " </t>
  </si>
  <si>
    <t xml:space="preserve">" Tělo : Mosaz-chromovaná, Koule : Mosaz-chromované, ocelová páčka potažená plastem. Profilované těsnění se sníženým třením. " </t>
  </si>
  <si>
    <t>734991102 SPC</t>
  </si>
  <si>
    <t>D+M Kohout kulový uzavírací DN 15 - Specifikace dle PD - KK</t>
  </si>
  <si>
    <t xml:space="preserve">" Koulový kohout vytápení - DN 15 " </t>
  </si>
  <si>
    <t>734991103 SPC</t>
  </si>
  <si>
    <t>D+M Kohout kulový uzavírací DN 20 - Specifikace dle PD - KK</t>
  </si>
  <si>
    <t xml:space="preserve">" Koulový kohout vytápení - DN 20 " </t>
  </si>
  <si>
    <t>734991104 SPC</t>
  </si>
  <si>
    <t>D+M Kohout kulový uzavírací DN 25 - Specifikace dle PD - KK</t>
  </si>
  <si>
    <t xml:space="preserve">" Koulový kohout vytápení - DN 25 " </t>
  </si>
  <si>
    <t>734991105 SPC</t>
  </si>
  <si>
    <t>D+M Kohout kulový uzavírací DN 32 - Specifikace dle PD - KK</t>
  </si>
  <si>
    <t xml:space="preserve">" Koulový kohout vytápení - DN 32 " </t>
  </si>
  <si>
    <t>734991106 SPC</t>
  </si>
  <si>
    <t>D+M Kohout kulový uzavírací DN 40 - Specifikace dle PD - KK</t>
  </si>
  <si>
    <t>" Koulový kohout vytápení - DN 40 "</t>
  </si>
  <si>
    <t>734991107 SPC</t>
  </si>
  <si>
    <t>D+M Kohout kulový uzavírací DN 50 - Specifikace dle PD - KK</t>
  </si>
  <si>
    <t xml:space="preserve">" Koulový kohout vytápení - DN 50 " </t>
  </si>
  <si>
    <t>734991201 SPC</t>
  </si>
  <si>
    <t>D+M Vypouštěcí ventil s hadicovým připojením DN 15 - Specifikace dle PD - VVT</t>
  </si>
  <si>
    <t xml:space="preserve">" Vypouštěcí venti ls hadicovým připojením - DN 15 " </t>
  </si>
  <si>
    <t xml:space="preserve">" Tělo : Mosaz-choromované. Ovládání: ocelová páčka potažená plastem. " </t>
  </si>
  <si>
    <t>734991202 SPC</t>
  </si>
  <si>
    <t>D+M Vypouštěcí ventil s hadicovým připojením DN 25 - Specifikace dle PD - VVT</t>
  </si>
  <si>
    <t xml:space="preserve">" Vypouštěcí venti ls hadicovým připojením - DN 25 " </t>
  </si>
  <si>
    <t>734991301 SPC</t>
  </si>
  <si>
    <t>D+M Zpětná klapka závitová DN 15 - Specifikace dle PD - ZKZ</t>
  </si>
  <si>
    <t xml:space="preserve">" Zpětná klapka závitová - DN 15 " </t>
  </si>
  <si>
    <t xml:space="preserve">" Tělo : Nerez ocel-závitové, těsnění PTFE. " </t>
  </si>
  <si>
    <t>734991302 SPC</t>
  </si>
  <si>
    <t>D+M Zpětná klapka závitová DN 20 - Specifikace dle PD - ZKZ</t>
  </si>
  <si>
    <t xml:space="preserve">" Zpětná klapka závitová - DN 20 " </t>
  </si>
  <si>
    <t>734991303 SPC</t>
  </si>
  <si>
    <t>D+M Zpětná klapka závitová DN 25 - Specifikace dle PD - ZKZ</t>
  </si>
  <si>
    <t>" Zpětná klapka závitová - DN 25 "</t>
  </si>
  <si>
    <t>734991304 SPC</t>
  </si>
  <si>
    <t>D+M Zpětná klapka závitová DN 32 - Specifikace dle PD - ZKZ</t>
  </si>
  <si>
    <t>" Zpětná klapka závitová - DN 32 "</t>
  </si>
  <si>
    <t>734991305 SPC</t>
  </si>
  <si>
    <t>D+M Zpětná klapka závitová DN 40 - Specifikace dle PD - ZKZ</t>
  </si>
  <si>
    <t xml:space="preserve">" Zpětná klapka závitová - DN 40 " </t>
  </si>
  <si>
    <t>734991401 SPC</t>
  </si>
  <si>
    <t>D+M Filtr závitový DN 15 - Specifikace dle PD - FZ</t>
  </si>
  <si>
    <t xml:space="preserve">" Zavitový filtr - DN 15 " </t>
  </si>
  <si>
    <t xml:space="preserve">" Tělo : Nerez ocel-závitové. Sítko : Nerezové děrované filtrační. Těsnění PTFE. " </t>
  </si>
  <si>
    <t>734991402 SPC</t>
  </si>
  <si>
    <t>D+M Filtr závitový DN 20 - Specifikace dle PD - FZ</t>
  </si>
  <si>
    <t xml:space="preserve">" Zavitový filtr - DN 20 " </t>
  </si>
  <si>
    <t>734991403 SPC</t>
  </si>
  <si>
    <t>D+M Filtr závitový DN 25 - Specifikace dle PD - FZ</t>
  </si>
  <si>
    <t>" Zavitový filtr - DN 25 "</t>
  </si>
  <si>
    <t>734991404 SPC</t>
  </si>
  <si>
    <t>D+M Filtr závitový DN 32 - Specifikace dle PD - FZ</t>
  </si>
  <si>
    <t xml:space="preserve">" Zavitový filtr - DN 32 " </t>
  </si>
  <si>
    <t>734991405 SPC</t>
  </si>
  <si>
    <t>D+M Filtr závitový DN 40 - Specifikace dle PD - FZ</t>
  </si>
  <si>
    <t xml:space="preserve">" Zavitový filtr - DN 40 " </t>
  </si>
  <si>
    <t>734991501 SPC</t>
  </si>
  <si>
    <t>D+M Automatický odvzdušňovací ventil horní se zpětnou klapkou DN 15 - Specifikace dle PD - AOV</t>
  </si>
  <si>
    <t xml:space="preserve">" Automatický odvzdušňovací ventil - DN 15 " </t>
  </si>
  <si>
    <t xml:space="preserve">" Tělo : Mosaz, Pružina : Nerez. Připojení 3/8" (DN 10), Těsnění : EPDM. Max. provozní tlak 10 bar. Max. provozní teplota: +115 °C " </t>
  </si>
  <si>
    <t>734991601 SPC</t>
  </si>
  <si>
    <t>D+M Teploměr DN 15 - Specifikace dle PD - T</t>
  </si>
  <si>
    <t xml:space="preserve">" Teploměr - DN 15 " </t>
  </si>
  <si>
    <t xml:space="preserve">" Připojení : Zadní, centrické. Tělo : Nerez." </t>
  </si>
  <si>
    <t>734991602 SPC</t>
  </si>
  <si>
    <t>D+M Tlakový manometr DN 15 - Specifikace dle PD - M</t>
  </si>
  <si>
    <t xml:space="preserve">" Tlakový manometr - DN 15 " </t>
  </si>
  <si>
    <t xml:space="preserve">" Šroubení : G 1/2" (DN 15), Připojení : Zadní, excentrické. " </t>
  </si>
  <si>
    <t>734991701 SPC</t>
  </si>
  <si>
    <t>D+M Ruční vyvažovací ventil závitový DN 15 - Specifikace dle PD - RVV</t>
  </si>
  <si>
    <t>" Ruční vyvažovací ventil závitový - DN 15 "</t>
  </si>
  <si>
    <t xml:space="preserve">" Tělo: Litina. Těsnění: EPDM. Ovládání: Ruční, plynulé přednastavení. Maximální teplota +120°C. Maximální provozní tlak: PN 16. Kvs: dle přiřazeného DN. " </t>
  </si>
  <si>
    <t>734991702 SPC</t>
  </si>
  <si>
    <t>D+M Ruční vyvažovací ventil závitový DN 20 - Specifikace dle PD - RVV</t>
  </si>
  <si>
    <t>" Ruční vyvažovací ventil závitový - DN 20 "</t>
  </si>
  <si>
    <t>734991703 SPC</t>
  </si>
  <si>
    <t>D+M Ruční vyvažovací ventil závitový DN 25 - Specifikace dle PD - RVV</t>
  </si>
  <si>
    <t xml:space="preserve">" Ruční vyvažovací ventil závitový - DN 25 " </t>
  </si>
  <si>
    <t>734991704 SPC</t>
  </si>
  <si>
    <t>D+M Ruční vyvažovací ventil závitový DN 32 - Specifikace dle PD - RVV</t>
  </si>
  <si>
    <t>" Ruční vyvažovací ventil závitový - DN 32 "</t>
  </si>
  <si>
    <t>734991705 SPC</t>
  </si>
  <si>
    <t>D+M Ruční vyvažovací ventil závitový DN 40 - Specifikace dle PD - RVV</t>
  </si>
  <si>
    <t xml:space="preserve">" Ruční vyvažovací ventil závitový - DN 40 " </t>
  </si>
  <si>
    <t>734991901 SPC</t>
  </si>
  <si>
    <t>D+M Jímka pro čidlo - Specifikace dle PD - JČ</t>
  </si>
  <si>
    <t xml:space="preserve">" Jímka pro čidlo. " </t>
  </si>
  <si>
    <t>734999221 SPC</t>
  </si>
  <si>
    <t>D+M Potrubní oddělovač DN 32 - Specifikace dle PD - PO</t>
  </si>
  <si>
    <t>" Potrubní oddělovač "</t>
  </si>
  <si>
    <t>734999111 SPC</t>
  </si>
  <si>
    <t>D+M Pojistný ventil pro topení DN 15 - Specifikace dle PD - PV</t>
  </si>
  <si>
    <t xml:space="preserve">" Pojistný ventil topení - DN 15 " </t>
  </si>
  <si>
    <t xml:space="preserve">" Tělo: Litina, pružina: nerez, chráněno membránou. Max. provozní tlak 10 bar. Max. provozní teplota + 120 °C " </t>
  </si>
  <si>
    <t>734999112 SPC</t>
  </si>
  <si>
    <t>D+M Pojistný ventil pro topení DN 25 - Specifikace dle PD - PV</t>
  </si>
  <si>
    <t>" Pojistný ventil topení - DN 25 "</t>
  </si>
  <si>
    <t>734999113 SPC</t>
  </si>
  <si>
    <t>D+M Vodoměr DN 20 - Specifikace dle PD - W</t>
  </si>
  <si>
    <t>" Vodoměr - DN 20 "</t>
  </si>
  <si>
    <t>734999101 SPC</t>
  </si>
  <si>
    <t>D+M Čidlo venkovní teploty - Specifikace dle PD - ČVT1</t>
  </si>
  <si>
    <t>" Včetně prokabelování, napojení na elektro. "</t>
  </si>
  <si>
    <t>734999102 SPC</t>
  </si>
  <si>
    <t>D+M Havarijní tlačítko - Specifikace dle PD - HT1</t>
  </si>
  <si>
    <t>734999103 SPC</t>
  </si>
  <si>
    <t>D+M Čidlo teploty v předávající stanici - Specifikace dle PD - ČT1</t>
  </si>
  <si>
    <t>734999104 SPC</t>
  </si>
  <si>
    <t>D+M Čidlo záplavové - Specifikace dle PD - ČZ1</t>
  </si>
  <si>
    <t>734999105 SPC</t>
  </si>
  <si>
    <t>D+M Snímač tlaku v otopné soustavě - Specifikace dle PD - P1</t>
  </si>
  <si>
    <t>734999106 SPC</t>
  </si>
  <si>
    <t>D+M Snímač tlaku ve vodovodní soustavě - Specifikace dle PD - P2</t>
  </si>
  <si>
    <t>734999107 SPC</t>
  </si>
  <si>
    <t>D+M Teplotní čidlo - teplota teplé vody na výstupu z deskového výměníku - Specifikace dle PD - T1</t>
  </si>
  <si>
    <t>734999108 SPC</t>
  </si>
  <si>
    <t>D+M Teplotní čidlo - teplota otopné vody pro větev 1 - otopná tělesa - Specifikace dle PD - T2</t>
  </si>
  <si>
    <t>734999109 SPC</t>
  </si>
  <si>
    <t>D+M Teplotní čidlo - teplota otopné vody pro větev 2 - otopná tělesa - Specifikace dle PD - T3</t>
  </si>
  <si>
    <t>734999110 SPC</t>
  </si>
  <si>
    <t>D+M Teplotní čidlo - teplota otopné vody pro větev 3 - VZT - Specifikace dle PD - T4</t>
  </si>
  <si>
    <t>D+M Teplotní čidlo - teplota teplé vody v zásobníku Z1 - Specifikace dle PD - T5</t>
  </si>
  <si>
    <t>D+M Teplotní čidlo - teplota teplé vody nejdelšího rozvodu na konci rozvodu teplé vody - Specifikace dle PD - T6</t>
  </si>
  <si>
    <t>D+M Teplotní čidlo - teplota teplé vody na vstupu do výměníkové stanice VS2 - Specifikace dle PD - T7</t>
  </si>
  <si>
    <t>734999114 SPC</t>
  </si>
  <si>
    <t>D+M Teplotní čidlo - teplota teplé vody na výstupu do výměníkové stanice VS2 - Specifikace dle PD - T8</t>
  </si>
  <si>
    <t>734999115 SPC</t>
  </si>
  <si>
    <t>D+M Snímač tlaku v otopné soustavě - Specifikace dle PD - P3</t>
  </si>
  <si>
    <t>734999116 SPC</t>
  </si>
  <si>
    <t>D+M Snímač tlaku v soustavě teplé vody ZTI - ohřev TV - Specifikace dle PD - P4</t>
  </si>
  <si>
    <t>734992201 SPC</t>
  </si>
  <si>
    <t>D+M Třícestný regulační směšovací ventil DN 20 - Speifikace dle PD - TSV01</t>
  </si>
  <si>
    <t>" Třícestný regulační směšovací ventil pro VĚTEV 1, DN 20, kvs = 4,0 m3/h, dp = 3,9 kPa, 24 V. Cena vč. pohonu. "</t>
  </si>
  <si>
    <t>734992202 SPC</t>
  </si>
  <si>
    <t>D+M Třícestný regulační směšovací ventil DN 25 - Speifikace dle PD - TSV02</t>
  </si>
  <si>
    <t>" Třícestný regulační směšovací ventil pro VĚTEV 2, DN 25, kvs = 6,3 m3/h, dp = 3,6 kPa, 24 V. Cena vč. pohonu. "</t>
  </si>
  <si>
    <t>734992203 SPC</t>
  </si>
  <si>
    <t>D+M Dvoucestný regulační směšovací ventil DN 10 - Speifikace dle PD - TNRV-S01</t>
  </si>
  <si>
    <t>" Dvoucestný regulační ventil pro VZT č.1, DN 10, nastavení 1,4; kv = 0,37 m3/h, dp = 15,2 kPa, 24 V. Cena vč. pohonu. "</t>
  </si>
  <si>
    <t>734992204 SPC</t>
  </si>
  <si>
    <t>D+M Dvoucestný regulační směšovací ventil DN 25 - Speifikace dle PD - TNRV-S02</t>
  </si>
  <si>
    <t>" Dvoucestný regulační ventil pro VZT č.2, DN 25, nastavení 2,5; kv = 5,3 m3/h, dp = 18,7 kPa, 24 V. Cena vč. pohonu. "</t>
  </si>
  <si>
    <t>73499901 SPC</t>
  </si>
  <si>
    <t>D+M Armatury, prvky a vybavení pro rozvody vytápění více nespecifikované</t>
  </si>
  <si>
    <t>" Armatury, prvky a vybavení pro rozvody vytápění nutné pro zajištění prací, uvedené v PD, či nutné pro zajištění správné funkčnosti, ale nespecifikované v soupise prací. "</t>
  </si>
  <si>
    <t>" V položce zahrnuty nutné ventily (automatické odvzdušňovací, vypouštěcí ventily, apod), případná napojení na zařízení a jednotky UT, VZT, CHL, či prvky ve vyšším množství, či jiných dimenzích a rozměrech, než je specifikováno - např. pro nutnou výměnu stávajících prvků během realizace v důsledku poškození, apod., se kterou nebylo uvažováno - kulové kohouty, revizní dvířka, a další veškeré prvky a armatury pro rozvody vytápění. "</t>
  </si>
  <si>
    <t>Přesun hmot procentní pro armatury v objektech v přes 6 do 12 m</t>
  </si>
  <si>
    <t>" Stavební práce a dodávky spojené s provedením funkčního celku 734 "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</si>
  <si>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</si>
  <si>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</si>
  <si>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</si>
  <si>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</si>
  <si>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</si>
  <si>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</si>
  <si>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 xml:space="preserve">Odvzdušnění otopných těles </t>
  </si>
  <si>
    <t>Napuštění vody do otopných těles</t>
  </si>
  <si>
    <t>735901101 SPC</t>
  </si>
  <si>
    <t xml:space="preserve">Zkoušky provozní dilatační </t>
  </si>
  <si>
    <t>735901102 SPC</t>
  </si>
  <si>
    <t xml:space="preserve">Zkoušky provozní topná </t>
  </si>
  <si>
    <t>735901103 SPC</t>
  </si>
  <si>
    <t xml:space="preserve">Zaregulování, vyvážení, seřízení a vyregulování otopného systému </t>
  </si>
  <si>
    <t>735999101 SPC</t>
  </si>
  <si>
    <t>D+M Otopné těleso trubkové KLMM výška/délka 1500/600 mm - Specifikace dle PD</t>
  </si>
  <si>
    <t xml:space="preserve">" Trubkové otopné těleso které umožňuje spodní středové připojení na otopnou soustavu s nuceným i samotížným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</si>
  <si>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</si>
  <si>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</si>
  <si>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735999103 SPC</t>
  </si>
  <si>
    <t>D+M Otopné těleso trubkové KLMM výška/délka 1500/450 mm - Specifikace dle PD</t>
  </si>
  <si>
    <t>735999201 SPC</t>
  </si>
  <si>
    <t>D+M Otopné těleso deskové, typ 22 , výška / délka 600/400 mm - Specifikace dle PD</t>
  </si>
  <si>
    <t xml:space="preserve">" Deskové otopné těleso které umožňuje spodní pravé/levé připojení na otopnou soustavu s nuceným oběhem. " </t>
  </si>
  <si>
    <t>" Součástí dodávky: Konzoly pro uchycení na stěnu, kotvící prvky, odvzdušňovací ventil,  přímé šroubení regulační, rohové uzavírací šroubení, termoregulační ventil, zaslepovací zátky,termostatická hlavice a ostatní prvky pro zajištění funkčnosti celku  "</t>
  </si>
  <si>
    <t>735999202 SPC</t>
  </si>
  <si>
    <t>D+M Otopné těleso deskové, typ 22 , výška / délka 600/500 mm - Specifikace dle PD</t>
  </si>
  <si>
    <t>735999203 SPC</t>
  </si>
  <si>
    <t>D+M Otopné těleso deskové, typ 22 , výška / délka 600/600 mm - Specifikace dle PD</t>
  </si>
  <si>
    <t>735999204 SPC</t>
  </si>
  <si>
    <t>D+M Otopné těleso deskové, typ 22 , výška / délka 600/700 mm - Specifikace dle PD</t>
  </si>
  <si>
    <t>735999205 SPC</t>
  </si>
  <si>
    <t>D+M Otopné těleso deskové, typ 22 , výška / délka 600/800 mm - Specifikace dle PD</t>
  </si>
  <si>
    <t>735999206 SPC</t>
  </si>
  <si>
    <t>D+M Otopné těleso deskové, typ 22 , výška / délka 600/900 mm - Specifikace dle PD</t>
  </si>
  <si>
    <t>735999207 SPC</t>
  </si>
  <si>
    <t>D+M Otopné těleso deskové, typ 22 , výška / délka 600/1000 mm - Specifikace dle PD</t>
  </si>
  <si>
    <t>735999208 SPC</t>
  </si>
  <si>
    <t>D+M Otopné těleso deskové, typ 22 , výška / délka 600/1100 mm - Specifikace dle PD</t>
  </si>
  <si>
    <t>735999209 SPC</t>
  </si>
  <si>
    <t>D+M Otopné těleso deskové, typ 22 , výška / délka 600/1200 mm - Specifikace dle PD</t>
  </si>
  <si>
    <t>735999210 SPC</t>
  </si>
  <si>
    <t>D+M Otopné těleso deskové, typ 22 , výška / délka 600/1400 mm - Specifikace dle PD</t>
  </si>
  <si>
    <t>735999211 SPC</t>
  </si>
  <si>
    <t>D+M Otopné těleso deskové, typ 22 , výška / délka 600/1600 mm - Specifikace dle PD</t>
  </si>
  <si>
    <t>735999212 SPC</t>
  </si>
  <si>
    <t>D+M Otopné těleso deskové, typ 22 , výška / délka 700/700 mm - Specifikace dle PD</t>
  </si>
  <si>
    <t>735999213 SPC</t>
  </si>
  <si>
    <t>D+M Otopné těleso deskové, typ 33 výška / délka 600/1200 mm - Specifikace dle PD</t>
  </si>
  <si>
    <t>735999214 SPC</t>
  </si>
  <si>
    <t>D+M Otopné těleso deskové, typ 33 výška / délka 900/1200 mm - Specifikace dle PD</t>
  </si>
  <si>
    <t xml:space="preserve">" 1.PP " </t>
  </si>
  <si>
    <t>735999901 SPC</t>
  </si>
  <si>
    <t>D+M Ostatní práce spojené s úpravou UT - Specifikace dle PD</t>
  </si>
  <si>
    <t>" Ostatní práce spojení s potrubím vytápění při části rekonstrukce / napojení na stávající rozvody. "</t>
  </si>
  <si>
    <t>" V ceně:
 - celkové vypouštění a napouštění části systému UT + opětovné napuštění po provedení prací;
 - odvzdušnění stávajícího systému vytápění;
 - další potřebné dodávky a práce na stávajícím otopném systému spojené s dodatečnou demontáží a zpětnou montáží potrubí. "</t>
  </si>
  <si>
    <t>735999991 SPC</t>
  </si>
  <si>
    <t>D+M Bezpečnostní štítky pro označení zařízení UT  - Specifikace dle PD</t>
  </si>
  <si>
    <t>Přesun hmot procentní pro otopná tělesa v objektech v přes 6 do 12 m</t>
  </si>
  <si>
    <t>" Stavební práce a dodávky spojené s provedením funkčního celku 735 "</t>
  </si>
  <si>
    <t>D.1.4.1.b.11 AREÁLOVÝ VODOVOD</t>
  </si>
  <si>
    <t>D.1.4.1.b.08 ARÁLOVÁ KANALIZACE + BOURACÍ PRÁCE</t>
  </si>
  <si>
    <t>Objekt:   D.1.4.1. ZTI</t>
  </si>
  <si>
    <t>" Příplatek - 3 % " (121,48+80,99)*0,03</t>
  </si>
  <si>
    <t>Vykopávky v uzavřených prostorech v hornině třídy těžitelnosti I skupiny 1 až 3 ručně</t>
  </si>
  <si>
    <t xml:space="preserve">" Vykopávky uvnitř objektu pro svodné kanalizační potrubí v horninách třídy těžitelnosti I - 60 % z celkové kubatury. " </t>
  </si>
  <si>
    <t>" Hloubení rýh pro svodné potrubí splaškové kanalizace " ((28,44*1,5)*0,8)*0,6</t>
  </si>
  <si>
    <t>" Hloubení rýh pro svodné potrubí splaškové kanalizace u napojení na stavající prostup " ((22,72*2,7)*0,8)*0,6</t>
  </si>
  <si>
    <t>" Hloubení rýh pro svodné potrubí tukové kanalizace u napojení na stávající prostup " ((10,26*2,7)*0,8)*0,6</t>
  </si>
  <si>
    <t>" Hloubení rýh pro svodné potrubí tukové kanalizace " ((80,92*1,5)*0,8)*0,6</t>
  </si>
  <si>
    <t>" POZN: Jedná se o předpokládanou délku pro výkop pro nové svodné potrubí. Přesná délka bude určena až během realizace. "</t>
  </si>
  <si>
    <t>" POZN: Neuvažován přesun zeminy na očasnou skládku a z dočasné skládky. Uvažováno s uložením zeminy v místě výkopu pro zpětný zásyp. "</t>
  </si>
  <si>
    <t>Vykopávky v uzavřených prostorech v hornině třídy těžitelnosti II skupiny 4 až 5 ručně</t>
  </si>
  <si>
    <t xml:space="preserve">" Vykopávky uvnitř objektu pro svodné kanalizační potrubí v horninách třídy těžitelnosti I - 40 % z celkové kubatury. " </t>
  </si>
  <si>
    <t>" Hloubení rýh pro svodné potrubí splaškové kanalizace " ((28,44*1,5)*0,8)*0,4</t>
  </si>
  <si>
    <t>" Hloubení rýh pro svodné potrubí splaškové kanalizace u napojení na stavající prostup " ((22,72*2,7)*0,8)*0,4</t>
  </si>
  <si>
    <t>" Hloubení rýh pro svodné potrubí tukové kanalizace u napojení na stávající prostup " ((10,26*2,7)*0,8)*0,4</t>
  </si>
  <si>
    <t>" Hloubení rýh pro svodné potrubí tukové kanalizace " ((80,92*1,5)*0,8)*0,4</t>
  </si>
  <si>
    <t>Zřízení příložného pažení a rozepření stěn rýh hl do 2 m</t>
  </si>
  <si>
    <t>" Pažení rýh pro svodné potrubí kanalizace - 50 % z celkové plochy "</t>
  </si>
  <si>
    <t>" Hloubení rýh pro svodné potrubí splaškové kanalizace " ((28,44*1,5)*2)*0,5</t>
  </si>
  <si>
    <t>" Hloubení rýh pro svodné potrubí tukové kanalizace " ((80,92*1,5)*2)*0,5</t>
  </si>
  <si>
    <t>Zřízení příložného pažení a rozepření stěn rýh hl přes 2 do 4 m</t>
  </si>
  <si>
    <t>" Hloubení rýh pro svodné potrubí splaškové kanalizace u napojení na stavající prostup " ((22,72*2,7)*2)*0,5</t>
  </si>
  <si>
    <t>" Hloubení rýh pro svodné potrubí tukové kanalizace u napojení na stávající prostup " ((10,26*2,7)*2)*0,5</t>
  </si>
  <si>
    <t>Odstranění příložného pažení a rozepření stěn rýh hl do 2 m</t>
  </si>
  <si>
    <t>Odstranění příložného pažení a rozepření stěn rýh hl přes 2 do 4 m</t>
  </si>
  <si>
    <t>Vodorovné přemístění do 10 m nošením výkopku z horniny třídy těžitelnosti I skupiny 1 až 3</t>
  </si>
  <si>
    <t>" Přesun zeminy z objektu z 1. PP - přebytečná zemina pro odvoz na skládku. "  (121,48)</t>
  </si>
  <si>
    <t>" V ceně také vyprázdnění na hromadu. "</t>
  </si>
  <si>
    <t xml:space="preserve">" POZN: Pro zpětný zásyp uvažováno se zeminou třídy těžitelnosti I v množství 100 %.  " </t>
  </si>
  <si>
    <t>Vodorovné přemístění do 10 m nošením výkopku z horniny třídy těžitelnosti II skupiny 4 a 5</t>
  </si>
  <si>
    <t>" Přesun zeminy z objektu z 1. PP - přebytečná zemina pro odvoz na skládku. "  (80,99)</t>
  </si>
  <si>
    <t>Příplatek k vodorovnému přemístění nošením za každých dalších 10 m nošení výkopku z horniny třídy těžitelnosti I skupiny 1 až 3</t>
  </si>
  <si>
    <t>" Přesun zeminy z objektu ven - příplatek za vzdálenost od 10 do max. 100 m " (121,48)*9</t>
  </si>
  <si>
    <t>" POZN: Uvažováno do vzdálenosti 100 m - vzdálenost dočasné skládky. Následné naložení pro odvoz naceněno v položce č. 30. "</t>
  </si>
  <si>
    <t>Příplatek k vodorovnému přemístění nošením za každých dalších 10 m nošení výkopku z horniny třídy těžitelnosti II skupiny 4 a 5</t>
  </si>
  <si>
    <t>" Přesun zeminy z objektu ven - příplatek za vzdálenost od 10 do max. 100 m " (80,99)*9</t>
  </si>
  <si>
    <t>" Zásyp svodného potrubí kanalizace vykopanou zeminou - potrubí v místě stávajícího objektu "  (22,75*0,95)+(18,18*2,15)+(8,21*2,15)+(64,74*0,95)</t>
  </si>
  <si>
    <t>Obsypání potrubí ručně sypaninou bez prohození, uloženou do 3 m</t>
  </si>
  <si>
    <t>" Obsyp potrubí štěrkem pro kanalizaci "</t>
  </si>
  <si>
    <t>" Obsyp svodného potrubí kanalizace štěrkem - potrubí v místě stávajícího objektu - tl. 400 mm "  113,87*0,4</t>
  </si>
  <si>
    <t>kamenivo drcené hrubé frakce 8/16</t>
  </si>
  <si>
    <t>" Obsyp svodného potrubí kanalizace štěrkem - potrubí v místě stávajícího objektu " (45,55)*2,0</t>
  </si>
  <si>
    <t>" Odvoz zeminy z výkopových prací - rýhy pro svodné potrubí a úpravu šachet " (121,48)</t>
  </si>
  <si>
    <t>" Odečet zeminy určený pro zpětný zásyp " -(139,85*0,6)</t>
  </si>
  <si>
    <t>" Odvoz zeminy z výkopových prací - rýhy pro svodné potrubí a úpravu šachet " (80,99)</t>
  </si>
  <si>
    <t>" Odečet zeminy určený pro zpětný zásyp " -(139,85*0,4)</t>
  </si>
  <si>
    <t>" - Nakládání výkopku z hornin třídy těžitelnosti I skupiny 1 až 3 do 100 m3 "</t>
  </si>
  <si>
    <t>" - Nakládání výkopku z hornin třídy těžitelnosti II skupiny 4 a 5 do 100 m3 "</t>
  </si>
  <si>
    <t>" - Vodorovné přemístění do 10000 m výkopku/sypaniny z horniny třídy těžitelnosti I, skupiny 1 až 3 "</t>
  </si>
  <si>
    <t>" POZN: Pro zpětné zásypy uvažovány třídy těžitelnosti I a II. % množství vytěžené zeminy z třídy III je rovnoměrně rozděleno mezi výše uvedené třídy. "</t>
  </si>
  <si>
    <r>
      <t>"  Včetně naložení, svislého a vodorovného přesunu zeminy / sypaniny / výkopku. 
Likvidace v souladu se zákonem č. 541/2020 Sb.</t>
    </r>
    <r>
      <rPr>
        <sz val="8"/>
        <color rgb="FF0000FF"/>
        <rFont val="Arial CE"/>
        <family val="2"/>
        <charset val="238"/>
      </rPr>
      <t xml:space="preserve"> O odpadech vč. správného začleněné dle přílohy č. 1 vyhlášky č. 8/2021 o Katalogu odpadů a posuzování vlastností odpadů (Katalog odpadů).</t>
    </r>
    <r>
      <rPr>
        <sz val="8"/>
        <color rgb="FFFF0000"/>
        <rFont val="Arial CE"/>
        <family val="2"/>
        <charset val="238"/>
      </rPr>
      <t xml:space="preserve"> 
</t>
    </r>
    <r>
      <rPr>
        <sz val="8"/>
        <color indexed="12"/>
        <rFont val="Arial CE"/>
        <family val="2"/>
        <charset val="238"/>
      </rPr>
      <t>Likvidace dle technologie na místa určené zhotovitelem, včetně poplatků za uložení zeminy / sypaniny / výkopku. "</t>
    </r>
  </si>
  <si>
    <t xml:space="preserve">Lože pod potrubí otevřený výkop z písku a štěrkopísku </t>
  </si>
  <si>
    <t>" Lože z písku pro svodné kanalizační potrubí - potrubí v místě stávajícího objektu - tl. 150 mm "  (28,44+22,72+10,26+80,92)*0,8*0,15</t>
  </si>
  <si>
    <t>871999701 SPC</t>
  </si>
  <si>
    <t xml:space="preserve">D+M Prostup potrubí kanalizace základy - Specifikace dle PD </t>
  </si>
  <si>
    <t>" Prostup potrubí základy "</t>
  </si>
  <si>
    <t>" V ceně chránička, kotvení chráničky, vytvoření a zapravení prostupů, systémové utěsnění prostupu, napojení na svislou hydroizolaci.vč. přesunu hmot "</t>
  </si>
  <si>
    <t>899999101 SPC</t>
  </si>
  <si>
    <t>D+M Označovací štítky pro prvky kanalizace a napojení - Specifikace dle PD</t>
  </si>
  <si>
    <t>" Označovací a informační štítky (označníky) napojení a armatur kanalizace na šachty nově umístěné uvnitř objektu - např. pro umístění na stěnu, apod. "</t>
  </si>
  <si>
    <t>" Označení prvků a zařízení - např. šachet, nádrží, teleskopické soupravy, napojení, apod. "</t>
  </si>
  <si>
    <t>" V ceně veškerý kotvící a upevňovací materiál, a další příslušenství (vč. spreje např. pro nástřik) vč. dopsání informací a přesunu hmot. "</t>
  </si>
  <si>
    <t>271</t>
  </si>
  <si>
    <t>998276101 SPC</t>
  </si>
  <si>
    <t>Přesun hmot pro trubní vedení z trub z plastických hmot otevřený výkop</t>
  </si>
  <si>
    <t xml:space="preserve">" Přesun hmot pro kanalizaci - část v původním objektu " </t>
  </si>
  <si>
    <t>26</t>
  </si>
  <si>
    <t>998276124 RTO</t>
  </si>
  <si>
    <t>Příplatek k přesunu hmot pro trubní vedení z trub z plastických hmot za zvětšený přesun do 200 m ručně nebo kolečkem</t>
  </si>
  <si>
    <t>" Příplatek za přesun hmot pro kanalizaci - vzdálenost do 200 m ručně nebo kolečkem. " (0,017+12,8+4,538)</t>
  </si>
  <si>
    <t>HZS1291</t>
  </si>
  <si>
    <t>Hodinová zúčtovací sazba pomocný stavební dělník</t>
  </si>
  <si>
    <t>Zdravotně technické instalace budov - Vnitřní kanalizace</t>
  </si>
  <si>
    <t>Potrubí kanalizační z PVC SN 4 svodné DN 110</t>
  </si>
  <si>
    <t>" Potrubí KG PVC, SN4 hrdlové. "</t>
  </si>
  <si>
    <t>" Jídelna " (59,2)*1,1</t>
  </si>
  <si>
    <t>" V ceně veškeré příslušenství, tvarovky,kotvící prvky a spojovací materiál. "</t>
  </si>
  <si>
    <t>Potrubí kanalizační z PVC SN 4 svodné DN 125</t>
  </si>
  <si>
    <t>" Jídelna " (86,72)*1,1</t>
  </si>
  <si>
    <t>Potrubí kanalizační z PVC SN 4 svodné DN 160</t>
  </si>
  <si>
    <t>" Jídelna " (12,7)*1,1</t>
  </si>
  <si>
    <t>Potrubí kanalizační z PP připojovací DN 40</t>
  </si>
  <si>
    <t>" Potrubí HT PP, hrdlové. "</t>
  </si>
  <si>
    <t>" Jídelna " (17,0)*1,1</t>
  </si>
  <si>
    <t>Potrubí kanalizační z PP připojovací DN 50</t>
  </si>
  <si>
    <t>" Jídelna " (49,7)*1,1</t>
  </si>
  <si>
    <t>Potrubí kanalizační z PP připojovací DN 75</t>
  </si>
  <si>
    <t>" Jídelna " (4,3)*1,1</t>
  </si>
  <si>
    <t>Potrubí kanalizační z PP připojovací DN 110</t>
  </si>
  <si>
    <t>" Jídelna " (12,9)*1,1</t>
  </si>
  <si>
    <t>Potrubí kanalizační z PP odpadní odhlučněné třívrstvé DN 75</t>
  </si>
  <si>
    <t>" Potrubí odhlučněné z PP. "</t>
  </si>
  <si>
    <t>" Jídelna " (57,7)*1,1</t>
  </si>
  <si>
    <t>Potrubí kanalizační z PP odpadní odhlučněné třívrstvé DN 110</t>
  </si>
  <si>
    <t>" Jídelna " (44,2)*1,1</t>
  </si>
  <si>
    <t>722175901 SPC</t>
  </si>
  <si>
    <t xml:space="preserve">D+M Potrubí pro odvod kondenzátu, Systém PPR PN10, D 25x2,3 mm - Specifikace dle PD </t>
  </si>
  <si>
    <t>" Vrstvené potrubí pro odvod kondenzátu s hliníkovou vložkou . "</t>
  </si>
  <si>
    <t>" Jídelna " (19,2)*1,1</t>
  </si>
  <si>
    <t>" V ceně veškeré příslušenství, tvarovky, kotvící prvky a spojovací materiál. "</t>
  </si>
  <si>
    <t>722175902 SPC</t>
  </si>
  <si>
    <t xml:space="preserve">D+M Potrubí pro odvod kondenzátu, Systém PPR PN10, D 32x2,9 mm - Specifikace dle PD </t>
  </si>
  <si>
    <t>" Jídelna " (32,4)*1,1</t>
  </si>
  <si>
    <t>722175903 SPC</t>
  </si>
  <si>
    <t xml:space="preserve">D+M Potrubí pro odvod kondenzátu, Systém PPR PN10, D 40x3,7 mm - Specifikace dle PD </t>
  </si>
  <si>
    <t>721211901 SPC</t>
  </si>
  <si>
    <t>D+M Podlahová vpusť - plast - Specifikace dle PD - VP</t>
  </si>
  <si>
    <t>" Součástí nerezová vtoková mřížka, kombinovaná zápachová uzavírka, prodlužovací nástavec s izolační přírubou + izolační souprava, nástavec se zápachovým uzávěrem kombinovaným a mřížkou, svislý odtok DN 75. "</t>
  </si>
  <si>
    <t xml:space="preserve">" Podlahová vpusť pro kanalizaci " </t>
  </si>
  <si>
    <t>" VP1 "</t>
  </si>
  <si>
    <t>" VP2 "</t>
  </si>
  <si>
    <t>" VP3 "</t>
  </si>
  <si>
    <t>" Cena zahrnuje náklady na osazovaný předmět, včetně jeho osazení, upevnění a napojení, přípojné potrubí (kanalizační), včetně tvarovek, montážní materiál a zednické výpomoci. "</t>
  </si>
  <si>
    <t>721273901 SPC</t>
  </si>
  <si>
    <t>D+M Větrací hlavice - Specifikace dle PD - VH</t>
  </si>
  <si>
    <t>" Plastová větrací hlavice na kanalizačním potrubí. Délka 500 mm. "</t>
  </si>
  <si>
    <t>" VH1 "</t>
  </si>
  <si>
    <t>" VH2 "</t>
  </si>
  <si>
    <t>" V ceně napojení na potrubí, a veškeré těsnící a další prvky. "</t>
  </si>
  <si>
    <t>721241901 SPC</t>
  </si>
  <si>
    <t>D+M Lapač střešních splavenin - plastový - Specifikace dle PD - LSS</t>
  </si>
  <si>
    <t>" Lapač střešních splavenim - plastová "</t>
  </si>
  <si>
    <t>" Lapač střešních splavenin s vyjímatelným košem a veškerým nutným příslušenstvím.</t>
  </si>
  <si>
    <t>" Cena zahrnuje náklady na osazovaný předmět, včetně jeho osazení, upevnění a napojení, přípojné potrubí (kanalizační), včetně tvarovek, protizápachové uzávěrky,  montážní materiál a zednické výpomoci."</t>
  </si>
  <si>
    <t>Zkouška těsnosti potrubí kanalizace vodou do DN 125</t>
  </si>
  <si>
    <t>" Zkouška těsnosti kanalizace - potrubí odvodu kondenzátu - D 25×2,3  " (19,2)</t>
  </si>
  <si>
    <t>" Zkouška těsnosti kanalizace - potrubí odvodu kondenzátu - D 32×2,9  " (32,4)</t>
  </si>
  <si>
    <t>" Zkouška těsnosti kanalizace - potrubí odvodu kondenzátu - D 40×3,7  " (4,3)</t>
  </si>
  <si>
    <t>" Zkouška těsnosti kanalizace - DN 40  " (17)</t>
  </si>
  <si>
    <t>" Zkouška těsnosti kanalizace - DN 50  " (49,7)</t>
  </si>
  <si>
    <t>" Zkouška těsnosti kanalizace - DN 75  " (57,7+4,3)</t>
  </si>
  <si>
    <t>" Zkouška těsnosti kanalizace - DN 110  " (44,2+12,9+59,2)</t>
  </si>
  <si>
    <t>" Zkouška těsnosti kanalizace - DN 125  " (86,72)</t>
  </si>
  <si>
    <t>Zkouška těsnosti potrubí kanalizace vodou DN 150/DN 200</t>
  </si>
  <si>
    <t>" Zkouška těsnosti kanalizace - DN 160 " (12,7)</t>
  </si>
  <si>
    <t>721299101 SPC</t>
  </si>
  <si>
    <t>D+M Čistící kus kanalizačního potrubí DN 75 - Specifikace dle PD</t>
  </si>
  <si>
    <t>" Čistící kusy na potrubí "kanalizace - třívrstvé odhlučněné. "</t>
  </si>
  <si>
    <t xml:space="preserve">" Jídelna " </t>
  </si>
  <si>
    <t>721299102 SPC</t>
  </si>
  <si>
    <t>D+M Čistící kus kanalizačního potrubí DN 110 - Specifikace dle PD</t>
  </si>
  <si>
    <t>721299103 SPC</t>
  </si>
  <si>
    <t>D+M Čistící kus kanalizačního potrubí DN 125 - Specifikace dle PD</t>
  </si>
  <si>
    <t>721299201 SPC</t>
  </si>
  <si>
    <t>D+M Kondenzační sifon pro odvod kondenzátu - Specifikace dle PD</t>
  </si>
  <si>
    <t xml:space="preserve">" Kondenzační sifon pro odvod kondenzátu. " </t>
  </si>
  <si>
    <t>" V ceně napojení, veškerý kotvící a spojovací materiál, apod. "</t>
  </si>
  <si>
    <t>721299601 SPC</t>
  </si>
  <si>
    <t>D+M Revizní dvířka 200×200 mm - do SDK konstrukce  - Specifikace dle PD</t>
  </si>
  <si>
    <t xml:space="preserve">" Revizní dvířka pro kanalizaci do SDK stěny / příčky " </t>
  </si>
  <si>
    <t>" V ceně také úprava konstrukce po osazení dvířek. "</t>
  </si>
  <si>
    <t>721999101 SPC</t>
  </si>
  <si>
    <t>D+M Napojení potrubí kanalizace na jednotky profesí - Specifikace dle PD</t>
  </si>
  <si>
    <t xml:space="preserve">" Napojení potrubí kanalizace na VZT jednotky " </t>
  </si>
  <si>
    <t xml:space="preserve">" V ceně veškerý nutný materiál (potrubí, příslušenství, veškeré nutné tvarovky vč, případné redukce, kotvící, těsnící a spojovací prvky, …) a práce související s napojením potrubí. " </t>
  </si>
  <si>
    <t>721999701 SPC</t>
  </si>
  <si>
    <t>D+M Prostupy potrubí včetně chrániček - Specifikace dle PD</t>
  </si>
  <si>
    <t>" Případné nutné prostupy pro potrubí kanalizace skrze konstrukce vč. chrániček - např. pro napojení. "</t>
  </si>
  <si>
    <t>" V ceně případné vytvoření prostupu, zapravení prostupu, chránička potrubí, nasunutí potrubí do chráničky, utěsnění potrubí, manžety apod. "</t>
  </si>
  <si>
    <t>" Armatury, prvky a vybavení pro rozvody kanalizace nutné pro zajištění prací, uvedené v PD, či nutné pro zajištění správné funkčnosti, ale nespecifikované v soupise prací. "</t>
  </si>
  <si>
    <t>" V položce zahrnuty nutné přivzdušňovací ventily, zpětné klapky, větrací hlavice, zajištění napojení na jednotky VZT, CHL, UT, či prvky ve vyšším množství, či jiných dimenzích a rozměrech, než je specifikováno  - např. pro nutnou výměnu stávajících prvků během realizace v důsledku poškození, apod., se kterou nebylo uvažováno - čistící kusy, revizní dvířka vč. protipožárních, poklopy pro čistící kusy v podlaze, sifony pro odvod kondenzátu, a další veškeré prvky a armatury pro rozvody kanalizace. "</t>
  </si>
  <si>
    <t>721999802 SPC</t>
  </si>
  <si>
    <t>D+M Ostatní práce spojené s kanalizací - Specifikace dle PD</t>
  </si>
  <si>
    <t>" Ostatní práce spojení s kanalizačním potrubím při části rekonstrukce / napojení na stávající rozvody. "</t>
  </si>
  <si>
    <t>" V ceně:
 - zajištění nulového průtoku dešťových vod a splašků po vybourání a před napojením nového potrubí na stávající - např. zaslepením, pokyny, cedulemi, apod.;
 -  případný průzkum stávajícího potrubí
 - zkouška těsnosti příp. vyčištění stávajícího potrubí po napojení a opětovném zprovoznění;
 - napojení potrubí na zařízení jiných profesí
 - další potřebné dodávky a práce na stávajícím kanalizačním systému spojené s přerušením vedení a napojením na stávající rozvody potrubí. "</t>
  </si>
  <si>
    <t>721999901 SPC</t>
  </si>
  <si>
    <t>" Zajištění prostupů potrubí kanalizace mezi jednotlivými požárními úseky protipožárními prvky - ucpávkami, tmely, pěny, disky, apod. - požadované požární odolnosti. "</t>
  </si>
  <si>
    <t>" Předpokládané protipožární prvky</t>
  </si>
  <si>
    <t>721999991 SPC</t>
  </si>
  <si>
    <t>Přesun hmot procentní pro vnitřní kanalizaci v objektech v přes 6 do 12 m</t>
  </si>
  <si>
    <t xml:space="preserve">" Stavební práce a dodávky spojené s provedením funkčního celku 721. " </t>
  </si>
  <si>
    <t>Zdravotně technické instalace budov - Vnitřní vodovod</t>
  </si>
  <si>
    <t>Potrubí vodovodní ocelové závitové pozinkované svařované běžné DN 25</t>
  </si>
  <si>
    <t>" Potrubí ocelové pro rozvod požární vody "</t>
  </si>
  <si>
    <t>" Požární voda - DN 25 (D 31,8×2,6) " (20,30)*1,1</t>
  </si>
  <si>
    <t>Potrubí vodovodní ocelové závitové pozinkované svařované běžné DN 32</t>
  </si>
  <si>
    <t>" Požární voda - DN 32 (D 38,0×2,6) " (9,80)*1,1</t>
  </si>
  <si>
    <t>722175002 RTO</t>
  </si>
  <si>
    <t>D+M Potrubí vodovodní plastové Systém Stabi Plus, D 20x2,8 mm + TI tl. 9 mm - Specifikace dle PD</t>
  </si>
  <si>
    <t>" Vrstvené potrubí vodovodní plastové s hliníkovou vložkou + Izolace návlekovou izolační hadicí z pěnového polyetylenu tl. 9 mm v celé délce potrubí včetně kolen a odboček  "</t>
  </si>
  <si>
    <t>" - Potrubí vodovodní plastové Systém Stabi Plus, D 20x2,8 mm " (273,60)*1,1</t>
  </si>
  <si>
    <t>" - Ochrana vodovodního potrubí přilepenými termoizolačními trubicemi z PE tl přes 6 do 9 mm DN do 22 mm " (273,60)*1,1</t>
  </si>
  <si>
    <t>" Studená voda " 273,60</t>
  </si>
  <si>
    <t>722175002 RT1</t>
  </si>
  <si>
    <t>D+M Potrubí vodovodní plastové Systém Stabi Plus, D 20x2,8 mm + TI tl. 40 mm - Specifikace dle PD</t>
  </si>
  <si>
    <t>" Vrstvené potrubí vodovodní plastové s hliníkovou vložkou + Izolace návlekovou izolační hadicí z minerální vlny tl. 40 mm v celé délce potrubí včetně kolen a odboček  "</t>
  </si>
  <si>
    <t>" - Potrubí vodovodní plastové Systém Stabi Plus, D 20x2,8 mm " (277,80)*1,1</t>
  </si>
  <si>
    <t xml:space="preserve">" - Montáž izolace tepelné potrubí potrubními pouzdry s Al fólií staženými Al páskou 1x D do 50 mm " </t>
  </si>
  <si>
    <t>63154570 RTO</t>
  </si>
  <si>
    <t>" - pouzdro izolační potrubní z minerální vlny s Al fólií, TI tl. 40mm " (277,80)*1,1</t>
  </si>
  <si>
    <t>" Teplá a cirkulační voda " (277,80)</t>
  </si>
  <si>
    <t>722175003 RTO</t>
  </si>
  <si>
    <t xml:space="preserve">D+M Potrubí vodovodní plastové Systém Stabi Plus, D 25x3,5 mm + TI tl. 9 mm - Specifikace dle PD </t>
  </si>
  <si>
    <t>" - Potrubí vodovodní plastové Systém Stabi Plus, D 25x3,5 mm " (86,90)*1,1</t>
  </si>
  <si>
    <t>" - Ochrana vodovodního potrubí přilepenými termoizolačními trubicemi z PE tl přes 6 do 9 mm DN do 22 mm " (86,90)*1,1</t>
  </si>
  <si>
    <t>" Studená voda " 86,90</t>
  </si>
  <si>
    <t>722175003 RT1</t>
  </si>
  <si>
    <t xml:space="preserve">D+M Potrubí vodovodní plastové Systém Stabi Plus, D 25x3,5 mm + TI tl. 40 mm - Specifikace dle PD </t>
  </si>
  <si>
    <t>" - Potrubí vodovodní plastové Systém Stabi Plus, D 25x3,5 mm " (90,10)*1,1</t>
  </si>
  <si>
    <t>63154571 RTO</t>
  </si>
  <si>
    <t>" - pouzdro izolační potrubní z minerální vlny s Al fólií, TI tl. 40mm " (90,10)*1,1</t>
  </si>
  <si>
    <t>" Teplá a cirkulační voda " (90,10)</t>
  </si>
  <si>
    <t>722175004 RTO</t>
  </si>
  <si>
    <t xml:space="preserve">D+M Potrubí vodovodní plastové Systém Stabi Plus, D 32x4,4 mm + TI tl. 9 mm - Specifikace dle PD </t>
  </si>
  <si>
    <t>" - Potrubí vodovodní plastové Systém Stabi Plus, D 32x4,4 mm " (79,80)*1,1</t>
  </si>
  <si>
    <t>" - Ochrana vodovodního potrubí přilepenými termoizolačními trubicemi z PE tl přes 6 do 9 mm DN přes 22 do 45 mm " (79,80)*1,1</t>
  </si>
  <si>
    <t>" Studená voda " (79,80)</t>
  </si>
  <si>
    <t>722175004 RT1</t>
  </si>
  <si>
    <t xml:space="preserve">D+M Potrubí vodovodní plastové Systém Stabi Plus, D 32x4,4 mm + TI tl. 50 mm - Specifikace dle PD </t>
  </si>
  <si>
    <t>" Vrstvené potrubí vodovodní plastové s hliníkovou vložkou + Izolace návlekovou izolační hadicí z minerální vlny tl. 50 mm v celé délce potrubí včetně kolen a odboček  "</t>
  </si>
  <si>
    <t>" - Potrubí vodovodní plastové Systém Stabi Plus, D 34x4,4 mm " (38,50)*1,1</t>
  </si>
  <si>
    <t>63154602 RTO</t>
  </si>
  <si>
    <t>" - pouzdro izolační potrubní z minerální vlny s Al fólií, TI tl. 50mm " (38,50)*1,1</t>
  </si>
  <si>
    <t>" Teplá a cirkulační voda " (38,50)</t>
  </si>
  <si>
    <t>722175005 RTO</t>
  </si>
  <si>
    <t xml:space="preserve">D+M Potrubí vodovodní plastové Systém Stabi Plus, D 40x5,5 mm + TI tl. 9 mm - Specifikace dle PD </t>
  </si>
  <si>
    <t>" - Potrubí vodovodní plastové Systém Stabi Plus, D 40x5,5 mm " (74,90)*1,1</t>
  </si>
  <si>
    <t>" - Ochrana vodovodního potrubí přilepenými termoizolačními trubicemi z PE tl přes 6 do 9 mm DN přes 22 do 45 mm " (74,90)*1,1</t>
  </si>
  <si>
    <t>" Studená voda " (74,90)</t>
  </si>
  <si>
    <t>722174005 RT1</t>
  </si>
  <si>
    <t xml:space="preserve">D+M Potrubí vodovodní plastové Systém Stabi Plus, D 40x5,5 mm + TI tl. 50 mm - Specifikace dle PD </t>
  </si>
  <si>
    <t>" - Potrubí vodovodní plastové Systém Stabi Plus, D 40x5,5 mm " (29,90)*1,1</t>
  </si>
  <si>
    <t>63154603 RTO</t>
  </si>
  <si>
    <t>" - pouzdro izolační potrubní z minerální vlny s Al fólií, TI tl. 50mm " (29,90)*1,1</t>
  </si>
  <si>
    <t>" Teplá a cirkulační voda " (29,90)</t>
  </si>
  <si>
    <t>Zkoušky těsnosti vodovodního potrubí závitového do DN 50</t>
  </si>
  <si>
    <t xml:space="preserve">" Tlaková zkouška a konečná tlaková zkouška " </t>
  </si>
  <si>
    <t xml:space="preserve">" Potrubí požární vody " </t>
  </si>
  <si>
    <t>" Potrubí D 31,8×2,6 (DN 25) " (20,30)*2</t>
  </si>
  <si>
    <t>" Potrubí D D 38,0×2,6 (DN 32) " (9,80)*2</t>
  </si>
  <si>
    <t xml:space="preserve">" Potrubí studené vody " </t>
  </si>
  <si>
    <t>" Potrubí D 20×2,8 (DN 15) " (273,60)*2</t>
  </si>
  <si>
    <t>" Potrubí D 25×3,5 (DN 20) " (86,90)*2</t>
  </si>
  <si>
    <t>" Potrubí D 32×4,4 (DN 25) " (79,80)*2</t>
  </si>
  <si>
    <t>" Potrubí D 40×5,5 (DN 32) " (74,90)*2</t>
  </si>
  <si>
    <t xml:space="preserve">" Potrubí teplé a cirkulační vody " </t>
  </si>
  <si>
    <t>" Potrubí D 20×2,8 (DN 15) " (277,80)*2</t>
  </si>
  <si>
    <t>" Potrubí D 25×3,5 (DN 20) " (90,10)*2</t>
  </si>
  <si>
    <t>" Potrubí D 32×4,4 (DN 25) " (38,50)*2</t>
  </si>
  <si>
    <t>" Potrubí D 40×5,5 (DN 32) " (29,90)*2</t>
  </si>
  <si>
    <t>Proplach a dezinfekce vodovodního potrubí do DN 80</t>
  </si>
  <si>
    <t>722232062 RTO</t>
  </si>
  <si>
    <t>D+M Kulový kohout plnoprůtokový s vypouštěním DN 20 - Specifikace dle PD - KKV</t>
  </si>
  <si>
    <t xml:space="preserve">" Kulový kohout vodovodu s vypouštěním - DN 20 " </t>
  </si>
  <si>
    <t xml:space="preserve">" Vodoměrná soustava " </t>
  </si>
  <si>
    <t xml:space="preserve">" Tělo : Mosaz-choromované, Koule : Mosaz-chromované, ocelová páčka potažená plastem. Vypouštěcí ventil 3/8" " </t>
  </si>
  <si>
    <t>722232063 RTO</t>
  </si>
  <si>
    <t>D+M Kulový kohout plnoprůtokový s vypouštěním DN 25 - Specifikace dle PD - KKV</t>
  </si>
  <si>
    <t xml:space="preserve">" Kulový kohout vodovodu s vypouštěním - DN 25 " </t>
  </si>
  <si>
    <t>722232064 RTO</t>
  </si>
  <si>
    <t>D+M Kulový kohout plnoprůtokový s vypouštěním DN 32 - Specifikace dle PD - KKV</t>
  </si>
  <si>
    <t xml:space="preserve">" Kulový kohout vodovodu s vypouštěním - DN 32 " </t>
  </si>
  <si>
    <t>" Vodoměrná sestava "</t>
  </si>
  <si>
    <t>722999101 SPC</t>
  </si>
  <si>
    <t xml:space="preserve">D+M Kulový kohout nezámrzný s připojením na hadici DN 15 - Specifikace dle PD - KKH </t>
  </si>
  <si>
    <t xml:space="preserve">" Nezámrzný ventil s připojením na hadici " </t>
  </si>
  <si>
    <t xml:space="preserve">" Tělo : Mosaz-choromované, Koule : Mosaz-chromované, Ovládání : ocelová páčka potažená plastem. Profilované těsnění se sníženým třením. " </t>
  </si>
  <si>
    <t>722239102 RTO</t>
  </si>
  <si>
    <t>D+M Automatický termostatický vyvažovací ventil DN 20 - Specifikace dle PD - AVV</t>
  </si>
  <si>
    <t xml:space="preserve">" Automatický termostatický vyvažovací ventil - DN 20 " </t>
  </si>
  <si>
    <t xml:space="preserve">" Tělo : Kovaná mosaz, Těsnění : EPDM, součástí ventilu jsou pevné koncové členy pro měření, Ovládání : Ručně - nastavení podle teploty. " </t>
  </si>
  <si>
    <t>75</t>
  </si>
  <si>
    <t>722262309 SPC</t>
  </si>
  <si>
    <t>D+M Vodoměr DN 20 - Specifikace dle PD</t>
  </si>
  <si>
    <t xml:space="preserve">" Vodoměr - teplá voda - Q = 2,5 m3/h. " </t>
  </si>
  <si>
    <t>" Vodoměr ve vodoměrné sestavě na potrubí "</t>
  </si>
  <si>
    <t>" Včetně zařízení na dálkový odečet, prokabelování, připojení na elektro. "</t>
  </si>
  <si>
    <t>76</t>
  </si>
  <si>
    <t>722262308 SPC</t>
  </si>
  <si>
    <t>D+M Podružný vodoměr pro teplou vodu- Specifikace dle PD</t>
  </si>
  <si>
    <t xml:space="preserve">" Vodoměr - teplá voda. " </t>
  </si>
  <si>
    <t>" Podružný vodoměr ve vodoměrné sestavě na potrubí "</t>
  </si>
  <si>
    <t>77</t>
  </si>
  <si>
    <t>722232101 SPC</t>
  </si>
  <si>
    <t>D+M Rohový kulový kohout KK DN32 - Specifikace dle PD</t>
  </si>
  <si>
    <t>" Rohový KK ve vodoměrné sestavě na potrubí "</t>
  </si>
  <si>
    <t>722225314 SPC</t>
  </si>
  <si>
    <t>D+M Přechodka závit / nerez - Specifikace dle PD</t>
  </si>
  <si>
    <t>" Přechodka ve vodoměrné sestavě pro napojení rozvodů teplé a studené vody. "</t>
  </si>
  <si>
    <t>" Přechodka ocel / nerez "</t>
  </si>
  <si>
    <t>" V ceně veškeré nutné příslušenství - těsnící a upevňovací materiál. "</t>
  </si>
  <si>
    <t>722232044 RTO</t>
  </si>
  <si>
    <t xml:space="preserve">" Koulový kohout vodovodu - DN 20 " </t>
  </si>
  <si>
    <t xml:space="preserve">" Tělo : Mosaz-choromované, Koule : Mosaz-chromované, ocelová páčka potažená plastem. Profilované těsnění se sníženým třením. " </t>
  </si>
  <si>
    <t>722231073 RTO</t>
  </si>
  <si>
    <t>D+M Zpětná klapka závitová DN 20 - Specifikace dle PD</t>
  </si>
  <si>
    <t xml:space="preserve">" Zpětná klapka - vodoměrná sestava " </t>
  </si>
  <si>
    <t>722231074 RTO</t>
  </si>
  <si>
    <t>D+M Zpětná klapka závitová DN 32 - Specifikace dle PD</t>
  </si>
  <si>
    <t xml:space="preserve">" Zpětná klapka závitová - DN 32 " </t>
  </si>
  <si>
    <t>722239901 SPC</t>
  </si>
  <si>
    <t>D+M Technologie využití dešťové vody - Specifikace dle PD</t>
  </si>
  <si>
    <t xml:space="preserve">" Technologie využití dešťové vody. " </t>
  </si>
  <si>
    <t xml:space="preserve">" V ceně: " </t>
  </si>
  <si>
    <t xml:space="preserve">" Zemní nádrž s biologickým separátorem DN150 uvnitř nádrže. " </t>
  </si>
  <si>
    <t xml:space="preserve">" Automatická domácí vodárna s frekvečním měničem. " </t>
  </si>
  <si>
    <t xml:space="preserve">" Plovoucí sací sada. " </t>
  </si>
  <si>
    <t xml:space="preserve">" Filtr s pláštěm z nerezoví oceli, filtr pískového zařízení, filtr s manualním zpětným proplachem, náplňový filtr atd. " </t>
  </si>
  <si>
    <t xml:space="preserve">" Pískové zařízení. " </t>
  </si>
  <si>
    <t xml:space="preserve">" Plováčkový průtokoměr DN25. " </t>
  </si>
  <si>
    <t xml:space="preserve">" Sklepní nádrž 1000l. " </t>
  </si>
  <si>
    <t xml:space="preserve">" Průchodka PVC- U 2" a průchodka stěnou PVC 50mm s těsněním. " </t>
  </si>
  <si>
    <t xml:space="preserve">" Vodárna s frekvenčním měničem. " </t>
  </si>
  <si>
    <t xml:space="preserve">" Nizkotaká UV jednotka. " </t>
  </si>
  <si>
    <t xml:space="preserve">" Řídící systém úpravny vody. " </t>
  </si>
  <si>
    <t>" V ceně dopravy, veškeré práce, materiál a příslušenství.  "</t>
  </si>
  <si>
    <t>722999601 SPC</t>
  </si>
  <si>
    <t>D+M Provedení napojení nového vodovodního potrubí na stávající vodovod - Specifikace dle PD</t>
  </si>
  <si>
    <t>" Napojení nového potrubí na stávající ležaté či stoupací. "</t>
  </si>
  <si>
    <t>" Napojení nového potrubí na stávající vodovod " 1</t>
  </si>
  <si>
    <t>D+M Armatury, prvky a vybavení pro rozvody vodovodu</t>
  </si>
  <si>
    <t>" Armatury, prvky a vybavení pro rozvody vodovodu nutné pro zajištění prací, uvedené v PD, či nutné pro zajištění správné funkčnosti, ale nespecifikované v soupise prací. "</t>
  </si>
  <si>
    <t>" V položce zahrnuty nutné ventily (automatické odvzdušňovací, vypouštěcí ventily, apod), případná napojení na zařízení a jednotky UT, VZT, CHL, či prvky ve vyšším množství, či jiných dimenzích a rozměrech, než je specifikováno - např. pro nutnou výměnu stávajících prvků během realizace v důsledku poškození, apod., se kterou nebylo uvažováno - kulové kohouty, revizní dvířka, a další veškeré prvky a armatury pro rozvody kanalizace. "</t>
  </si>
  <si>
    <t>722999802 SPC</t>
  </si>
  <si>
    <t>D+M Ostatní práce spojené s vodovodem - Specifikace dle PD</t>
  </si>
  <si>
    <t>" Ostatní práce spojené s vodovodním potrubím při části rekonstrukce / napojení na stávající rozvody. "</t>
  </si>
  <si>
    <t>" V ceně:
 - přerušení dodávky vody před napojením nového potrubí na stávající;
 - proplach a desinfekce stávajícího potrubí po napojení a opětovném zprovoznění;
 - napojení potrubí na zařízení a potrubí jiných profesí;
 - další potřebné dodávky a práce na stávajícím vodovodním systému spojené s přerušením vedení a napojením na stávající rozvody potrubí. "</t>
  </si>
  <si>
    <t>" Zajištění prostupů potrubí vodovodu mezi jednotlivými požárními úseky protipožárními prvky - ucpávkami, tmely, pěny, disky, apod. - požadované požární odolnosti. "</t>
  </si>
  <si>
    <t>Přesun hmot procentní pro vnitřní vodovod v objektech v přes 6 do 12 m</t>
  </si>
  <si>
    <t xml:space="preserve">" Stavební práce a dodávky spojené s provedením funkčního celku 722." </t>
  </si>
  <si>
    <t>Zdravotně technické instalace - Zařizovací předměty</t>
  </si>
  <si>
    <t>725999101 SPC</t>
  </si>
  <si>
    <t>D+M Automatická pračka - Příprava napojení ZTI - Specifikace dle PD - AP</t>
  </si>
  <si>
    <t>" Součástí příslušenství viz. Specifikace dle PD. "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</si>
  <si>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</si>
  <si>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725999102 SPC</t>
  </si>
  <si>
    <t>D+M Dřez jednoduchý zápustný s okapem - Příprava napojení ZTI - Specifikace dle PD - D1</t>
  </si>
  <si>
    <t>725999103 SPC</t>
  </si>
  <si>
    <t>D+M Dřez dvojitý zápustný - Příprava napojení ZTI - Specifikace dle PD - D2</t>
  </si>
  <si>
    <t>725999104 SPC</t>
  </si>
  <si>
    <t>D+M Dřez jednoduchý zápustný - Příprava napojení ZTI - Specifikace dle PD - D3</t>
  </si>
  <si>
    <t>725999105 SPC</t>
  </si>
  <si>
    <t>D+M Umyvadlo závěsné - keramické - Specifikace dle PD - U1</t>
  </si>
  <si>
    <t>725999106 SPC</t>
  </si>
  <si>
    <t>D+M Umyvadlo závěsné - keramické - Specifikace dle PD - U2</t>
  </si>
  <si>
    <t>725999107 SPC</t>
  </si>
  <si>
    <t>D+M Umyvadlo zdravotní závěsné pro vozíčkáře - keramické - Specifikace dle PD - UZ</t>
  </si>
  <si>
    <t>725999108 SPC</t>
  </si>
  <si>
    <t>D+M Bidet závěsný - keramické - Specifikace dle PD - B</t>
  </si>
  <si>
    <t>725999109 SPC</t>
  </si>
  <si>
    <t>D+M Závěsný klozet - keramický - bez oplachového kruhu - Specifikace dle PD - K</t>
  </si>
  <si>
    <t>725999110SPC</t>
  </si>
  <si>
    <t>D+M Závěsný klozet zdravotní určený pro vozíčkáře - keramický - bez oplachového kruhu - Specifikace dle PD - KZ</t>
  </si>
  <si>
    <t>725999111 SPC</t>
  </si>
  <si>
    <t>D+M Závěsná výlevka s nástěnnou směšovací baterií - Specifikace dle PD - VY</t>
  </si>
  <si>
    <t>725999112 SPC</t>
  </si>
  <si>
    <t>D+M Pisoár závěsný - keramický - Specifikace dle PD - P1</t>
  </si>
  <si>
    <t>725999113 SPC</t>
  </si>
  <si>
    <t>D+M Pisoár závěsný - keramický - Specifikace dle PD - P2</t>
  </si>
  <si>
    <t>725999114 SPC</t>
  </si>
  <si>
    <t>D+M Sprchový kout - sprchový žlab d900 - Specifikace dle PD - SK</t>
  </si>
  <si>
    <t>725999115 SPC</t>
  </si>
  <si>
    <t>D+M Příprava pro napojení hydrantu - Specifikace dle PD - H</t>
  </si>
  <si>
    <t>725999201 SPC</t>
  </si>
  <si>
    <t>D+M Příprava pro napojení ZP - konvektomat - Specifikace dle PD - S1</t>
  </si>
  <si>
    <t>" Příprava pro napojení na zařízovací předmět - konvektomat. "</t>
  </si>
  <si>
    <t>" Cena zahrnuje náklady na přípojné potrubí (vodovodní (SV), kanalizační) včetně tvarovek,ventilů, odpadu, podomítkového sifonu, montážního materiálu a zednické výpomoci. "</t>
  </si>
  <si>
    <t>725999202 SPC</t>
  </si>
  <si>
    <t>D+M Příprava pro napojení ZP - dřez mycí stůl - Specifikace dle PD - S2</t>
  </si>
  <si>
    <t>" Příprava pro napojení na zařízovací předmět - dřez mycí stůl. "</t>
  </si>
  <si>
    <t>" Cena zahrnuje náklady na přípojné potrubí (vodovodní (SV+TV), kanalizační) včetně tvarovek,ventilů, odpadu, podomítkového sifonu, montážního materiálu a zednické výpomoci. "</t>
  </si>
  <si>
    <t>725999203 SPC</t>
  </si>
  <si>
    <t>D+M Příprava pro napojení ZP - myčka - Specifikace dle PD - S3</t>
  </si>
  <si>
    <t>" Příprava pro napojení na zařizovací předmět - myčka. "</t>
  </si>
  <si>
    <t>725999204 SPC</t>
  </si>
  <si>
    <t>D+M Příprava pro napojení ZP - pracovní stůl - Specifikace dle PD - S4</t>
  </si>
  <si>
    <t>" Příprava pro napojení na zařizovací předmět - pracovní stůl. "</t>
  </si>
  <si>
    <t>725999205 SPC</t>
  </si>
  <si>
    <t>D+M Příprava pro napojení ZP - umyvadlo - Specifikace dle PD - S5</t>
  </si>
  <si>
    <t>" Příprava pro napojení na zařizovací předmět - umyvadlo. "</t>
  </si>
  <si>
    <t>725999206 SPC</t>
  </si>
  <si>
    <t>D+M Příprava pro napojení ZP - čajovar - Specifikace dle PD - S6</t>
  </si>
  <si>
    <t>" Příprava pro napojení na zařizovací předmět - čajovar. "</t>
  </si>
  <si>
    <t>725999207 SPC</t>
  </si>
  <si>
    <t>D+M Příprava pro napojení ZP - pánev - Specifikace dle PD - S7</t>
  </si>
  <si>
    <t>" Příprava pro napojení na zařizovací předmět - pánev. "</t>
  </si>
  <si>
    <t>725999208 SPC</t>
  </si>
  <si>
    <t>D+M Příprava pro napojení ZP - kotel - Specifikace dle PD - S8</t>
  </si>
  <si>
    <t>" Příprava pro napojení na zařizovací předmět - kotel. "</t>
  </si>
  <si>
    <t>" Cena zahrnuje náklady na přípojné potrubí (vodovodní (SV)) včetně tvarovek,ventilů, odpadu, podomítkového sifonu, montážního materiálu a zednické výpomoci. "</t>
  </si>
  <si>
    <t>725999209 SPC</t>
  </si>
  <si>
    <t>D+M Příprava pro napojení ZP - výlevka - Specifikace dle PD - S9</t>
  </si>
  <si>
    <t>" Příprava pro napojení na zařizovací předmět - výlevka. "</t>
  </si>
  <si>
    <t>725999210 SPC</t>
  </si>
  <si>
    <t>D+M Příprava pro napojení ZP - škrabka brambory - Specifikace dle PD - S10</t>
  </si>
  <si>
    <t>" Příprava pro napojení na zařizovací předmět - škrabka brambory. "</t>
  </si>
  <si>
    <t>725999211 SPC</t>
  </si>
  <si>
    <t>D+M Příprava pro napojení ZP - odpad, voda myčka - Specifikace dle PD - S11</t>
  </si>
  <si>
    <t>" Příprava pro napojení na zařizovací předmět - odpad, voda myčka. "</t>
  </si>
  <si>
    <t>725999212 SPC</t>
  </si>
  <si>
    <t>D+M Příprava pro napojení ZP - mycí buben - Specifikace dle PD - S13</t>
  </si>
  <si>
    <t>" Příprava pro napojení na zařizovací předmět - mycí buben. "</t>
  </si>
  <si>
    <t>" Cena zahrnuje náklady na přípojné potrubí (vodovodní (SV+TV)) včetně tvarovek,ventilů, odpadu, podomítkového sifonu, montážního materiálu a zednické výpomoci. "</t>
  </si>
  <si>
    <t>725999213 SPC</t>
  </si>
  <si>
    <t>D+M Příprava pro napojení ZP - úprava vody pro S7 pánve a S8 kotle - Specifikace dle PD - S14</t>
  </si>
  <si>
    <t>" Příprava pro napojení na zařizovací předmět - úprava vody pro S7 pánve a S8 kotle. "</t>
  </si>
  <si>
    <t>725999801 SPC</t>
  </si>
  <si>
    <t>D+M Konstrukce pro uchycení umyvadel do SDK konstrukce - Specifikace dle PD</t>
  </si>
  <si>
    <t>" Případná konstrukce pro uchycení umyvadel v SDK konstrukci. "</t>
  </si>
  <si>
    <t>" Konstrukce pro umyvadla U1, U2, UZ " (9+19+1)</t>
  </si>
  <si>
    <t>" V ceně dodávka a montáž konstrukce, spojovací, kotvící a těsnící materiál, případné zapravení po montáži a další práce související s provedením úchytů umyvadel do SDK kce, zdiva. "</t>
  </si>
  <si>
    <t>725999901 SPC</t>
  </si>
  <si>
    <t>D+M Bezpečnostní štítky pro označení zařízení ZTI  - Specifikace dle PD</t>
  </si>
  <si>
    <t>Přesun hmot procentní pro zařizovací předměty v objektech v do 6 m</t>
  </si>
  <si>
    <t xml:space="preserve">" Stavební práce a dodávky spojené s provedením funkčního celku 725. " </t>
  </si>
  <si>
    <t xml:space="preserve">D.1.4.1. ZTI </t>
  </si>
  <si>
    <t>723999902 SPC</t>
  </si>
  <si>
    <t>Soupis prací</t>
  </si>
  <si>
    <t>SOUPIS PRACÍ</t>
  </si>
  <si>
    <t>Elektromontážní práce - Strukturovaná kabeláž (SK)</t>
  </si>
  <si>
    <t>742</t>
  </si>
  <si>
    <t xml:space="preserve">D+M Datový rozvaděč RACK - Specifikace dle PD </t>
  </si>
  <si>
    <t>" Datovový rozvaděč 800/800 47U. "</t>
  </si>
  <si>
    <t>" Včetně pasivních prvků, patch panelů, optické vany, převodníků a veškerého dalšího nutného vybavení a příslušenství vč. štítků pro popis, switche. "</t>
  </si>
  <si>
    <t>742998102 SPC</t>
  </si>
  <si>
    <t xml:space="preserve">D+M Datová zásuvka 2×RJ45 - na stěnu / do žlabu - Specfikace dle PD </t>
  </si>
  <si>
    <t>" Datová zásuvka 2×RJ45 - na stěnu / do žlabu. "</t>
  </si>
  <si>
    <t>" Včetně krabice, rámečku krytky, zásuvek (portu → keystone - 2 ks na 1 krytku), popisu portů datové zásuvky, uložení a zapojení, a dalšího veškerého příslušenství . "</t>
  </si>
  <si>
    <t>742998103 SPC</t>
  </si>
  <si>
    <t xml:space="preserve">D+M Datová zásuvka 2×RJ45 - na stropu - Specfikace dle PD </t>
  </si>
  <si>
    <t>" Datová zásuvka 2×RJ45 - na stropu. "</t>
  </si>
  <si>
    <t>742998150 SPC</t>
  </si>
  <si>
    <t>D+M Kabel HDMI - Specifikace dle PD</t>
  </si>
  <si>
    <t xml:space="preserve">" Kabeláž slaboproudu - strukturované kabeláže " </t>
  </si>
  <si>
    <t>" Včetně uložení (montáže a nasunutí do chrániček), zapojení, případného protažení a ukončení kotvích, spojovacích prvků a veškerého příslušenství. "</t>
  </si>
  <si>
    <t>742998199 SPC</t>
  </si>
  <si>
    <t>Přesun hmot procentní pro slaboproud ruční v objektech v do 12 m</t>
  </si>
  <si>
    <t xml:space="preserve">D+M Čtečka karet, čipů  - Specifikace dle PD </t>
  </si>
  <si>
    <t>" Čtečka karet a čipů vč. montáže a zapojení. "</t>
  </si>
  <si>
    <t>" V ceně také čipy / karty pro čtečky. "</t>
  </si>
  <si>
    <t>742998202 SPC</t>
  </si>
  <si>
    <t>D+M Čipy / karty pro zajištění přístupu - Specifikace dle PD</t>
  </si>
  <si>
    <t>" Čipy / karty pro zajištění přístupu. "</t>
  </si>
  <si>
    <t xml:space="preserve">" 1. PP - 2. NP " </t>
  </si>
  <si>
    <t>" Čipy / karty pro přístupový systém.
Počet ks, dle požadavků investora. Předpoklad do 100 ks. 
Druh musí být kompatibilní se stávajícím systémem. "</t>
  </si>
  <si>
    <t>742998203 SPC</t>
  </si>
  <si>
    <t>D+M Zvonkové tablo - Specifikace dle PD</t>
  </si>
  <si>
    <t>" Zvonkové tablo přístupového systému. "</t>
  </si>
  <si>
    <t>" Včetně instalace a zapojení, rámečku, kamery, hlasového modulu, krytu a veškerého nutného příslušenství. "</t>
  </si>
  <si>
    <t>742998204 SPC</t>
  </si>
  <si>
    <t>D+M Domovní videotelefon - Specifikace dle PD</t>
  </si>
  <si>
    <t>" Domovní videotelefon "</t>
  </si>
  <si>
    <t>742998205 SPC</t>
  </si>
  <si>
    <t>D+M Řídící jednotka pro přístupový systém - Specifikace dle PD</t>
  </si>
  <si>
    <t>" Řídící jednotka přístupového systému ke kontrole vstupu vč. příslušenství. "</t>
  </si>
  <si>
    <t xml:space="preserve">" Včetně instalace a zapojení, naprogramování, odzkoušení a veškerých nutných prací a příslušenství. " </t>
  </si>
  <si>
    <t>742998206 SPC</t>
  </si>
  <si>
    <t>D+M Software pro přístupový systém dveří - Specifikace dle PD</t>
  </si>
  <si>
    <t>" Software pro přístupový systém dveří. "</t>
  </si>
  <si>
    <t>" Včetně instalace, odzkoušení, zprovoznění a veškerého nutného příslušenství. "</t>
  </si>
  <si>
    <t>742998299 SPC</t>
  </si>
  <si>
    <t>Elektromontážní práce - Poplachový zabezpečovací a tísňový systém (PZTS)</t>
  </si>
  <si>
    <t>D+M Ústředna PZTS - Specifikace dle PD</t>
  </si>
  <si>
    <t>" Ústředna PZTS. "</t>
  </si>
  <si>
    <t>" Včetně montáže, zapojení, nastavení a naprogramování, zprovoznění, odzkoušení, vystrojení. "</t>
  </si>
  <si>
    <t>742998302 SPC</t>
  </si>
  <si>
    <t>D+M Klávesnice - Specifikace dle PD</t>
  </si>
  <si>
    <t>" Klávesnice. "</t>
  </si>
  <si>
    <t>" Včetně montáže, zapojení a vškerého nutného příslušenství. "</t>
  </si>
  <si>
    <t>742998303 SPC</t>
  </si>
  <si>
    <t>D+M Pohybové čidlo - Specifikace dle PD</t>
  </si>
  <si>
    <t>" Pohybové (PIR) čidlo. "</t>
  </si>
  <si>
    <t>742998304 SPC</t>
  </si>
  <si>
    <t>D+M Magnetický kontakt - Specifikace dle PD</t>
  </si>
  <si>
    <t>" Magnetický kontakt. "</t>
  </si>
  <si>
    <t>742998305 SPC</t>
  </si>
  <si>
    <t>D+M Detektor tříštění skla - Specifikace dle PD</t>
  </si>
  <si>
    <t>" Detektor tříštění skla. "</t>
  </si>
  <si>
    <t>742998306 SPC</t>
  </si>
  <si>
    <t>Případná integrace nových prvků systému PZTS do stávajícího systému</t>
  </si>
  <si>
    <t>" Případné zajištění integrace prvků poplachového zabezpečovacího a tísňového systému do stávajícího systému nemocnice. "</t>
  </si>
  <si>
    <t>" V ceně provedení případné instalace, zajištění začlenění do stávajícího systému, zprovoznění, odzkoušení, a další veškeré nutné práce a materiál související s integrací prvků PZTS do stávajícího systému nemocnice. "</t>
  </si>
  <si>
    <t>742998399 SPC</t>
  </si>
  <si>
    <t>D+M Kamera vnitřní - Specifikace dle PD</t>
  </si>
  <si>
    <t>" Vnitřní kamera. "</t>
  </si>
  <si>
    <t>" Včetně držáku, montáže, zapojení, vyzkoušení, krytu a veškerého nutného příslušenství. "</t>
  </si>
  <si>
    <t>742998402 SPC</t>
  </si>
  <si>
    <t>D+M Kamera venkovní - Specifikace dle PD</t>
  </si>
  <si>
    <t>" Venkovní kamera. "</t>
  </si>
  <si>
    <t>742998411 SPC</t>
  </si>
  <si>
    <t>D+M Video server - Specifikace dle PD</t>
  </si>
  <si>
    <t>" Včetně diskového pole, SW, licence, vzdáleného přístupu "</t>
  </si>
  <si>
    <t>742998499 SPC</t>
  </si>
  <si>
    <t>Elektromontážní práce - Rozhlas</t>
  </si>
  <si>
    <t>742998501 SPC</t>
  </si>
  <si>
    <t>D+M Stanice hlasatele - Specifikace dle PD</t>
  </si>
  <si>
    <t>" Ústředna hlasatele vč. vybavení. "</t>
  </si>
  <si>
    <t>" Včetně veškerého nutného příslušenství nutného pro správnou funkci. "</t>
  </si>
  <si>
    <t>742998502 SPC</t>
  </si>
  <si>
    <t>D+M Reproduktor nástěnný - Specifikace dle PD</t>
  </si>
  <si>
    <t>" Reproduktor nástěnný. "</t>
  </si>
  <si>
    <t>" Včetně montáže, zapojení,  vyzkoušení, příslušenství. "</t>
  </si>
  <si>
    <t>742998551 SPC</t>
  </si>
  <si>
    <t>D+M Kabeláž pro prvky el. komunikace - rozhlas - Specifikace dle PD</t>
  </si>
  <si>
    <t xml:space="preserve">" Kabeláž pro prvky elektrických komunikací - rozhlas. " </t>
  </si>
  <si>
    <t>D+M Zajištění bezdrátového připojení se školou</t>
  </si>
  <si>
    <t>" Zajištění bezdrátového připojení se školou "</t>
  </si>
  <si>
    <t>" V ceně veškeré nutné práce a materiál související se zajištěním bezdrátového propojení rozhlasu mezi školou a jídelnou. "</t>
  </si>
  <si>
    <t>742998592 SPC</t>
  </si>
  <si>
    <t>742998599 SPC</t>
  </si>
  <si>
    <t>Elektromontážní práce - Signalizační systém</t>
  </si>
  <si>
    <t>742999601 SPC</t>
  </si>
  <si>
    <t>D+M Nouzové tlačítko s tahovým prvkem - Specifikace dle PD</t>
  </si>
  <si>
    <t>" Nouzové tlačítko s tahovým prvkem. "</t>
  </si>
  <si>
    <t>742999602 SPC</t>
  </si>
  <si>
    <t>D+M Signalizační panel - Specifikace dle PD</t>
  </si>
  <si>
    <t>" Signalizační panel, tablo. "</t>
  </si>
  <si>
    <t>" Včetně montáže, zapojení  a vyzkoušení. "</t>
  </si>
  <si>
    <t>742998651 SPC</t>
  </si>
  <si>
    <t>D+M Kabeláž pro prvky el. komunikace - signalizační systém - Specifikace dle PD</t>
  </si>
  <si>
    <t xml:space="preserve">" Kabeláž pro prvky elektrických komunikací - signalizační systém. " </t>
  </si>
  <si>
    <t>742998691 SPC</t>
  </si>
  <si>
    <t>742998692 SPC</t>
  </si>
  <si>
    <t>742998699 SPC</t>
  </si>
  <si>
    <t>742998702 SPC</t>
  </si>
  <si>
    <t>D+M Objednávkový systém gastra - Specifikace dle PD</t>
  </si>
  <si>
    <t>" Objednávkový systém gastra "</t>
  </si>
  <si>
    <t>" V ceně zařízení objednávkového systému gastra. Jedná se např. o:
 - 2× nástěnné tablo;
 - 3× monutor pro výdej;
 - 1× PC gastro stanice;
 - 1× PC gastro server pro výdej jídla;
 - systémové řešení serveru - software pro zprovoznění, apod. 
 - další veškerý nutný materiál a práce související s objednávkovým systémem gastra vč. propojení, kabeláže, naprogramování, odzkoušení, kotvících a spojovacích prvkům, apod. "</t>
  </si>
  <si>
    <t>" POZN: Počítačová síť pro stravovací systém je součástí počítačové sítě objektu. "</t>
  </si>
  <si>
    <t>742998802 SPC</t>
  </si>
  <si>
    <t>D+M Nástěnné hodiny jendotného času - Specifikace dle PD</t>
  </si>
  <si>
    <t>" Nástěnné hodiny jendotného času "</t>
  </si>
  <si>
    <t>742998804 SPC</t>
  </si>
  <si>
    <t>D+M Přijímač synchronizovaného signálu - Specifikace dle PD</t>
  </si>
  <si>
    <t>" Přijímač synchronizovaného signálu jendotného času "</t>
  </si>
  <si>
    <t>" V ceně hodiny, čidla, routery, zvonky, vybavení rovaděčů, SW, instalace, zprovoznění a další veškeré nutné příslušenství a materiál pro systém jednotného času. "</t>
  </si>
  <si>
    <t>D+M Kabeláž pro prvky el. komunikace - systém jednotného času - Specifikace dle PD</t>
  </si>
  <si>
    <t xml:space="preserve">" Kabeláž pro prvky elektrických komunikací - systém jendotného času. " </t>
  </si>
  <si>
    <t>D+M Ostatní nutný materiál pro jednotlivé části - Specifikace dle PD</t>
  </si>
  <si>
    <t>" Veškerý nutný materiál pro jednotlivé části k propojení, ukončení, doplnění, apod. nikde nespecifikované, ale potřebné pro provedení prací a zajištění správné funkce. "</t>
  </si>
  <si>
    <t>" V ceně např. optické vany vč. příslušenství, LC konektroy, různé koncovky, pigtaily, apod. "</t>
  </si>
  <si>
    <t>742998902 SPC</t>
  </si>
  <si>
    <t>D+M Požární ucpávky, uzávěry, manžety - Specifikace dle PBŘ</t>
  </si>
  <si>
    <t>" Zajištění prostupů kabeláže mezi jednotlivými požárními úseky protipožárními prvky - ucpávkami, tmely, pěny, disky, apod. - požadované požární odolnosti. "</t>
  </si>
  <si>
    <t>742998903 SPC</t>
  </si>
  <si>
    <t>"  Včetně naložení, svislého a vodorovného přesunu suti, odvoz stavební suti. 
Likvidace v souladu se zákonem č. 185/2001 Sb., o odpadech a související vyhláškou MŽP ČR č. 294/2005 Sb. o podmínkách ukládání odpadů na skládky a jejich využívání na povrchu terénu a změně vyhlášky č. 383/2001 Sb., o podrobnostech nakládání s odpady. Likvidace dle technologie a místa určené zhotovitelem, včetně poplatků za uložení odpadu. "</t>
  </si>
  <si>
    <t>D+M LED svítidlo, 37,7 W - Specifikace dle PD - A</t>
  </si>
  <si>
    <t>" LED svítidlo 1198×114 mm, 37,7 W. "</t>
  </si>
  <si>
    <t>" Včetně montáže, zapojení, zdroje a veškerého příslušenství. "</t>
  </si>
  <si>
    <t>741999102 SPC</t>
  </si>
  <si>
    <t>D+M LED svítidlo s nouzovým prvkem, 3 W - Specifikace dle PD - BN</t>
  </si>
  <si>
    <t>" LED svítidlo s nouzovým prvkem 1160×62 mm, 3 W. "</t>
  </si>
  <si>
    <t>741999103 SPC</t>
  </si>
  <si>
    <t>D+M LED svítidlo, 60 W - Specifikace dle PD - C</t>
  </si>
  <si>
    <t>" LED svítidlo 1460×62 mm, 60 W. "</t>
  </si>
  <si>
    <t>741999104 SPC</t>
  </si>
  <si>
    <t>D+M LED svítidlo s nouzovým prvkem, 4 W - Specifikace dle PD - CN</t>
  </si>
  <si>
    <t>" LED svítidlo s nouzovým prvkem 1460×62 mm, 4 W. "</t>
  </si>
  <si>
    <t>741999106 SPC</t>
  </si>
  <si>
    <t>D+M LED svítidlo, 52,7 W - Specifikace dle PD - D1</t>
  </si>
  <si>
    <t>" LED svítidlo 1100×92 mm, 52,7 W.. "</t>
  </si>
  <si>
    <t>741999107 SPC</t>
  </si>
  <si>
    <t>D+M LED svítidlo, 52,7 W - Specifikace dle PD - D2</t>
  </si>
  <si>
    <t>" LED svítidlo 1600×92 mm, 52,7 W. "</t>
  </si>
  <si>
    <t>741999108 SPC</t>
  </si>
  <si>
    <t>D+M LED svítidlo, 15,3 W - Specifikace dle PD - E</t>
  </si>
  <si>
    <t>" LED svítidlo Ø 181 mm, 15,3 W. "</t>
  </si>
  <si>
    <t>741999110 SPC</t>
  </si>
  <si>
    <t>D+M LED svítidlo, 36 W - Specifikace dle PD - F</t>
  </si>
  <si>
    <t>" LED svítidlo 596×596 mm, 36 W. "</t>
  </si>
  <si>
    <t>741999111 SPC</t>
  </si>
  <si>
    <t>D+M LED svítidlo, 36 W - Specifikace dle PD - F1</t>
  </si>
  <si>
    <t>741999112 SPC</t>
  </si>
  <si>
    <t>D+M LED svítidlo, 20 W - Specifikace dle PD - G</t>
  </si>
  <si>
    <t>" LED svítidlo Ø 300 mm, 20,0 W. "</t>
  </si>
  <si>
    <t>741999113 SPC</t>
  </si>
  <si>
    <t>D+M LED svítidlo, 15,4 W - Specifikace dle PD - H</t>
  </si>
  <si>
    <t>" LED svítidlo 381×196 mm, 15,4 W. "</t>
  </si>
  <si>
    <t>741999114 SPC</t>
  </si>
  <si>
    <t>D+M LED svítidlo, 39,2 W - Specifikace dle PD - I</t>
  </si>
  <si>
    <t>" LED svítidlo 596×596 mm, 39,2 W. "</t>
  </si>
  <si>
    <t>741999115 SPC</t>
  </si>
  <si>
    <t>D+M LED svítidlo s nouzovým prvkem, 39,2 W - Specifikace dle PD - IN</t>
  </si>
  <si>
    <t>741999116 SPC</t>
  </si>
  <si>
    <t>D+M LED svítidlo, 12 W - Specifikace dle PD - J</t>
  </si>
  <si>
    <t>" LED svítidlo 600×59 mm, 12 W. "</t>
  </si>
  <si>
    <t>741999117 SPC</t>
  </si>
  <si>
    <t>D+M LED svítidlo, 42 W - Specifikace dle PD - K</t>
  </si>
  <si>
    <t>" LED svítidlo Ø 500 mm, 42 W. "</t>
  </si>
  <si>
    <t>741999118 SPC</t>
  </si>
  <si>
    <t>D+M Venkovní svítidlo - Specifikace dle PD</t>
  </si>
  <si>
    <t>" Venkovní svítidlo. "</t>
  </si>
  <si>
    <t>741999151 SPC</t>
  </si>
  <si>
    <t>D+M LED nouzové svítidlo nástěnné, se stupněm krytí IP 65 - Specifikace dle PD - N1</t>
  </si>
  <si>
    <t>" LED nouzové svítidlo nástěnné, s IP 65. "</t>
  </si>
  <si>
    <t>741999152 SPC</t>
  </si>
  <si>
    <t>D+M LED nouzové svítidlo stropní, se stupněm krytí IP 40 - Specifikace dle PD - N2</t>
  </si>
  <si>
    <t>" LED nouzové svítidlo stropní, IP 40. "</t>
  </si>
  <si>
    <t>741999153 SPC</t>
  </si>
  <si>
    <t>D+M LED nouzové svítidlo stropní, se stupněm krytí IP 40 - Specifikace dle PD - N3</t>
  </si>
  <si>
    <t>741999154 SPC</t>
  </si>
  <si>
    <t>D+M LED nouzové svítidlo stropní, se stupněm krytí IP 20_IP 40 - Specifikace dle PD - N4</t>
  </si>
  <si>
    <t>" LED nouzové svítidlo stropní, IP 20_IP 40. "</t>
  </si>
  <si>
    <t>741999155 SPC</t>
  </si>
  <si>
    <t>D+M LED nouzové svítidlo stropní, se stupněm krytí IP 20_IP 40 - Specifikace dle PD - N5</t>
  </si>
  <si>
    <t>741999156 SPC</t>
  </si>
  <si>
    <t>D+M LED nouzové svítidlo stropní, se stupněm krytí IP 20_IP 40 - Specifikace dle PD - N6</t>
  </si>
  <si>
    <t>741999157 SPC</t>
  </si>
  <si>
    <t>D+M Luminiscenční tabulka - Specifikace dle PD - N13</t>
  </si>
  <si>
    <t>" Luminiscenční tabulka. "</t>
  </si>
  <si>
    <t>" Včetně montáže a veškerého příslušenství. "</t>
  </si>
  <si>
    <t>Přesun hmot procentní pro silnoproud ruční v objektech v přes 6 do 12 m</t>
  </si>
  <si>
    <t>741999201 SPC</t>
  </si>
  <si>
    <t>D+M Zásuvka 230 V - Specifikace dle PD</t>
  </si>
  <si>
    <t>" Zásuvka 230 V. "</t>
  </si>
  <si>
    <t>" Včetně instalace, napojení, rámečku, instalační krabice, záslepky. "</t>
  </si>
  <si>
    <t>741999202 SPC</t>
  </si>
  <si>
    <t>D+M Zásuvka 230 V se stupněm krytí IP 44 - Specifikace dle PD</t>
  </si>
  <si>
    <t>" Zásuvka 230 V se sstupněm krytí IP 44. "</t>
  </si>
  <si>
    <t>741999203 SPC</t>
  </si>
  <si>
    <t>D+M Zásuvka 400 V - třípólová - Specifikace dle PD</t>
  </si>
  <si>
    <t>" Zásuvka 400 V - třípólová. "</t>
  </si>
  <si>
    <t>741999204 SPC</t>
  </si>
  <si>
    <t>D+M Dvojzásuvka 230 V - Specifikace dle PD</t>
  </si>
  <si>
    <t>" Dvojzásuvka 230 V. "</t>
  </si>
  <si>
    <t>741999205 SPC</t>
  </si>
  <si>
    <t>D+M Kabelový vývod 230 V - Specifikace dle PD</t>
  </si>
  <si>
    <t>" Kabelový vývod pro 230 V tvořený krabicí pro pozdější napojení prvků  "</t>
  </si>
  <si>
    <t>" Včetně krabice s příslušenstvím, uchycení a zapojení. "</t>
  </si>
  <si>
    <t>741999206 SPC</t>
  </si>
  <si>
    <t>D+M Kabelový vývod 400 V - Specifikace dle PD</t>
  </si>
  <si>
    <t>" Kabelový vývod pro 400 V tvořený krabicí pro pozdější napojení prvků  "</t>
  </si>
  <si>
    <t>741999207 SPC</t>
  </si>
  <si>
    <t>D+M Žaluziový spínač - Specfikace dle PD</t>
  </si>
  <si>
    <t>" Žaluziový spínač. "</t>
  </si>
  <si>
    <t>741999208 SPC</t>
  </si>
  <si>
    <t>D+M Tlačítko "Total STOP" - Specifikace dle PD</t>
  </si>
  <si>
    <t>" Tlačítko "Total STOP". "</t>
  </si>
  <si>
    <t>741999251 SPC</t>
  </si>
  <si>
    <t>D+M Vypínač řaz. 1 - Specfikace dle PD</t>
  </si>
  <si>
    <t>" Jednopólový vypínač. "</t>
  </si>
  <si>
    <t>741999252 SPC</t>
  </si>
  <si>
    <t>D+M Vypínač řaz. 1 se stupněm krytí IP 44 - specifikace dle PD</t>
  </si>
  <si>
    <t>" Jednopólový vypínač, s IP 44. "</t>
  </si>
  <si>
    <t>741999253 SPC</t>
  </si>
  <si>
    <t>D+M Vypínač řaz. 6 - Specfikace dle PD</t>
  </si>
  <si>
    <t>" Střídavý přepínač. "</t>
  </si>
  <si>
    <t>741999254 SPC</t>
  </si>
  <si>
    <t>D+M Vypínač řaz. 6 se stupněm krytí IP 44 - Specfikace dle PD</t>
  </si>
  <si>
    <t>" Střídavý přepínač, s IP 44. "</t>
  </si>
  <si>
    <t>741999255 SPC</t>
  </si>
  <si>
    <t>D+M Vypínač řaz. 7 - Specfikace dle PD</t>
  </si>
  <si>
    <t>" Křížový přepínač. "</t>
  </si>
  <si>
    <t>741999256 SPC</t>
  </si>
  <si>
    <t>D+M Vypínač řaz. 7, IP44 - Specfikace dle PD</t>
  </si>
  <si>
    <t>" Křížový přepínač, IP44. "</t>
  </si>
  <si>
    <t>741999257 SPC</t>
  </si>
  <si>
    <t>D+M Vypínač třípólový - Specfikace dle PD</t>
  </si>
  <si>
    <t>" Vypínač třípólový. "</t>
  </si>
  <si>
    <t>D+M CHKE-R 3×1,5 - Specifikace dle PD</t>
  </si>
  <si>
    <t xml:space="preserve">" Kabeláž silnoproudu " </t>
  </si>
  <si>
    <t>" Včetně uložení (montáže a nasunutí do chrániček), zapojení, případného protažení a ukončení "</t>
  </si>
  <si>
    <t>D+M CHKE-R 3×2,5 - Specifikace dle PD</t>
  </si>
  <si>
    <t>D+M CHKE-R 5×1,5 - Specifikace dle PD</t>
  </si>
  <si>
    <t>D+M CHKE-R 5×2,5 - Specifikace dle PD</t>
  </si>
  <si>
    <t>741999305 SPC</t>
  </si>
  <si>
    <t>D+M CHKE-R 5×4 - Specifikace dle PD</t>
  </si>
  <si>
    <t>741999306 SPC</t>
  </si>
  <si>
    <t>D+M CHKE-R 5×16 - Specifikace dle PD</t>
  </si>
  <si>
    <t>741999308 SPC</t>
  </si>
  <si>
    <t>D+M Vodiče pro provedení uzemnění kovových prvků a konstrukcí - Specifikace dle PD</t>
  </si>
  <si>
    <t>" Kabelové vodiče (CY / CYA / H05V / H07V, apod.) pro provedení uzemnění veškerých kovových konstrukcí a prvků objektu. "</t>
  </si>
  <si>
    <t>" Součástí je také:
 - napojení k jednotlivým předmětům a prvkům nutných uzemnit;
 - krabice pro napojení v jendotlivých místnostech před vedením do rozvaděčů;
 - kotvící a spojovací materiál;
 - napojení do rozvaděčů / stávající zemnící soustavu, apod.;
 - veškeré další nutné práce a materiál související s uzemnění kovových konstrukcí v objektu. "</t>
  </si>
  <si>
    <t>51</t>
  </si>
  <si>
    <t>D+M Rozvaděč R0.1 - Specifikace dle PD</t>
  </si>
  <si>
    <t>" Nový rozvaděč - R0.1 "</t>
  </si>
  <si>
    <t>741999402 SPC</t>
  </si>
  <si>
    <t>D+M Rozvaděč R1.1. - Specifikace dle PD</t>
  </si>
  <si>
    <t>" Nový rozvaděč - R1.1. "</t>
  </si>
  <si>
    <t>741999403 SPC</t>
  </si>
  <si>
    <t>D+M Rozvaděč R-G. - Specifikace dle PD</t>
  </si>
  <si>
    <t>" Nový rozvaděč - R-G "</t>
  </si>
  <si>
    <t>741999404 SPC</t>
  </si>
  <si>
    <t>D+M Rozvaděč RH. - Specifikace dle PD</t>
  </si>
  <si>
    <t>" Nový rozvaděč - RH "</t>
  </si>
  <si>
    <t>" Včetně vystrojení, skříně, montážního materiálu, montáže, zapojení a veškerého nutného příslušenství a prácí nutných pro správnou funkci vč. propojení z HDS. "</t>
  </si>
  <si>
    <t>741999405 SPC</t>
  </si>
  <si>
    <t>D+M Rozvaděč R2.1. - Specifikace dle PD</t>
  </si>
  <si>
    <t>" Nový rozvaděč - R2.1. "</t>
  </si>
  <si>
    <t>741999406 SPC</t>
  </si>
  <si>
    <t>D+M Rozvaděč R2.2. - Specifikace dle PD</t>
  </si>
  <si>
    <t>" Nový rozvaděč - R2.2. "</t>
  </si>
  <si>
    <t>741999407 SPC</t>
  </si>
  <si>
    <t>D+M Rozvaděč R2.3. - Specifikace dle PD</t>
  </si>
  <si>
    <t>" Nový rozvaděč - R2.3. "</t>
  </si>
  <si>
    <t>741999408 SPC</t>
  </si>
  <si>
    <t>D+M Rozvaděč R2.4. - Specifikace dle PD</t>
  </si>
  <si>
    <t>" Nový rozvaděč - R2.4. "</t>
  </si>
  <si>
    <t>60</t>
  </si>
  <si>
    <t>61</t>
  </si>
  <si>
    <t>741999501 SPC</t>
  </si>
  <si>
    <t>D+M Pásek FeZn 30/4 - Specifikace dle PD</t>
  </si>
  <si>
    <t>" Zemnící pásek pro zemnění objektu. "</t>
  </si>
  <si>
    <t>" Zemnící pásek " (160,0)*1,1</t>
  </si>
  <si>
    <t>" Včetně uložení a napojení "</t>
  </si>
  <si>
    <t>741999502 SPC</t>
  </si>
  <si>
    <t>D+M Drát FeZn Ø 10 - Specifikace dle PD</t>
  </si>
  <si>
    <t>" Svislé vedení pod terén k zemnícímu pásku. "</t>
  </si>
  <si>
    <t>" Svislé vedení zemnění " (31,5)*1,1</t>
  </si>
  <si>
    <t>741999503 SPC</t>
  </si>
  <si>
    <t>D+M Svorky SK, SS, SR - Specifikace dle PD</t>
  </si>
  <si>
    <t>" Svorky pro zemnění. "</t>
  </si>
  <si>
    <t>741999504 SPC</t>
  </si>
  <si>
    <t>D+M Antikorozní ochrana spojů - Specifikace dle PD</t>
  </si>
  <si>
    <t>" Antikorozní ochrana spojů - např. páskou. "</t>
  </si>
  <si>
    <t>" V ceně prvek pro ochranu spojů zemnícího pásku - např. páskou a další veškeré příslušenství pro zajištění spoje. "</t>
  </si>
  <si>
    <t>741999505 SPC</t>
  </si>
  <si>
    <t>D+M Podružný materiál pro uložení zemnění - Specifikace dle PD</t>
  </si>
  <si>
    <t>" Hlavní ochranné pospojování a ostatní podružný materiál. "</t>
  </si>
  <si>
    <t>68</t>
  </si>
  <si>
    <t>69</t>
  </si>
  <si>
    <t>D+M Jímací vedení AlMgSi 8 - Specifikace dle PD</t>
  </si>
  <si>
    <t>" Jímací vedení z AlMgSi Ø 8 mm. "</t>
  </si>
  <si>
    <t>" Jímací vedení - vedení na střeše. " (320)*1,1</t>
  </si>
  <si>
    <t>" Včetně podpěr, uložení a napojení a veškerého nutného příslušenství. "</t>
  </si>
  <si>
    <t>741999602 SPC</t>
  </si>
  <si>
    <t>D+M Vysokonapěťově izolovaný svodový vodič - izolovaný svod - Specifikace dle PD</t>
  </si>
  <si>
    <t>" Vysokonapěťově izolovaný svodový vodič s možností instalace do fasády, vč.zakončení a upevnění do stavby. "</t>
  </si>
  <si>
    <t>" Svodové vedení z vysokonapěťového izolovaného vodiče - HVI " (250,0)*1,1</t>
  </si>
  <si>
    <t>" Včetně veškerého nutného příslušenství. "</t>
  </si>
  <si>
    <t>D+M Svorky (SS,SK,SP) - Specifikace dle PD</t>
  </si>
  <si>
    <t xml:space="preserve">" Svorky pro hromosvod " </t>
  </si>
  <si>
    <t>741999604 SPC</t>
  </si>
  <si>
    <t>D+M Ochranný úhelník - Specifikace dle PD</t>
  </si>
  <si>
    <t>" Ochranný úhelník svodů "</t>
  </si>
  <si>
    <t>" Včetně uchycení, kotvících a upevňovacích prvků a veškerého nutného příslušenství. "</t>
  </si>
  <si>
    <t>741999605 SPC</t>
  </si>
  <si>
    <t>D+M Označovací štítek - Specifikace dle PD</t>
  </si>
  <si>
    <t>" Označovací štítek pro označení svodů hromosvodů "</t>
  </si>
  <si>
    <t>741999606 SPC</t>
  </si>
  <si>
    <t>D+M Jímací tyč dl. 1 m - Specifikace dle PD</t>
  </si>
  <si>
    <t>" Jímací tyč délky 1,0 m "</t>
  </si>
  <si>
    <t>" Včetně uchycení, kotvících a upevňovacích prvků (vč. případného stojanu) a veškerého nutného příslušenství. "</t>
  </si>
  <si>
    <t>741999607 SPC</t>
  </si>
  <si>
    <t>D+M Jímací tyč dl. 2 m - Specifikace dle PD</t>
  </si>
  <si>
    <t>" Jímací tyč délky 2,0 m "</t>
  </si>
  <si>
    <t>D+M Ochranná krabice se zkušební svorkou - Specifikace dle PD</t>
  </si>
  <si>
    <t>" Ochranná krabice + zkušební svorka. "</t>
  </si>
  <si>
    <t>" Včetně ochranné krabice, ocelové destičky, tří křížové svorky, napojení, umístění "</t>
  </si>
  <si>
    <t>741999609 SPC</t>
  </si>
  <si>
    <t>741999611 SPC</t>
  </si>
  <si>
    <t>D+M Nespecifikované věci hromosvodu - Specifikace dle PD</t>
  </si>
  <si>
    <t>" Nespecifikované věci pro hromosvod. "</t>
  </si>
  <si>
    <t>" V ceně případné HVI vodiče, vyšší množství prvků výše uvedených, napojení na stávající hromosvod stávající budovy a další veškeré nutné prvky a materiál vč. podpěr pro jímací vedení, kotvících, spojovacích a upevňovacích prvků, apod. "</t>
  </si>
  <si>
    <t>80</t>
  </si>
  <si>
    <t>81</t>
  </si>
  <si>
    <t>82</t>
  </si>
  <si>
    <t>83</t>
  </si>
  <si>
    <t>84</t>
  </si>
  <si>
    <t>85</t>
  </si>
  <si>
    <t>86</t>
  </si>
  <si>
    <t>89</t>
  </si>
  <si>
    <t>90</t>
  </si>
  <si>
    <t>D+M VZT jednotka - Specifikace dle PD - Z. Č. 1 - JÍDELNA</t>
  </si>
  <si>
    <t xml:space="preserve">" Centrální VZT jednotka - 1.NP.
Průtok 4 800 / 4 800 m3/h.
Ohřev - 3,0 kW; Chlazení - příprava. " </t>
  </si>
  <si>
    <t>" 100 % výměna vzduchu.
Hmotnost: 561 kg.
Efektivní elektrický příkon: 5,4 kW.
Hladina akustického výkonu: 69 dBA. "</t>
  </si>
  <si>
    <t>" V ceně veškeré nutné příslušenství a vybavení - např..filtrace vzduchu přívod - F7, odvod - M5, rekuperace pomocí deskového rekuperátoru, vodní ohřev vzduchu, uzavírací klapky, tlumící komory, ventilátory, čidla CO2 + vlhkosti, elektronické řídící jednotky, ovládacího panelu, servisní vypínače ventilátorů, apod. "</t>
  </si>
  <si>
    <t>" Včetně konstrukce pro uložení na podlahu,kotvících prvků, zprovoznění, odzkoušení, čidel, prokabelování a veškeré příslušenství dle PD. "</t>
  </si>
  <si>
    <t>751991102 SPC</t>
  </si>
  <si>
    <t>D+M VZT jednotka - Specifikace dle PD - Z. Č. 2 - KUCHYŇ</t>
  </si>
  <si>
    <t xml:space="preserve">" Centrální VZT jednotka - 1.PP.
Průtok 11 600 / 11 600 m3/h.
Ohřev - 53,1 kW; Chlazení 43,7 kW. " </t>
  </si>
  <si>
    <t>" 100 % výměna vzduchu.
Hmotnost: 3 100 kg.
Efektivní elektrický příkon: 32,6 kW.
Hladina akustického výkonu: 68 dBA. "</t>
  </si>
  <si>
    <t>751991103 SPC</t>
  </si>
  <si>
    <t>D+M VZT jednotka - Specifikace dle PD - Z. Č. 3.1 - 3.4 - KUCHYŇ</t>
  </si>
  <si>
    <t xml:space="preserve">" Centrální VZT jednotka - 2.NP.
Průtok 425 / 425 m3/h.
Ohřev - 1,8 kW; Chlazení  - příprava. " </t>
  </si>
  <si>
    <t>" 100 % výměna vzduchu.
Hmotnost: 129 kg.
Efektivní elektrický příkon: 0,465 kW.
Hladina akustického výkonu: 58 dBA. "</t>
  </si>
  <si>
    <t>751991104 SPC</t>
  </si>
  <si>
    <t>D+M VZT jednotka - Specifikace dle PD - Z. Č. 4.1 - 4.3 - TŘÍDY</t>
  </si>
  <si>
    <t xml:space="preserve">" Centrální VZT jednotka - 2.NP.
Průtok 550 / 550 m3/h.
Ohřev - 1,8 kW; Chlazení  - příprava. " </t>
  </si>
  <si>
    <t>" 100 % výměna vzduchu.
Hmotnost: 129 kg.
Efektivní elektrický příkon: 0,594 kW.
Hladina akustického výkonu: 58 dBA. "</t>
  </si>
  <si>
    <t>751991105 SPC</t>
  </si>
  <si>
    <t>D+M VZT jednotka - Specifikace dle PD - Z. Č. 5.1. - TŘÍDY</t>
  </si>
  <si>
    <t xml:space="preserve">" Centrální VZT jednotka - 2.NP.
Průtok 750 / 750 m3/h.
Ohřev - 1,8 kW; Chlazení  - příprava. " </t>
  </si>
  <si>
    <t>" 100 % výměna vzduchu.
Hmotnost: 129 kg.
Efektivní elektrický příkon: 0,686 kW.
Hladina akustického výkonu: 66 dBA. "</t>
  </si>
  <si>
    <t>751991351 SPC</t>
  </si>
  <si>
    <t>D+M Nucený odtah 240 m3/h, el. příkon 0,5 kW - Specifikace dle PD - Z.Č. N.O1.1.</t>
  </si>
  <si>
    <t>.</t>
  </si>
  <si>
    <t>" Ventilátor vč. zpětné klapky a tlumiče hluku - do kruhového potrubí D 160. "</t>
  </si>
  <si>
    <t>" Nucený odtah - 240 m3/h, elektrický příkon 0,5 kW. "</t>
  </si>
  <si>
    <t>" Včetně prokabelování a veškerého příslušenství (čidel, tlačítek, řídící jednotky, apod.), napojení na potrubí, měření a regulace. "</t>
  </si>
  <si>
    <t>751991352 SPC</t>
  </si>
  <si>
    <t>D+M Nucený odtah 370 m3/h, el. příkon 0,5 kW - Specifikace dle PD - Z.Č. N.O1.2.</t>
  </si>
  <si>
    <t>" Ventilátor vč. zpětné klapky a tlumiče hluku - do kruhového potrubí D 200. "</t>
  </si>
  <si>
    <t>" Nucený odtah - 370 m3/h, elektrický příkon 0,5 kW. "</t>
  </si>
  <si>
    <t>751991353 SPC</t>
  </si>
  <si>
    <t>D+M Nucený odtah 200 m3/h, el. příkon 0,5 kW - Specifikace dle PD - Z.Č. N.O1.3.</t>
  </si>
  <si>
    <t>" Nucený odtah - 200 m3/h, elektrický příkon 0,5 kW. "</t>
  </si>
  <si>
    <t>751991354 SPC</t>
  </si>
  <si>
    <t>D+M Nucený odtah 265 m3/h, el. příkon 0,5 kW - Specifikace dle PD - Z.Č. N.O1.4.</t>
  </si>
  <si>
    <t>" Nucený odtah - 265 m3/h, elektrický příkon 0,5 kW. "</t>
  </si>
  <si>
    <t>751991355 SPC</t>
  </si>
  <si>
    <t>D+M Nucený odtah 240 m3/h, el. příkon 0,5 kW - Specifikace dle PD - Z.Č. N.O1.5.</t>
  </si>
  <si>
    <t>751991361 SPC</t>
  </si>
  <si>
    <t>D+M Digestoř - Specifikace dle PD - 1</t>
  </si>
  <si>
    <t>" Digestoř 1 "</t>
  </si>
  <si>
    <t>" Včetně prokabelování a veškerého příslušenství, napojení na potrubí. "</t>
  </si>
  <si>
    <t>751991362 SPC</t>
  </si>
  <si>
    <t>D+M Digestoř - Specifikace dle PD - 2</t>
  </si>
  <si>
    <t>" Digestoř 2 "</t>
  </si>
  <si>
    <t>751991363 SPC</t>
  </si>
  <si>
    <t>D+M Digestoř - Specifikace dle PD - 3</t>
  </si>
  <si>
    <t>" Digestoř 3 "</t>
  </si>
  <si>
    <t>751991364 SPC</t>
  </si>
  <si>
    <t>D+M Digestoř - Specifikace dle PD - 4</t>
  </si>
  <si>
    <t>" Digestoř 4 "</t>
  </si>
  <si>
    <t>751991365 SPC</t>
  </si>
  <si>
    <t>D+M Digestoř - Specifikace dle PD - 5</t>
  </si>
  <si>
    <t>" Digestoř 5 "</t>
  </si>
  <si>
    <t>D+M Ostatní zařízení VZT nespecifikované či jiných dimenzí</t>
  </si>
  <si>
    <t>751992101 SPC</t>
  </si>
  <si>
    <t xml:space="preserve">D+M Potrubí pozink kruhové D 100 mm, spirálně vinuté + TI tl. 40 mm - Specifikace dle PD  </t>
  </si>
  <si>
    <t>" Pozinkované kruhové potrubí D 100 vč. TI tl. 40 mm. "</t>
  </si>
  <si>
    <t xml:space="preserve">" Včetně tepelné izolace z desek (rohože) z kamenné vlny s polepem hliníkovou fólií se skleněnou mřížkou tl. 40 mm. " </t>
  </si>
  <si>
    <t>" Kruhové potrubí D 100 " (9,8)</t>
  </si>
  <si>
    <t>751992102 SPC</t>
  </si>
  <si>
    <t xml:space="preserve">D+M Potrubí pozink kruhové D 125 mm, spirálně vinuté + TI tl. 40 mm - Specifikace dle PD  </t>
  </si>
  <si>
    <t>" Pozinkované kruhové potrubí D 125 vč. TI tl. 40 mm. "</t>
  </si>
  <si>
    <t>" Kruhové potrubí D 125 " (46,8)</t>
  </si>
  <si>
    <t>751992103 SPC</t>
  </si>
  <si>
    <t xml:space="preserve">D+M Potrubí pozink kruhové D 160 mm, spirálně vinuté + TI tl. 40 mm - Specifikace dle PD  </t>
  </si>
  <si>
    <t>" Pozinkované kruhové potrubí D 160 vč. TI tl. 40 mm. "</t>
  </si>
  <si>
    <t>" Kruhové potrubí D 160 " (68,5)</t>
  </si>
  <si>
    <t>751992104 SPC</t>
  </si>
  <si>
    <t xml:space="preserve">D+M Potrubí pozink kruhové D 200 mm, spirálně vinuté + TI tl. 40 mm - Specifikace dle PD  </t>
  </si>
  <si>
    <t>" Pozinkované kruhové potrubí D 200 vč. TI tl. 40 mm. "</t>
  </si>
  <si>
    <t>" Kruhové potrubí D 200 " (201,3)</t>
  </si>
  <si>
    <t>751992105 SPC</t>
  </si>
  <si>
    <t xml:space="preserve">D+M Potrubí pozink kruhové D 250 mm, spirálně vinuté + TI tl. 40 mm - Specifikace dle PD  </t>
  </si>
  <si>
    <t>" Pozinkované kruhové potrubí D 250 vč. TI tl. 40 mm. "</t>
  </si>
  <si>
    <t>" Kruhové potrubí D 250 " (13,4)</t>
  </si>
  <si>
    <t>751992106 SPC</t>
  </si>
  <si>
    <t xml:space="preserve">D+M Potrubí pozink čtyřhranné 225×75 mm + TI tl. 40 mm - Specifikace dle PD  </t>
  </si>
  <si>
    <t>" Pozinkované čtyřhranné potrubí 225×75 mm vč. TI tl. 40 mm. "</t>
  </si>
  <si>
    <t>" Čtyřhranné potrubí VZT - 225×75 mm " (5,9)</t>
  </si>
  <si>
    <t>751992107 SPC</t>
  </si>
  <si>
    <t xml:space="preserve">D+M Potrubí pozink čtyřhranné 250×200 mm + TI tl. 40 mm - Specifikace dle PD  </t>
  </si>
  <si>
    <t>" Pozinkované čtyřhranné potrubí 250×200 mm vč. TI tl. 40 mm. "</t>
  </si>
  <si>
    <t>" Čtyřhranné potrubí VZT - 250×200 mm " (1,5)</t>
  </si>
  <si>
    <t>751992108 SPC</t>
  </si>
  <si>
    <t xml:space="preserve">D+M Potrubí pozink čtyřhranné 250×250 mm + TI tl. 40 mm - Specifikace dle PD  </t>
  </si>
  <si>
    <t>" Pozinkované čtyřhranné potrubí 250×250 mm vč. TI tl. 40 mm. "</t>
  </si>
  <si>
    <t>" Čtyřhranné potrubí VZT - 250×250 mm " (1,5)</t>
  </si>
  <si>
    <t>751992109 SPC</t>
  </si>
  <si>
    <t xml:space="preserve">D+M Potrubí pozink čtyřhranné 300×100 mm + TI tl. 40 mm - Specifikace dle PD  </t>
  </si>
  <si>
    <t>" Pozinkované čtyřhranné potrubí 300×100 mm vč. TI tl. 40 mm. "</t>
  </si>
  <si>
    <t>" Čtyřhranné potrubí VZT - 300×100 mm " (1,7)</t>
  </si>
  <si>
    <t>751992110 SPC</t>
  </si>
  <si>
    <t xml:space="preserve">D+M Potrubí pozink čtyřhranné 350×250 mm + TI tl. 40 mm - Specifikace dle PD  </t>
  </si>
  <si>
    <t>" Pozinkované čtyřhranné potrubí 350×250 mm vč. TI tl. 40 mm. "</t>
  </si>
  <si>
    <t>" Čtyřhranné potrubí VZT - 350×250 mm " (2,2)</t>
  </si>
  <si>
    <t>751992111 SPC</t>
  </si>
  <si>
    <t xml:space="preserve">D+M Potrubí pozink čtyřhranné 600×700 mm + TI tl. 40 mm - Specifikace dle PD  </t>
  </si>
  <si>
    <t>" Pozinkované čtyřhranné potrubí 600×700 mm vč. TI tl. 40 mm. "</t>
  </si>
  <si>
    <t>" Čtyřhranné potrubí VZT - 600×700 mm " (1,3)</t>
  </si>
  <si>
    <t>751992112 SPC</t>
  </si>
  <si>
    <t xml:space="preserve">D+M Potrubí pozink čtyřhranné 630×200 mm + TI tl. 40 mm - Specifikace dle PD  </t>
  </si>
  <si>
    <t>" Pozinkované čtyřhranné potrubí 630×200 mm vč. TI tl. 40 mm. "</t>
  </si>
  <si>
    <t>" Čtyřhranné potrubí VZT - 630×200 mm " (11,0)</t>
  </si>
  <si>
    <t>751992201 SPC</t>
  </si>
  <si>
    <t xml:space="preserve">D+M Potrubí nerez kruhové D 100 mm, spirálně vinuté + TI tl. 40 mm - GASTRO - Specifikace dle PD  </t>
  </si>
  <si>
    <t>" Nerezové kruhové potrubí D 100 vč. TI tl. 40 mm. "</t>
  </si>
  <si>
    <t>" Kruhové potrubí D 100 " (9,5+1,6)</t>
  </si>
  <si>
    <t>751992202 SPC</t>
  </si>
  <si>
    <t xml:space="preserve">D+M Potrubí nerez kruhové D 125 mm, spirálně vinuté + TI tl. 40 mm - GASTRO - Specifikace dle PD  </t>
  </si>
  <si>
    <t>" Nerezové kruhové potrubí D 125 vč. TI tl. 40 mm. "</t>
  </si>
  <si>
    <t>" Kruhové potrubí D 125 " (1,5+3,0)</t>
  </si>
  <si>
    <t>751992203 SPC</t>
  </si>
  <si>
    <t xml:space="preserve">D+M Potrubí nerez kruhové D 160 mm, spirálně vinuté + TI tl. 40 mm - GASTRO - Specifikace dle PD  </t>
  </si>
  <si>
    <t>" Nerezové kruhové potrubí D 160 vč. TI tl. 40 mm. "</t>
  </si>
  <si>
    <t>" Kruhové potrubí D 160 " (7,9+12,8)</t>
  </si>
  <si>
    <t>751992204 SPC</t>
  </si>
  <si>
    <t xml:space="preserve">D+M Potrubí nerez kruhové D 200 mm, spirálně vinuté + TI tl. 40 mm - GASTRO - Specifikace dle PD  </t>
  </si>
  <si>
    <t>" Nerezové kruhové potrubí D 200 vč. TI tl. 40 mm. "</t>
  </si>
  <si>
    <t>" Kruhové potrubí D 200 " (20,1+11,5)</t>
  </si>
  <si>
    <t>751992205 SPC</t>
  </si>
  <si>
    <t xml:space="preserve">D+M Potrubí nerez kruhové D 280 mm, spirálně vinuté + TI tl. 40 mm - GASTRO - Specifikace dle PD  </t>
  </si>
  <si>
    <t>" Nerezové kruhové potrubí D 280 vč. TI tl. 40 mm. "</t>
  </si>
  <si>
    <t>" Kruhové potrubí D 280 " (2,3+1,6)</t>
  </si>
  <si>
    <t>751992206 SPC</t>
  </si>
  <si>
    <t xml:space="preserve">D+M Potrubí nerez kruhové D 315 mm, spirálně vinuté + TI tl. 40 mm - GASTRO - Specifikace dle PD  </t>
  </si>
  <si>
    <t>" Nerezové kruhové potrubí D 315 vč. TI tl. 40 mm. "</t>
  </si>
  <si>
    <t>" Kruhové potrubí D 315 " (6,2+2,9)</t>
  </si>
  <si>
    <t>751992207 SPC</t>
  </si>
  <si>
    <t xml:space="preserve">D+M Potrubí nerez kruhové D 400 mm, spirálně vinuté + TI tl. 40 mm - GASTRO - Specifikace dle PD  </t>
  </si>
  <si>
    <t>" Nerezové kruhové potrubí D 400 vč. TI tl. 40 mm. "</t>
  </si>
  <si>
    <t>" Kruhové potrubí D 400 " (2,0+2,0)</t>
  </si>
  <si>
    <t>751992208 SPC</t>
  </si>
  <si>
    <t xml:space="preserve">D+M Potrubí nerez čtyřhranné 200×200 mm + TI tl. 40 mm - GASTRO - Specifikace dle PD  </t>
  </si>
  <si>
    <t>" Nerezové čtyřhranné potrubí 200×200 mm vč. TI tl. 40 mm. "</t>
  </si>
  <si>
    <t>" Čtyřhranné potrubí VZT - 200×200 mm " (9,1+1,5)</t>
  </si>
  <si>
    <t>751992209 SPC</t>
  </si>
  <si>
    <t xml:space="preserve">D+M Potrubí nerez čtyřhranné 225×200 mm + TI tl. 40 mm - GASTRO - Specifikace dle PD  </t>
  </si>
  <si>
    <t>" Nerezové čtyřhranné potrubí 225×200 mm vč. TI tl. 40 mm. "</t>
  </si>
  <si>
    <t>" Čtyřhranné potrubí VZT - 225×200 mm " (1,5)</t>
  </si>
  <si>
    <t>751992210 SPC</t>
  </si>
  <si>
    <t xml:space="preserve">D+M Potrubí nerez čtyřhranné 300×1000 mm + TI tl. 40 mm - GASTRO - Specifikace dle PD  </t>
  </si>
  <si>
    <t>" Nerezové čtyřhranné potrubí 300×1000 mm vč. TI tl. 40 mm. "</t>
  </si>
  <si>
    <t>" Čtyřhranné potrubí VZT - 300×1000 mm " (1,8)</t>
  </si>
  <si>
    <t>751992211 SPC</t>
  </si>
  <si>
    <t xml:space="preserve">D+M Potrubí nerez čtyřhranné 315×200 mm + TI tl. 40 mm - GASTRO - Specifikace dle PD  </t>
  </si>
  <si>
    <t>" Nerezové čtyřhranné potrubí 315×200 mm vč. TI tl. 40 mm. "</t>
  </si>
  <si>
    <t>" Čtyřhranné potrubí VZT - 315×200 mm " (9,0)</t>
  </si>
  <si>
    <t>751992212 SPC</t>
  </si>
  <si>
    <t xml:space="preserve">D+M Potrubí nerez čtyřhranné 355×200 mm + TI tl. 40 mm - GASTRO - Specifikace dle PD  </t>
  </si>
  <si>
    <t>" Nerezové čtyřhranné potrubí 355×200 mm vč. TI tl. 40 mm. "</t>
  </si>
  <si>
    <t>" Čtyřhranné potrubí VZT - 355×200 mm " (21,1)</t>
  </si>
  <si>
    <t>751992213 SPC</t>
  </si>
  <si>
    <t xml:space="preserve">D+M Potrubí nerez čtyřhranné 355×800 mm + TI tl. 40 mm - GASTRO - Specifikace dle PD  </t>
  </si>
  <si>
    <t>" Nerezové čtyřhranné potrubí 355×800 mm vč. TI tl. 40 mm. "</t>
  </si>
  <si>
    <t>" Čtyřhranné potrubí VZT - 355×800 mm " (1,5)</t>
  </si>
  <si>
    <t>751992214 SPC</t>
  </si>
  <si>
    <t xml:space="preserve">D+M Potrubí nerez čtyřhranné 400×200 mm + TI tl. 40 mm - GASTRO - Specifikace dle PD  </t>
  </si>
  <si>
    <t>" Nerezové čtyřhranné potrubí 400×200 mm vč. TI tl. 40 mm. "</t>
  </si>
  <si>
    <t>" Čtyřhranné potrubí VZT - 400×200 mm " (4,3)</t>
  </si>
  <si>
    <t>751992215 SPC</t>
  </si>
  <si>
    <t xml:space="preserve">D+M Potrubí nerez čtyřhranné 500×200 mm + TI tl. 40 mm - GASTRO - Specifikace dle PD  </t>
  </si>
  <si>
    <t>" Nerezové čtyřhranné potrubí 500×200 mm vč. TI tl. 40 mm. "</t>
  </si>
  <si>
    <t>" Čtyřhranné potrubí VZT - 500×200 mm " (5,4)</t>
  </si>
  <si>
    <t>751992216 SPC</t>
  </si>
  <si>
    <t xml:space="preserve">D+M Potrubí nerez čtyřhranné 500×250 mm + TI tl. 40 mm - GASTRO - Specifikace dle PD  </t>
  </si>
  <si>
    <t>" Nerezové čtyřhranné potrubí 500×250 mm vč. TI tl. 40 mm. "</t>
  </si>
  <si>
    <t>" Čtyřhranné potrubí VZT - 500×250 mm " (7,2)</t>
  </si>
  <si>
    <t>751992217 SPC</t>
  </si>
  <si>
    <t xml:space="preserve">D+M Potrubí nerez čtyřhranné 500×500 mm + TI tl. 40 mm - GASTRO - Specifikace dle PD  </t>
  </si>
  <si>
    <t>" Nerezové čtyřhranné potrubí 500×500 mm vč. TI tl. 40 mm. "</t>
  </si>
  <si>
    <t>" Čtyřhranné potrubí VZT - 500×500 mm " (1,9)</t>
  </si>
  <si>
    <t>751992218 SPC</t>
  </si>
  <si>
    <t xml:space="preserve">D+M Potrubí nerez čtyřhranné 560×900 mm + TI tl. 40 mm - GASTRO - Specifikace dle PD  </t>
  </si>
  <si>
    <t>" Nerezové čtyřhranné potrubí 560×900 mm vč. TI tl. 40 mm. "</t>
  </si>
  <si>
    <t>" Čtyřhranné potrubí VZT - 560×900 mm " (22,4)</t>
  </si>
  <si>
    <t>751992219 SPC</t>
  </si>
  <si>
    <t xml:space="preserve">D+M Potrubí nerez čtyřhranné 630×315 mm + TI tl. 40 mm - GASTRO - Specifikace dle PD  </t>
  </si>
  <si>
    <t>" Nerezové čtyřhranné potrubí 630×315 mm vč. TI tl. 40 mm. "</t>
  </si>
  <si>
    <t>" Čtyřhranné potrubí VZT - 630×315 mm " (2,5)</t>
  </si>
  <si>
    <t>751992220 SPC</t>
  </si>
  <si>
    <t xml:space="preserve">D+M Potrubí nerez čtyřhranné 630×400 mm + TI tl. 40 mm - GASTRO - Specifikace dle PD  </t>
  </si>
  <si>
    <t>" Nerezové čtyřhranné potrubí 630×400 mm vč. TI tl. 40 mm. "</t>
  </si>
  <si>
    <t>" Čtyřhranné potrubí VZT - 630×400 mm " (1,5)</t>
  </si>
  <si>
    <t>751992221 SPC</t>
  </si>
  <si>
    <t xml:space="preserve">D+M Potrubí nerez čtyřhranné 700×560 mm + TI tl. 40 mm - GASTRO - Specifikace dle PD  </t>
  </si>
  <si>
    <t>" Nerezové čtyřhranné potrubí 700×560 mm vč. TI tl. 40 mm. "</t>
  </si>
  <si>
    <t>" Čtyřhranné potrubí VZT - 700×560 mm " (1,6)</t>
  </si>
  <si>
    <t>751992222 SPC</t>
  </si>
  <si>
    <t xml:space="preserve">D+M Potrubí nerez čtyřhranné 710×200 mm + TI tl. 40 mm - GASTRO - Specifikace dle PD  </t>
  </si>
  <si>
    <t>" Nerezové čtyřhranné potrubí 710×200 mm vč. TI tl. 40 mm. "</t>
  </si>
  <si>
    <t>" Čtyřhranné potrubí VZT - 710×200 mm " (8,3)</t>
  </si>
  <si>
    <t>751992223 SPC</t>
  </si>
  <si>
    <t xml:space="preserve">D+M Potrubí nerez čtyřhranné 710×400 mm + TI tl. 40 mm - GASTRO - Specifikace dle PD  </t>
  </si>
  <si>
    <t>" Nerezové čtyřhranné potrubí 710×400 mm vč. TI tl. 40 mm. "</t>
  </si>
  <si>
    <t>" Čtyřhranné potrubí VZT - 710×400 mm " (2,6)</t>
  </si>
  <si>
    <t>751992224 SPC</t>
  </si>
  <si>
    <t xml:space="preserve">D+M Potrubí nerez čtyřhranné 710×560 mm + TI tl. 40 mm - GASTRO - Specifikace dle PD  </t>
  </si>
  <si>
    <t>" Nerezové čtyřhranné potrubí 710×560 mm vč. TI tl. 40 mm. "</t>
  </si>
  <si>
    <t>" Čtyřhranné potrubí VZT - 710×560 mm " (2,5)</t>
  </si>
  <si>
    <t>751992225 SPC</t>
  </si>
  <si>
    <t xml:space="preserve">D+M Potrubí nerez čtyřhranné 720×400 mm + TI tl. 40 mm - GASTRO - Specifikace dle PD  </t>
  </si>
  <si>
    <t>" Nerezové čtyřhranné potrubí 720×400 mm vč. TI tl. 40 mm. "</t>
  </si>
  <si>
    <t>" Čtyřhranné potrubí VZT - 720×400 mm " (2,5)</t>
  </si>
  <si>
    <t>751992226 SPC</t>
  </si>
  <si>
    <t xml:space="preserve">D+M Potrubí nerez čtyřhranné 800×315 mm + TI tl. 40 mm - GASTRO - Specifikace dle PD  </t>
  </si>
  <si>
    <t>" Nerezové čtyřhranné potrubí 800×315 mm vč. TI tl. 40 mm. "</t>
  </si>
  <si>
    <t>" Čtyřhranné potrubí VZT - 800×315 mm " (8,5+2,4)</t>
  </si>
  <si>
    <t>751992227 SPC</t>
  </si>
  <si>
    <t xml:space="preserve">D+M Potrubí nerez čtyřhranné 800×355 mm + TI tl. 40 mm - GASTRO - Specifikace dle PD  </t>
  </si>
  <si>
    <t>" Nerezové čtyřhranné potrubí 800×355 mm vč. TI tl. 40 mm. "</t>
  </si>
  <si>
    <t>" Čtyřhranné potrubí VZT - 800×355 mm " (2,2)</t>
  </si>
  <si>
    <t>751992228 SPC</t>
  </si>
  <si>
    <t xml:space="preserve">D+M Potrubí nerez čtyřhranné 900×560 mm + TI tl. 40 mm - GASTRO - Specifikace dle PD  </t>
  </si>
  <si>
    <t>" Nerezové čtyřhranné potrubí 900×560 mm vč. TI tl. 40 mm. "</t>
  </si>
  <si>
    <t>" Čtyřhranné potrubí VZT - 900×560 mm " (32,2)</t>
  </si>
  <si>
    <t>751992229 SPC</t>
  </si>
  <si>
    <t xml:space="preserve">D+M Potrubí nerez čtyřhranné 900×630 mm + TI tl. 40 mm - GASTRO - Specifikace dle PD  </t>
  </si>
  <si>
    <t>" Nerezové čtyřhranné potrubí 900×630 mm vč. TI tl. 40 mm. "</t>
  </si>
  <si>
    <t>" Čtyřhranné potrubí VZT - 900×630 mm " (2,5)</t>
  </si>
  <si>
    <t>751992230 SPC</t>
  </si>
  <si>
    <t xml:space="preserve">D+M Potrubí nerez čtyřhranné 900×710 mm + TI tl. 40 mm - GASTRO - Specifikace dle PD  </t>
  </si>
  <si>
    <t>" Nerezové čtyřhranné potrubí 900×710 mm vč. TI tl. 40 mm. "</t>
  </si>
  <si>
    <t>" Čtyřhranné potrubí VZT - 900×710 mm " (1,4)</t>
  </si>
  <si>
    <t>751992231 SPC</t>
  </si>
  <si>
    <t xml:space="preserve">D+M Potrubí nerez čtyřhranné 1120×200 mm + TI tl. 40 mm - GASTRO - Specifikace dle PD  </t>
  </si>
  <si>
    <t>" Nerezové čtyřhranné potrubí 1120×200 mm vč. TI tl. 40 mm. "</t>
  </si>
  <si>
    <t>" Čtyřhranné potrubí VZT - 1120×200 mm " (17,7)</t>
  </si>
  <si>
    <t>751992232 SPC</t>
  </si>
  <si>
    <t xml:space="preserve">D+M Potrubí nerez čtyřhranné 1120×400 mm + TI tl. 40 mm - GASTRO - Specifikace dle PD  </t>
  </si>
  <si>
    <t>" Nerezové čtyřhranné potrubí 1120×400 mm vč. TI tl. 40 mm. "</t>
  </si>
  <si>
    <t>" Čtyřhranné potrubí VZT - 1120×400 mm " (1,5)</t>
  </si>
  <si>
    <t>751992233 SPC</t>
  </si>
  <si>
    <t xml:space="preserve">D+M Potrubí nerez čtyřhranné 1525×1170 mm + TI tl. 40 mm - GASTRO - Specifikace dle PD  </t>
  </si>
  <si>
    <t>" Nerezové čtyřhranné potrubí 1525×1170 mm vč. TI tl. 40 mm. "</t>
  </si>
  <si>
    <t>" Čtyřhranné potrubí VZT - 1525×1170 mm " (1,7)</t>
  </si>
  <si>
    <t>751992301 SPC</t>
  </si>
  <si>
    <t>D+M Příplatek pro potrubí VZT vedeného v exteriéru - Specifikace dle PD</t>
  </si>
  <si>
    <t>" Příplatek za potrubí vedené ve venkovním prostoru - na střeše, terase, apod. za vyšší tl. izolace (TI 100 mm) a oplechování z nerez plechu v tl. min 1 mm. "</t>
  </si>
  <si>
    <t xml:space="preserve">" Příplatek k VZT potrubí vedeného v exteriéru. " </t>
  </si>
  <si>
    <t>" V ceně dodávka a montáž TI, provedení oplechování, plech, zajištění napojení, kotvící, upevňovací a těsnící materiál a veškeré další nutné příslušenství a práce související s provedením potrubí vedeného v exteriéru . "</t>
  </si>
  <si>
    <t>" POZN: Jedná se o záměnu izolací z výše zmíněných potrubí vedených uvnitře z tl. TI 40 mm na TI tl. 100 mm a oplechování. "</t>
  </si>
  <si>
    <t>751992302 SPC</t>
  </si>
  <si>
    <t>D+M Příplatek pro VZT potrubí za požární izolaci a vyšší tl. TI  vedeného uvnitř - Specifikace dle PD</t>
  </si>
  <si>
    <t>" Příplatek za potrubí vedené uvnitř objektu za vyšší tl. izolace (TI 100 mm) či změnu TI za PI. "</t>
  </si>
  <si>
    <t xml:space="preserve">" Příplatek k VZT potrubí vedeného v interiéru. " </t>
  </si>
  <si>
    <t>" V ceně dodávka a montáž Izolace, zajištění napojení, kotvící, upevňovací a těsnící materiál a veškeré další nutné příslušenství a práce související s provedením potrubí vedeného v interiéru . "</t>
  </si>
  <si>
    <t>" POZN: Jedná se o záměnu izolací z výše zmíněných potrubí vedených uvnitře z tl. TI 40 mm na TI vyšší tl. (do 100 m)m či PI tl. 40 mm. "</t>
  </si>
  <si>
    <t>751992401 SPC</t>
  </si>
  <si>
    <t>" Zajištění prostupů potrubí vzduchotechniky mezi jednotlivými požárními úseky protipožárními prvky - ucpávkami, tmely, pěny, disky, apod. - požadované požární odolnosti. "</t>
  </si>
  <si>
    <t>751992501 SPC</t>
  </si>
  <si>
    <t>Část:   BOURACÍ PRÁCE</t>
  </si>
  <si>
    <t>131213901 SPC</t>
  </si>
  <si>
    <t>Hloubení jam</t>
  </si>
  <si>
    <t>" Hloubení jam "</t>
  </si>
  <si>
    <t xml:space="preserve">" Okolo objektu." </t>
  </si>
  <si>
    <t xml:space="preserve">" Okolo uvnitř objektu." </t>
  </si>
  <si>
    <t>" Příplatky "</t>
  </si>
  <si>
    <t>" Zhutnění "</t>
  </si>
  <si>
    <t>" Zasyp "</t>
  </si>
  <si>
    <t>" Přesun zeminy "</t>
  </si>
  <si>
    <t>317</t>
  </si>
  <si>
    <t>317999901 SPC</t>
  </si>
  <si>
    <t>D+M Ocelový překlad s valcovanými nosníky, 4x I č. 100 dl. 1,7 m - Specifikace dle PD - P05</t>
  </si>
  <si>
    <t>" Ocelové profily včetně maltového lože, spojení nosníků při spodním povrchu pásovou ocelí a jejich vzájemného svaření. "</t>
  </si>
  <si>
    <t xml:space="preserve">" Překlad 1. PP. " </t>
  </si>
  <si>
    <t>" V ceně zřízení bednění, odstranění bednění. "</t>
  </si>
  <si>
    <t>317999902 SPC</t>
  </si>
  <si>
    <t>D+M Ocelový překlad s valcovanými nosníky, 6x I č. 120 dl. 1,8 m - Specifikace dle PD - P06</t>
  </si>
  <si>
    <t>317999903 SPC</t>
  </si>
  <si>
    <t>D+M Ocelový překlad s valcovanými nosníky, 4x I č. 100 dl. 1,0 m - Specifikace dle PD - P07</t>
  </si>
  <si>
    <t>317999904 SPC</t>
  </si>
  <si>
    <t>D+M Ocelový překlad s valcovanými nosníky, 2x I č. 100 dl. 1,4 m - Specifikace dle PD - P01</t>
  </si>
  <si>
    <t xml:space="preserve">" Překlad 1. NP. " </t>
  </si>
  <si>
    <t>317999905 SPC</t>
  </si>
  <si>
    <t>D+M Ocelový překlad s valcovanými nosníky, 2x I č. 100 dl. 1,55 m - Specifikace dle PD - P02</t>
  </si>
  <si>
    <t>317999906 SPC</t>
  </si>
  <si>
    <t>D+M Ocelový překlad s valcovanými nosníky, 4x I č. 120 dl. 1,8 m - Specifikace dle PD - P03</t>
  </si>
  <si>
    <t>317999907 SPC</t>
  </si>
  <si>
    <t>D+M Ocelový překlad s valcovanými nosníky, 4x I č. 100, dl. 1,55 m - Specifikace dle PD - P04</t>
  </si>
  <si>
    <t>317999908 SPC</t>
  </si>
  <si>
    <t>D+M Ocelový překlad s valcovanými nosníky, 2x I č. 100, dl. 1,3 m - Specifikace dle PD - P08</t>
  </si>
  <si>
    <t xml:space="preserve">" Překlad 2. NP. " </t>
  </si>
  <si>
    <t>Obalení konstrukcí a prvků fólií přilepenou lepící páskou</t>
  </si>
  <si>
    <t>" Ochrana ponechaných oken a dveří před poškozením při bouracích pracích "</t>
  </si>
  <si>
    <t>" Odhadované množství - 50 m2 "</t>
  </si>
  <si>
    <t>" V ceně také odstranění ochrany. "</t>
  </si>
  <si>
    <t>Ochrana konstrukcí nebo samostatných prvků obalením geotextilií</t>
  </si>
  <si>
    <t>Montáž lešení řadového trubkového lehkého s podlahami zatížení do 200 kg/m2 š do 1,5 m v do 25 m</t>
  </si>
  <si>
    <t>" Venkovní lešení - Jídelna " (42,00+43,200+2,00+19,700)*9,00</t>
  </si>
  <si>
    <t>Příplatek k lešení řadovému trubkovému lehkému s podlahami š 1,5 m v 25 m za první a ZKD den použití</t>
  </si>
  <si>
    <t>" Pronájem lešení - hl. objekt - odhad 5 měsíců " (962,10)*150</t>
  </si>
  <si>
    <t>Demontáž lešení řadového trubkového lehkého s podlahami zatížení do 200 kg/m2 š do 1,5 m v do 25 m</t>
  </si>
  <si>
    <t>" Montáž ochranné sítě pro použité lešení - hl. objekt  "  (42,00+43,200+2,00+19,700)*9,00</t>
  </si>
  <si>
    <t>" Pronájem sítě - hl. objekt - odhad 5 měsíců " (962,10)*150</t>
  </si>
  <si>
    <t>Montáž záchytné stříšky š do 2,5 m</t>
  </si>
  <si>
    <t>" Montáž stříšky v místě vchodů - Jídelna " (2,00+1,00)</t>
  </si>
  <si>
    <t>Příplatek k záchytné stříšce š do 2,5 m za první a ZKD den použití</t>
  </si>
  <si>
    <t>" Pronájem stříšky - Jídelna - odhad 5 měsíců " (3,00)*150</t>
  </si>
  <si>
    <t>Demontáž záchytné stříšky š do 2,5 m</t>
  </si>
  <si>
    <t>" Pomocné lešení pro objekty při bouracích pracích "</t>
  </si>
  <si>
    <t>" Vnitřní lešení 1. PP " (16,70+7,98+11,82+1,08+2,17+3,93+5,21+15,55+6,68+20,76+88,98)</t>
  </si>
  <si>
    <t>" Vnitřní lešení 1. NP - pro m. sv. do 4,0 m " (5,52+6,84+11,15+5,50+1,08+0,78+24,21+15,78+12,83+20,64+13,58+12,35+3,12+4,25+12,80+12,85+3,13+2,41+1,44+3,58+84,54+192,71+9,24+15,05+9,80+4,34+5,09+3,15+2,24+3,15+6,02+43,03+38,25+17,25+65,26+9,22+23,03+9,09)</t>
  </si>
  <si>
    <t>" Vnitřní lešení 2. NP - pro m. sv. do 4,0 m " (5,91+88,00+22,26+64,47+2,24+6,74+6,18+1,40+5,96+5,29+3,36+77,13+22,94+31,05+66,77+4,33+4,96+4,75+1,96+2,65+3,68+1,36+12,71+9,93+58,68+66,77+56,95+70,10)</t>
  </si>
  <si>
    <t>" V ceně náklady na dopravu, montáž, opotřebení, doby pronájmu lešení a demontáž lešení. "</t>
  </si>
  <si>
    <t>" Vyčištění místnosti po bouracích pracích "</t>
  </si>
  <si>
    <t>" Čistý úklid 1. PP " (16,70+7,98+11,82+1,08+2,17+3,93+5,21+15,55+6,68+20,76+88,98)</t>
  </si>
  <si>
    <t>" Čistý úklid 1. NP " (5,52+6,84+11,15+5,50+1,08+0,78+24,21+15,78+12,83+20,64+13,58+12,35+3,12+4,25+12,80+12,85+3,13+2,41+1,44+3,58+84,54+192,71+9,24+15,05+9,80+4,34+5,09+3,15+2,24+3,15+6,02+43,03+38,25+17,25+65,26+9,22+23,03+9,09)</t>
  </si>
  <si>
    <t>" Čistý úklid 2. NP " (5,91+88,00+22,26+64,47+2,24+6,74+6,18+1,40+5,96+5,29+3,36+77,13+22,94+31,05+66,77+4,33+4,96+4,75+1,96+2,65+3,68+1,36+12,71+9,93+58,68+66,77+56,95+70,10)</t>
  </si>
  <si>
    <t>013</t>
  </si>
  <si>
    <t>Bourání základů ze ŽB</t>
  </si>
  <si>
    <t>" Bourání základového pásu " 0,77</t>
  </si>
  <si>
    <t>" Bourání základového pásu pod agregát VZT " 0,323</t>
  </si>
  <si>
    <t>Bourání základů cihelných na MV nebo MVC</t>
  </si>
  <si>
    <t>" Bourání základového pásu 1.PP " (1,008+12,553+3,456)</t>
  </si>
  <si>
    <t>Bourání základů cihelných na MC</t>
  </si>
  <si>
    <t>" Bourání základového pásu 1.PP " (6,610)</t>
  </si>
  <si>
    <t>Bourání zdiva z cihel pálených nebo vápenopískových na MV nebo MVC do 1 m3</t>
  </si>
  <si>
    <t>" Bourání zdiva 1.NP " (0,360)</t>
  </si>
  <si>
    <t>" Bourání zdiva 2.NP " (0,908)</t>
  </si>
  <si>
    <t>Bourání zdiva z cihel pálených nebo vápenopískových na MV nebo MVC přes 1 m3</t>
  </si>
  <si>
    <t>" Bourání zdivo 1.NP " (8,612)</t>
  </si>
  <si>
    <t>Bourání zdiva z cihel pálených nebo vápenopískových na MC do 1 m3</t>
  </si>
  <si>
    <t>" Bourání zdivo 1.NP " (0,153)</t>
  </si>
  <si>
    <t>Bourání zdiva z cihel pálených nebo vápenopískových na MC přes 1 m3</t>
  </si>
  <si>
    <t>" Bourání zdivo 1.NP " (37,27)</t>
  </si>
  <si>
    <t>" Bourání zdivo 2.NP " (20,640)</t>
  </si>
  <si>
    <t>Bourání zdiva nadzákladového ze ŽB do 1 m3</t>
  </si>
  <si>
    <t>" Bourání stěn " 0,160</t>
  </si>
  <si>
    <t>Bourání příček ze skleněných tvárnic tl do 100 mm</t>
  </si>
  <si>
    <t>" Vybourání luxfer - 1. NP " (3,619)</t>
  </si>
  <si>
    <t>9630429001 SPC</t>
  </si>
  <si>
    <t>Bourání schodišťových stupňů/ ramen</t>
  </si>
  <si>
    <t>CS ÚRS/ TEO 2024 01</t>
  </si>
  <si>
    <t>" Bourání schodišť "</t>
  </si>
  <si>
    <t xml:space="preserve">  Včetně naložení, svislého a vodorovného přesunu suti, odvoz stavební suti. _x000D_
Likvidace v souladu se zákonem č. 541/2020 Sb. O odpadech vč. správného začlenění dle přílohy č. 1 vyhlášky č. 8/2021 o Katalogu odpadů a posuzování vlastností odpadů (Katalog odpadů). _x000D_
Likvidace dle technologie na místa určené zhotovitelem, včetně poplatků za uložení odpadu. </t>
  </si>
  <si>
    <t xml:space="preserve">Bourání stropů </t>
  </si>
  <si>
    <t>" Bourání stropů "</t>
  </si>
  <si>
    <t>964011901 SPC</t>
  </si>
  <si>
    <t>Vybourání / odstranění stávajících překladů nade dveřmi / okny při rozšiřování / zvýšení otvorů / bourání celé konstrukce - Specifikace dle PD</t>
  </si>
  <si>
    <t>" Odstranění všech stávajících překladů - cihelných, ŽB, ocelových, monolitických, ... "</t>
  </si>
  <si>
    <t>" V ceně také vysekání kapsy s uložením, odvoz a likvidace suti, a veškeré dalšíá práce související s provedení odstranění stávajících překladů vč. odstranění veškerých podkladních, úložných a výplňových prvků. "</t>
  </si>
  <si>
    <t>964052901 SPC</t>
  </si>
  <si>
    <t>Vybourání / odstranění stávajících ŽB věnců, trámů průvlaků v místech bourané vestavby mimo úroveň stropů - Specifikace dle PD</t>
  </si>
  <si>
    <t>" Odstranění stávajících ŽB věnců, průvlaků mimo úroveň stropů "</t>
  </si>
  <si>
    <t>" V ceně odvoz a likvidace suti, a veškeré dalšíá práce související s provedení odstranění stávajících ŽB věnců. "</t>
  </si>
  <si>
    <t>964999201 SPC</t>
  </si>
  <si>
    <t>Odstranění podkladních vrstev podlah včetně základové desky na požadovanou výškovou úroveň - Specifikace dle PD</t>
  </si>
  <si>
    <t>" Odstranění celé skladby podlahy - 1. NP "  (15,78+12,83+84,54+15,05+9,80+9,24+65,26+192,71+20,64+13,58+4,25+12,8+12,85+3,13+2,41+1,44+1,19)</t>
  </si>
  <si>
    <t>" Odstranění podkladních vrstev podlah jako tepelné izolace, roznášecí vrstvy, maltového lože, veškerých svislých vrstev (podlahových pásků, tepelné izolace zdí v podlaze, ...), apod. "</t>
  </si>
  <si>
    <t>" Odstranění základové desky, hydroizolace, podkladního vyztuženého betonu, podsypu pod základovou deskou, veškerých svislých vrstev (podlahových pásků, tepelné izolace zdí v podlaze, ...), apod. "</t>
  </si>
  <si>
    <t>" V ploše také iodstranění výěkových změn v dané místnosti - např. zvýšený sokl, stupňovatá podlaha, apod. "</t>
  </si>
  <si>
    <t>964999202 SPC</t>
  </si>
  <si>
    <t>Odstranění podkladních vrstev podlah nad hydroizolaci - Specifikace dle PD</t>
  </si>
  <si>
    <t>" Odstranění podkladních vrstev skladby podlahy - 1. NP " (5,52+6,84+11,15+1,08+0,78+24,21+9,22+23,03+5,09+4,34+3,15+2,24+3,15+6,02+43,03+38,25+17,25)</t>
  </si>
  <si>
    <t>" Odstranění podkladních vrstev podlah jako tepelné izolace, hydroizolace, separační a roznášecí vrstvy, maltového lože, násypů, (podlahových pásků, tepelné izolace zdí v podlaze, ...), apod. "</t>
  </si>
  <si>
    <t>" V ploše také odstranění výškových změn v dané místnosti - např. zvýšený sokl, stupňovitá podlaha, apod. "</t>
  </si>
  <si>
    <t>Bourání podkladů pod dlažby nebo mazanin betonových nebo z litého asfaltu tl do 100 mm pl přes 4 m2</t>
  </si>
  <si>
    <t xml:space="preserve">" Odstranění nášlapné vrstvy z betonové mazaniny - předpokládaná tl. 50 mm " </t>
  </si>
  <si>
    <t>" 1. NP " (5,52+6,84+11,15+24,21+15,78+12,83+20,64+13,58+3,12+2,41+1,44+3,58+84,54+5,09+3,15+2,24+3,15+6,02+43,03+38,25+17,25+9,09)</t>
  </si>
  <si>
    <t>" 2. NP " (2,24+6,74+6,18+1,40+5,96+5,29+3,36+4,96+4,75+1,96+2,65+3,68+1,36)</t>
  </si>
  <si>
    <t>Bourání podlah z dlaždic keramických nebo xylolitových tl přes 10 mm plochy přes 1 m2</t>
  </si>
  <si>
    <t xml:space="preserve">" Odstranění nášlapné vrstvy z keramické dlažby " </t>
  </si>
  <si>
    <t>968072356 RTO</t>
  </si>
  <si>
    <t>Vybourání oken ocelových / plastových / dřevěných vč. křídel - Specifikace dle PD</t>
  </si>
  <si>
    <t>" Vybourání oken - 1. PP " (0,9*0,6*4)</t>
  </si>
  <si>
    <t>" Vybourání oken - 1. NP " (2,4*1,8*12)+(0,9*1,8*3)+(1,2*1,8*3)+(2,4*2,1*9)+(0,9*2,1*4)+(1,2*2,1*4)</t>
  </si>
  <si>
    <t>" Vybourání oken - 2. NP " (2,4*2,1*12)+(0,90*2,1*5)+(1,2*2,1*4)+(2,4*2,1*10)</t>
  </si>
  <si>
    <t>" V položce zahrnuto vyvěšení okenních křídel, demontáž vnitřního a vnějšího parapetu, vybourání rámu oken, demontáž žaluzíí, sítí proti hmyzu apod. V ceně také nutné přisekání / řezání ostění a odstranění potěrů pod parapety "</t>
  </si>
  <si>
    <t>" - Likvidace v souladu se zákonem č. 185/2001 Sb., o odpadech a související vyhláškou MŽP ČR č. 294/2005 Sb. o podmínkách ukládání odpadů na skládky a jejich využívání na povrchu terénu a změně vyhlášky č. 383/2001 Sb., o podrobnostech nakládání s odpady. Likvidace dle technologie a místa určené zhotovitelem, včetně poplatků za uložení odpadu. "</t>
  </si>
  <si>
    <t>968072456 RTO</t>
  </si>
  <si>
    <t>Vybourání dveřních zárubní a rámů včetně křídla - Specifikace dle PD</t>
  </si>
  <si>
    <t>" Vybourání dveří - 1. NP " (1,65*1,97)+(0,8*1,970)+(0,60*1,970*12)+(0,80*1,970*15)+(0,90*1,970*2)+((0,90+0,615)*2,10)+(1,450*1,970)+(1,25*1,970*7)+(1,650*1,970)</t>
  </si>
  <si>
    <t>" Vybourání dveří - 2. NP " (0,6*1,970*10)+(0,80*1,970*2)+(1,25*1,97)</t>
  </si>
  <si>
    <t>" V položce zahrnuto vyvěšení dřevěných nebo kovových (popř. plastových) dveřních křídel, odstranění prahů, vybourání kovových / dřevěných zárubní vč, světlíkových částí a mříží. V ceně nutné přisekání ostění a nutné odstranění prvků na dveřních křídlech - samozavíračů, okopného plechu, stavěče, apod. "</t>
  </si>
  <si>
    <t>971035901 SPC</t>
  </si>
  <si>
    <t>Vybourání otvorů ve zdivu</t>
  </si>
  <si>
    <t>" Vybourání otvorů ve zdivu "</t>
  </si>
  <si>
    <t>974031901 SPC</t>
  </si>
  <si>
    <t>Vysekání rýh ve zdivu</t>
  </si>
  <si>
    <t>" Vysekání rýh pro uložení překladů nad nově provedenými nikami "</t>
  </si>
  <si>
    <t>Vysekání rýh ve zdivu / omítkách stropů pro vedení veškerých instalací a kabeláže + vybourání prostupů - Specifikace dle PD</t>
  </si>
  <si>
    <t>" Vysekání rýh ve stávajícím zdivu pro vedení veškerých instalací a kabeláže. Rýhy potřebných šířek a hloubek. 
Vybourání prostupů pro vedení instalací  - jádrovými vrty. "</t>
  </si>
  <si>
    <t>" V ceně provedení vysekání rýhy vč. případného řezání, odvozu a likvidace suti a dalších nutných prací souvisejících s provedením rýh a drážek + prostupů prováděnými vrty pro vedení instalací. "</t>
  </si>
  <si>
    <t>978011901 SPC</t>
  </si>
  <si>
    <t>Otlučení (osekání) vnitřní vápenné nebo vápenocementové omítky stropů v rozsahu do 50 %</t>
  </si>
  <si>
    <t>" Oklepání omítek stropů/ stěn"</t>
  </si>
  <si>
    <t>978999101 SPC</t>
  </si>
  <si>
    <t>Odstranění skladby střešního pláště sklonité střechy vyjma plechové krytiny - Specifikace dle PD</t>
  </si>
  <si>
    <t>" Odstranění skladby sklonité střechy (bednění, latě, konstralatě, parozábrana, fólie, …) vyjma krytiny, vč. lemování, lišt, ostatních klempířských prvků, kotvících a spojovacích prvků, apod. V ceně také řezání a zapravení jednotlivých materiálů. "</t>
  </si>
  <si>
    <t>" Vybourání části stávající střechy " 870,0</t>
  </si>
  <si>
    <t>978999102 SPC</t>
  </si>
  <si>
    <t>Odstranění skladby střešního pláště ploché střechy vyjma asfaltové krytiny / keramické dlažby - Specifikace dle PD</t>
  </si>
  <si>
    <t>" Odstranění skladby ploché teras a střech vestavby a přístaveb u tělocvičny až na stropní / nosnou konstrukci - násypy, TI, HI, spádové konstrukce, apod. -, vč. lemování, lišt a ostatních klempířských prvků, kotvících a spojovacích prvků, nikde neuvedených apod. "
V ceně také odstranění materiálů na svislých plochách. "</t>
  </si>
  <si>
    <t>" Střechy vestaveb " 870,0</t>
  </si>
  <si>
    <t>978999103 SPC</t>
  </si>
  <si>
    <t>Demontáž, úprava a zpětná montáž prvků na fasádě - Specifikace dle PD</t>
  </si>
  <si>
    <t>" Demontáž a případná úprava, očištění, nátěr a zpětná montáž prvků na fasádě - osvětlení, větracích mřížek, revizních dvířek, plechových sříní, vypínačů, zvonků, telekomunikačního zařízení, kamerového systému, čidel, záchytných konzol, držáků, čistících rohoží, pamětní desky, apod."</t>
  </si>
  <si>
    <t xml:space="preserve">" Zpětné připevnění na fasádu pomocí systémových prvků, šroubovacích hmoždinek nebo chemických kotev přes systémové podložky " </t>
  </si>
  <si>
    <t>989</t>
  </si>
  <si>
    <t>989999301 SPC</t>
  </si>
  <si>
    <t>Přesun hmot s omezením mechanizace pro budovy v do 12 m</t>
  </si>
  <si>
    <t>57</t>
  </si>
  <si>
    <t>999999901 SPC</t>
  </si>
  <si>
    <t>Ostatní práce a dodávky HSV a PSV nespecifikované</t>
  </si>
  <si>
    <t xml:space="preserve">" V ceně např.: 
 - nutná ochrana stávajícího zdiva OSB deskami a geotextíli před jejich porušením;
 - vysekání kapes a rýh pro nosníky a jejich uložení v množství větším než uvedeném;
 - nutné navýšení za zřízení podpěrné konstrukce zdiva, stropů;
 - řezání a vysekání / vybourání otvorů pro vedení instalací skrze zdivo a strop vč. případného odvozu a likvidace suti (vyjma jádrových vrtů);
 - případné úpravy plochy odsekaného zdiva;
 - překlady z ocelových nosníků jiných rozměrů a typů zde uvedených a jiného počtu kusů než zde uvedených; 
 - případné navýšení množství za práce v rozpočtu uvedené - např. vybourání podlahových vpustí a dalších zařizovacích předmětů, navýšení zemních prací za nutné zvýšené odkopy vč. odvozu zeminy, apod.;
 - Vybourání otvorů skrze střechu pro světlovody, vedení VZT;
 - a další veškeré nutné práce související s provedením bouracích prací jinde neuvedené. " </t>
  </si>
  <si>
    <t>722</t>
  </si>
  <si>
    <t>Zdravotechnika - Vnitřní vodovod</t>
  </si>
  <si>
    <t>59</t>
  </si>
  <si>
    <t>Odstranění stávajících rozvodů teplé + cirkulační vody vč. veškerých tvarovek a případné izolace, včetně zapravení prostupů - Specifikace dle PD</t>
  </si>
  <si>
    <t>" Ostranění stávajících rozvodů teplé a cirkulační vody vč. veškerých tvarovek, veškrých prvků (chrániček, kotvících, úložných podpůrných, ucpávek, …) a izolace vč. odpojení a vypouštění. "</t>
  </si>
  <si>
    <t>" Předpokládané maximální množství - 500,0 m "</t>
  </si>
  <si>
    <t>" V ceně také případné zaslepení potrubí, případná demontáž a zpětná montáž podhledů, předstěn (přístupu k odstraňovaným potrubím), zapravení prostupů, zdiva a povrchových úprav. "</t>
  </si>
  <si>
    <t xml:space="preserve">" V ceně demontáže nutno zohlednit možný výskyt azbestu, např. z izolací, těsnících prvků, apod.. " </t>
  </si>
  <si>
    <t>722999102 SPC</t>
  </si>
  <si>
    <t>Odstranění stávajících rozvodů studené vody vč. veškerých tvarovek a případné izolace, včetně zapravení prostupů - Specifikace dle PD</t>
  </si>
  <si>
    <t>" Ostranění stávajících rozvodů studené vody vč. veškerých tvarovek, veškrých prvků (chrániček, kotvících, úložných podpůrných, ucpávek, …) a případné izolace vč. odpojení a vypouštění. "</t>
  </si>
  <si>
    <t>" Předpokládané maximální množství - 550,0 m "</t>
  </si>
  <si>
    <t>722999103 SPC</t>
  </si>
  <si>
    <t>Odstranění stávajících rozvodů požární vody vč. veškerých tvarovek a případné izolace, včetně zapravení prostupů - Specifikace dle PD</t>
  </si>
  <si>
    <t>" Ostranění stávajících rozvodů požární vody vč. veškerých tvarovek, veškrých prvků (chrániček, kotvících, úložných podpůrných, ucpávek, …) a případné izolace vč. odpojení a vypouštění. "</t>
  </si>
  <si>
    <t>" Předpokládané maximální množství - 40,0 m "</t>
  </si>
  <si>
    <t>62</t>
  </si>
  <si>
    <t>722999104 SPC</t>
  </si>
  <si>
    <t>Odstranění veškerých armatur vodovodu vč. příslušenství - Specifikace dle PD</t>
  </si>
  <si>
    <t>" Odstranění veškerých armatur vodovodu vč. příslušenství - např. kulové kohouty, vypouštěcí ventily, vyvažovací ventily, odvzdušňovací ventily, vodoměry, revizní dvířka apod.  "</t>
  </si>
  <si>
    <t>" Předpokládané maximální množství - 70,0 ks "</t>
  </si>
  <si>
    <t>Demontáž hydrantů - Specifikace dle PD</t>
  </si>
  <si>
    <t>" Odstranění hydrantových skříní včetně vystrojení a zapravení / doplnění zdiva, odstranění armatur a tvarovek na vodovodním potrubí. "</t>
  </si>
  <si>
    <t>" Předpokládané maximální množství - 2,0 ks "</t>
  </si>
  <si>
    <t xml:space="preserve">" Stavební práce a dodávky spojené s provedením funkčního celku 722. " </t>
  </si>
  <si>
    <t xml:space="preserve">" Ostatní náklady na demontáž, odstranění apod. mj.s vazbou na stávající okolní konstrukce. " </t>
  </si>
  <si>
    <t>Zdravotechnika - Vnitřní plynovod</t>
  </si>
  <si>
    <t>723999101 SPC</t>
  </si>
  <si>
    <t>Odstranění stávajících rozvodů plynovodu, včetně zapravení prostupů - Specifikace dle PD</t>
  </si>
  <si>
    <t>" Součástí ceny je odkrytí potrubí, odpojení, vypuštění a demontáž. Zaslepení stávajícího potrubí. Demontáž potrubí včetně armatur a tvarovek. V ceně také zapravení prostupů, zdiva a povrchových úprav. "</t>
  </si>
  <si>
    <t>" Předpokládané maximální množství - 25,0 m "</t>
  </si>
  <si>
    <t xml:space="preserve">"Stavební práce a dodávky spojené s provedením funkčního celku 722" </t>
  </si>
  <si>
    <t xml:space="preserve">"Ostatní náklady na demontáž, odstranění apod. mj.s vazbou na stávající okolní konstrukce" </t>
  </si>
  <si>
    <t>725</t>
  </si>
  <si>
    <t>Zdravotechnika - Zařizovací předměty</t>
  </si>
  <si>
    <t xml:space="preserve">725110901 SPC </t>
  </si>
  <si>
    <t>Demontáž zařizovacích předmětů</t>
  </si>
  <si>
    <t>" Zařizovací předměty "</t>
  </si>
  <si>
    <t xml:space="preserve">" Stavební práce a dodávky spojené s provedením funkčního celku 725 " </t>
  </si>
  <si>
    <t>733</t>
  </si>
  <si>
    <t>Ústřední vytápění - potrubí</t>
  </si>
  <si>
    <t>Odstranění stávajících rozvodů vytápění vč. veškerých tvarovek a případné izolace, včetně zapravení prostupů - Specifikace dle PD</t>
  </si>
  <si>
    <t>" Ostranění stávajících rozvodů vytápění vč. veškerých tvarovek, veškrých prvků (chrániček, kotvících, úložných podpůrných, ucpávek, …) a izolace vč. odpojení a vypouštění. "</t>
  </si>
  <si>
    <t>" Předpokládané maximální množství - 820,0 m "</t>
  </si>
  <si>
    <t>70</t>
  </si>
  <si>
    <t>Odstranění stávajících otopných těles - Specifikace dle PD</t>
  </si>
  <si>
    <t>" Ostranění stávajících otopných těles vč. příslušenství (např. elektrických, podlahových, trubkových, deskových, žebrových, lavicových, ...), vč. odpojení a vypouštění. "</t>
  </si>
  <si>
    <t>" V ceně také případné zaslepení potrubí, zapravení otvorů po kotvících prvcích, zdiva a povrchových úprav. "</t>
  </si>
  <si>
    <t>71</t>
  </si>
  <si>
    <t>Odstranění veškerých armatur vytápění vč. příslušenství - Specifikace dle PD</t>
  </si>
  <si>
    <t>" Odstranění veškerých armatur vytápění vč. příslušenství - např. kulové kohouty, vypouštěcí ventily, vyvažovací ventily, odvzdušňovací ventily, vodoměry, regulační ventily, čidla, teploměry, manometry, kompenzátory, zpětné klapky, filtry, termostaty, revizní dvířka apod.  "</t>
  </si>
  <si>
    <t>" Předpokládané maximální množství - 150,0 ks "</t>
  </si>
  <si>
    <t xml:space="preserve">" Stavební práce a dodávky spojené s provedením funkčního celku 733. " </t>
  </si>
  <si>
    <t>Elektromontážní práce</t>
  </si>
  <si>
    <t>73</t>
  </si>
  <si>
    <t>741</t>
  </si>
  <si>
    <t>Demontáž svítidel vč. veškerého jejich příslušenství - krytů závěsů, mříží, zářivek, žárovek, apod. - Specifikace dle PD</t>
  </si>
  <si>
    <t>" Odstranění svítidel vč. jejich veškerých prvků a příslušenství - krytů závěsů, mříží, zářivek, žárovek, … "</t>
  </si>
  <si>
    <t>" Předpokládané maximální množství - 180 ks "</t>
  </si>
  <si>
    <t xml:space="preserve">" V ceně demontáže nutno zohlednit možný výskyt azbestu, např. z izolací, těsnících prvků, kabelových lávek apod. " </t>
  </si>
  <si>
    <t>74</t>
  </si>
  <si>
    <t>Demontáž koncových prvků vč. veškerého příslušenství - rámů, krabice, krytů, apod.  - Specifikace dle PD</t>
  </si>
  <si>
    <t>" Odstranění koncových prvků (zásuvek, vypínáčů, tlačítek, apod.), rozvaděčů a dalších veškerých nutných prvků elektroinstalace. "</t>
  </si>
  <si>
    <t>" Předpokládané maximální množství - 290 ks "</t>
  </si>
  <si>
    <t>" V ceně případné zapravení prostupů, zdiva, povrchových úprav a podlah do původního stavu. "</t>
  </si>
  <si>
    <t>Demontáž silnoproudých rozvodů včetně případného zapravení prostupů a drážek - Specifikace dle PD</t>
  </si>
  <si>
    <t>" Odstranění kabeláže včetně úložného materiálu (lišt, ochranný trubek, apod. ) "</t>
  </si>
  <si>
    <t>" Předpokládané maximální množství - 10 000 m "</t>
  </si>
  <si>
    <t>Demontáž vedení a prvků hromosvodu vč. příslušenství - podpěr, úhelníků, štítků, svorek, apod. - Specifikace dle PD</t>
  </si>
  <si>
    <t>" Odstranění prvků hromosvodu a uzemnění - odpojení z hromosvodu od stávajícího objektu, vybourání zemnících pásků, vč. příslušenství - podpěr, úhelníků, štítků, svorek, apod. "</t>
  </si>
  <si>
    <t>" Předpokládané maximální množství -  730,0 m "</t>
  </si>
  <si>
    <t>" Stavební práce a dodávky spojené s provedením funkčního celku 741 "</t>
  </si>
  <si>
    <t>Chlazení</t>
  </si>
  <si>
    <t>750</t>
  </si>
  <si>
    <t>750999101 SPC</t>
  </si>
  <si>
    <t xml:space="preserve">Odstranění stávajících rozvodů chlazení vč. veškerého příslušenství a zapravení prostupů - Specifikace dle PD </t>
  </si>
  <si>
    <t>" Součástí ceny je odkrytí potrubí, odpojení, vypuštění a demontáž. Odstranění těles, armatur a příslušenství chlazení objektu. V ceně také zaslepení potrubí vč materiálu a přesunu hmot. "</t>
  </si>
  <si>
    <t>" V ceně zapravení prostupů, zdiva, povrchových úprav do původního stavu. "</t>
  </si>
  <si>
    <t>" Předpokládané maximální množství -  200,0 m "</t>
  </si>
  <si>
    <t>HZS3211</t>
  </si>
  <si>
    <t xml:space="preserve">" Stavební práce a dodávky spojené s provedením funkčního celku 750. " </t>
  </si>
  <si>
    <t>751999101 SPC</t>
  </si>
  <si>
    <t xml:space="preserve">Demontáž vzduchotechnických zařízení včetně zapravení prostupů - Specifikace dle PD </t>
  </si>
  <si>
    <t>" Součástí ceny je odkrytí potrubí, odpojení a demontáž potrubí včetně tepelné izolace. Odstranění vzduchotechnických jednotek, podpůrných konstrukcí jednotek, ventilátorů, koncových prvků, potrubních elementů, ventilačních komínků na střeše včetně hlavic a veškerého příslušenství. "</t>
  </si>
  <si>
    <t>" Předpokládané maximální množství -  300,0 m "</t>
  </si>
  <si>
    <t>Konstrukce tesařské</t>
  </si>
  <si>
    <t>762</t>
  </si>
  <si>
    <t>762215901 SPC</t>
  </si>
  <si>
    <t>Demontáž tesařských konstrukcí</t>
  </si>
  <si>
    <t>" Demontáž tesařských konstrukcí "</t>
  </si>
  <si>
    <t>" Stavební práce a dodávky spojené s provedením funkčního celku 763. "</t>
  </si>
  <si>
    <t>D.1.1. ASŘ - BOURACÍ PRÁCE - Energetické úspory ZŠ U soudu - objekt stravovny a jídelny</t>
  </si>
  <si>
    <r>
      <t xml:space="preserve">" - Nerezový dřez s odkapem vč. </t>
    </r>
    <r>
      <rPr>
        <sz val="8"/>
        <color rgb="FFFF00FF"/>
        <rFont val="Arial CE"/>
        <family val="2"/>
        <charset val="238"/>
      </rPr>
      <t>plastového</t>
    </r>
    <r>
      <rPr>
        <sz val="8"/>
        <color indexed="12"/>
        <rFont val="Arial CE"/>
        <family val="2"/>
        <charset val="238"/>
      </rPr>
      <t xml:space="preserve"> sifonu, nerezové pákové baterie a příslušenství. "</t>
    </r>
  </si>
  <si>
    <t>1ca</t>
  </si>
  <si>
    <t>1da</t>
  </si>
  <si>
    <t>" - LED pásek vč. hliníkového profilu, trafa (zdroje), konektoru pro napájení, zapojení a veškerého nutného příslušenství. " (2,55)*1,05</t>
  </si>
  <si>
    <t>2da</t>
  </si>
  <si>
    <t>" - Nízká vestavná lednice "</t>
  </si>
  <si>
    <t>766811302 SPC</t>
  </si>
  <si>
    <r>
      <t xml:space="preserve">" - Nerezový dřez s odkapem vč. </t>
    </r>
    <r>
      <rPr>
        <sz val="8"/>
        <color rgb="FFFF00FF"/>
        <rFont val="Arial CE"/>
        <family val="2"/>
        <charset val="238"/>
      </rPr>
      <t xml:space="preserve">plastový </t>
    </r>
    <r>
      <rPr>
        <sz val="8"/>
        <color indexed="12"/>
        <rFont val="Arial CE"/>
        <family val="2"/>
        <charset val="238"/>
      </rPr>
      <t>sifonu, nerezové pákové baterie a příslušenství. "</t>
    </r>
  </si>
  <si>
    <t>2ea</t>
  </si>
  <si>
    <t>3ia</t>
  </si>
  <si>
    <t>4ha</t>
  </si>
  <si>
    <t>" - LED pásek vč. hliníkového profilu, trafa (zdroje), konektoru pro napájení, zapojení a veškerého nutného příslušenství. " (1,6)*1,05</t>
  </si>
  <si>
    <t>" - LED pásek vč. hliníkového profilu, trafa (zdroje), konektoru pro napájení, zapojení a veškerého nutného příslušenství. " (6,98)*1,05</t>
  </si>
  <si>
    <t>" - LED pásek vč. hliníkového profilu, trafa (zdroje), konektoru pro napájení, zapojení a veškerého nutného příslušenství. " (3,2)*1,05</t>
  </si>
  <si>
    <t>" - LED pásek vč. hliníkového profilu, trafa (zdroje), konektoru pro napájení, zapojení a veškerého nutného příslušenství. " (6,53)*1,05</t>
  </si>
  <si>
    <t>5ia</t>
  </si>
  <si>
    <t>6da</t>
  </si>
  <si>
    <t>" - LED pásek vč. hliníkového profilu, trafa (zdroje), konektoru pro napájení, zapojení a veškerého nutného příslušenství. " (1,8)*1,05</t>
  </si>
  <si>
    <t>6ca</t>
  </si>
  <si>
    <t>D+M Kryt radiatorů - Specifikace dle PD - D.1.1.c.04. VÝPIS TRUHLÁŘSKÝCH VÝROBKŮ - T2.2</t>
  </si>
  <si>
    <t>" Dřevěný kryt na radiátor d.1900 mm, výška: 900mm "</t>
  </si>
  <si>
    <t>Ukotvení příček montážní polyuretanovou pěnou tl příčky do 100 mm</t>
  </si>
  <si>
    <t>41a</t>
  </si>
  <si>
    <t>Ukotvení příček montážní polyuretanovou pěnou tl příčky přes 100 mm</t>
  </si>
  <si>
    <t>" 2. NP " 7,7+1,7+2,6+2,1+1,8+7,7+1,7+1,5+3,3</t>
  </si>
  <si>
    <t>" 2. NP " 2,1+1,0+1,65*2+1,4+3,95+0,6+4,1+4,4*2+2,2+0,45</t>
  </si>
  <si>
    <t>" 1. NP " 1,65+2,1+0,9+1,2+1,8+2,3+2,6+1,55+1,85+0,6+0,9</t>
  </si>
  <si>
    <t>" 1. NP " 2,25+7,6+1,8*3+4,5+10,0+2,25+3,5+3,5+2,85+2,85+5,9+2,25+0,45+13,9+6,3+2,4+3,8+2,7+1,8+2,2+1,8+4,6+2,3+1,6+6,3</t>
  </si>
  <si>
    <t>POLOŽKA ZRUŠENA</t>
  </si>
  <si>
    <t>41b</t>
  </si>
  <si>
    <t>" Předpokládaná maximální plocha pro zához - 115,0 m2 "</t>
  </si>
  <si>
    <r>
      <t xml:space="preserve">" Předpokládané maximální množství nátěru vnitřních konstrukcí je </t>
    </r>
    <r>
      <rPr>
        <b/>
        <sz val="8"/>
        <color rgb="FFFF00FF"/>
        <rFont val="Arial CE"/>
        <family val="2"/>
        <charset val="238"/>
      </rPr>
      <t>100,0 m2</t>
    </r>
    <r>
      <rPr>
        <sz val="8"/>
        <color rgb="FFFF00FF"/>
        <rFont val="Arial CE"/>
        <family val="2"/>
        <charset val="238"/>
      </rPr>
      <t>. 
Jedná se o nátěr ponechaných madel a zábradlí schodišť, ocelových zárubní ponechaných dveří, stávajících ocelových dveřních křídel, … ."</t>
    </r>
  </si>
  <si>
    <r>
      <t xml:space="preserve">" Předpokládané maximální množství nátěru venkovních konstrukcí je </t>
    </r>
    <r>
      <rPr>
        <b/>
        <sz val="8"/>
        <color rgb="FFFF00FF"/>
        <rFont val="Arial CE"/>
        <family val="2"/>
        <charset val="238"/>
      </rPr>
      <t>35,0 m2</t>
    </r>
    <r>
      <rPr>
        <sz val="8"/>
        <color rgb="FFFF00FF"/>
        <rFont val="Arial CE"/>
        <family val="2"/>
        <charset val="238"/>
      </rPr>
      <t>. 
Jedná se o nátěr ponechaných madel a zábradlí schodišť, skříněk a dveří pro plyn a elektro, ponechané oplocení, … ."</t>
    </r>
  </si>
  <si>
    <r>
      <t xml:space="preserve">" Štuková omítka </t>
    </r>
    <r>
      <rPr>
        <sz val="8"/>
        <color rgb="FFFF00FF"/>
        <rFont val="Arial CE"/>
        <family val="2"/>
        <charset val="238"/>
      </rPr>
      <t>stěn</t>
    </r>
    <r>
      <rPr>
        <sz val="8"/>
        <color indexed="12"/>
        <rFont val="Arial CE"/>
        <family val="2"/>
        <charset val="238"/>
      </rPr>
      <t>. "</t>
    </r>
  </si>
  <si>
    <t>" Nové omítky stropů - 1.PP." (179,3)*1,1</t>
  </si>
  <si>
    <t>" Nové omítky stropů - 1.NP." (67,9)*1,1</t>
  </si>
  <si>
    <t>" Nové omítky stropů - 2.NP." (681,6)*1,1</t>
  </si>
  <si>
    <t>" Výmalba stěn "</t>
  </si>
  <si>
    <t>" Výmalba stropů "</t>
  </si>
  <si>
    <t>" Výmalba 1.PP." (179,3)*1,1</t>
  </si>
  <si>
    <t>" Výmalba 1.NP." (67,9)*1,1</t>
  </si>
  <si>
    <t>" Výmalba 2.NP." (1,6)*1,1</t>
  </si>
  <si>
    <r>
      <t>" Cena zahrnuje také penetraci</t>
    </r>
    <r>
      <rPr>
        <sz val="8"/>
        <color rgb="FFFF00FF"/>
        <rFont val="Arial CE"/>
        <family val="2"/>
        <charset val="238"/>
      </rPr>
      <t>, vyrovnání podkladu,</t>
    </r>
    <r>
      <rPr>
        <sz val="8"/>
        <color rgb="FF0000FF"/>
        <rFont val="Arial CE"/>
        <family val="2"/>
        <charset val="238"/>
      </rPr>
      <t xml:space="preserve"> šroubovací hmoždinky s kompozitovým šroubem s povrchovou montáží, upevnění desek minerálním tmelem, dilatační a zakončovací lišty, rohový a lemovací systém, vyplnění spár mezi deskami pomocí jednosložkové polyuretanové pěny. "</t>
    </r>
  </si>
  <si>
    <r>
      <t xml:space="preserve">" V ceně lepící materiál, </t>
    </r>
    <r>
      <rPr>
        <sz val="8"/>
        <color rgb="FFFF00FF"/>
        <rFont val="Arial CE"/>
        <family val="2"/>
        <charset val="238"/>
      </rPr>
      <t>vyrovnání podkladu</t>
    </r>
    <r>
      <rPr>
        <sz val="8"/>
        <color indexed="12"/>
        <rFont val="Arial CE"/>
        <family val="2"/>
        <charset val="238"/>
      </rPr>
      <t>. "</t>
    </r>
  </si>
  <si>
    <r>
      <t xml:space="preserve">" V ceně příplatky za tloušťku, </t>
    </r>
    <r>
      <rPr>
        <sz val="8"/>
        <color rgb="FFFF00FF"/>
        <rFont val="Arial CE"/>
        <family val="2"/>
        <charset val="238"/>
      </rPr>
      <t>protiplísňové přípravky</t>
    </r>
    <r>
      <rPr>
        <sz val="8"/>
        <color indexed="12"/>
        <rFont val="Arial CE"/>
        <family val="2"/>
        <charset val="238"/>
      </rPr>
      <t>, penetrační nátěry, podomítkové rohovníky, příprava před omítkou(oprášení,ometení, atd)."</t>
    </r>
  </si>
  <si>
    <r>
      <t xml:space="preserve">" Přesun hmot " </t>
    </r>
    <r>
      <rPr>
        <sz val="8"/>
        <color rgb="FFFF00FF"/>
        <rFont val="Arial CE"/>
        <family val="2"/>
        <charset val="238"/>
      </rPr>
      <t>862,548</t>
    </r>
  </si>
  <si>
    <t>112a</t>
  </si>
  <si>
    <t>112b</t>
  </si>
  <si>
    <t>112c</t>
  </si>
  <si>
    <t>Demontáž a zpětná montáž truhlářského obložení stěn</t>
  </si>
  <si>
    <t>" 1.PP " (2,8*1,1)</t>
  </si>
  <si>
    <t>766411901 SPC</t>
  </si>
  <si>
    <t>" Demontáž stávajícího dřevěného obkladu, vč. opravy, nátěru lazurovacím lakem a zpětné montáže, ukotvení a práce a doplňky spojené s provedením obkladu.</t>
  </si>
  <si>
    <t xml:space="preserve">" Stavební práce a dodávky spojené s provedením funkčního celku 766. " </t>
  </si>
  <si>
    <t>60a</t>
  </si>
  <si>
    <t>968999003 SPC</t>
  </si>
  <si>
    <t>Oprava podezdívky vstupního schodiště</t>
  </si>
  <si>
    <t>" V ceně oprava podezdívky, nahrazení rozvolněných části cihelnými doplňky, spáry proškrábnout a doplnit cementovou maltou."</t>
  </si>
  <si>
    <t>" Podezdívka vstupního schodiště " (3,5)</t>
  </si>
  <si>
    <t>112d</t>
  </si>
  <si>
    <t>Oprava dveřních křídel z tvrdého dřeva - seříznutí křídla</t>
  </si>
  <si>
    <t>" 1.PP " (2)</t>
  </si>
  <si>
    <t>" Seříznutí dveřních křídel o 20 mm."</t>
  </si>
  <si>
    <t>D+M Bezpečnostní označení prvního a posledního schodišťového stupně - Specifikace dle PD</t>
  </si>
  <si>
    <t xml:space="preserve">" Abrazivní samolepící protiskluzná páska - bílá - 25×200 mm " </t>
  </si>
  <si>
    <t>" Schodiště z 1.PP do 1.NP " (2+2+2+2+2+2+2+2)*0,2</t>
  </si>
  <si>
    <t>" Schodiště z 1.NP do 2.NP " (2+2+2+2+2+2)*0,2</t>
  </si>
  <si>
    <t>150a</t>
  </si>
  <si>
    <t>148a</t>
  </si>
  <si>
    <t>" Příplatek " (2631,77)</t>
  </si>
  <si>
    <t>93a</t>
  </si>
  <si>
    <t>SDK příčka ukončení ve volném prostoru</t>
  </si>
  <si>
    <t>" Ukončení SDK konstrukce ve volném prostoru."</t>
  </si>
  <si>
    <t>" 1.NP " (23,1)</t>
  </si>
  <si>
    <t>" 2.NP " ( 13,48)</t>
  </si>
  <si>
    <t>93b</t>
  </si>
  <si>
    <t>SDK příčka zalomení</t>
  </si>
  <si>
    <t>" Zalomení SDK konstrukce."</t>
  </si>
  <si>
    <t>" 1.NP " (26,4)</t>
  </si>
  <si>
    <t>" 2.NP " (16,85)</t>
  </si>
  <si>
    <t>" V ceně např:
 - izolace tepelné a hydroizolace nespecifikované + doplnění v místech neřešených; 
 - prvky a materiál pro zajištění napojení SDK konstrukcí a dalších věcí;
 - jednotlivé lišty, ochrany hran schodišť;
 - reflexní prvky na hrany schodišť;
 - ocelové konstrukce pro drobné prvky a pomoci;
 - bezbarvé nátěry pro prefabrikovanékonstrukce a konstrukce z pohledového betonu;
 - případné oškrábání a nová malba u míst s napoojením na stávající části či v místech neřešených, ale s vedením podhledu;
 - případné příplatky za barevné provedení maleb;
 - další práce a materiál nespecifikované související s provedením oddílů pro PSV jinde neuvedené a zmíněné v PD. "</t>
  </si>
  <si>
    <t>784211901 SPC</t>
  </si>
  <si>
    <t>Příplatek k cenám maleb za barevnou malbu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</si>
</sst>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0.0%"/>
    <numFmt numFmtId="166" formatCode="#,##0.0"/>
    <numFmt numFmtId="167" formatCode="#,##0\ "/>
    <numFmt numFmtId="168" formatCode="_-* #,##0.00\ _K_č_-;\-* #,##0.00\ _K_č_-;_-* \-??\ _K_č_-;_-@_-"/>
    <numFmt numFmtId="169" formatCode="d/mm"/>
    <numFmt numFmtId="170" formatCode="#,##0.00&quot; Kč&quot;;[Red]\-#,##0.00&quot; Kč&quot;"/>
    <numFmt numFmtId="171" formatCode="h:mm;@"/>
    <numFmt numFmtId="172" formatCode="#,##0.000"/>
    <numFmt numFmtId="173" formatCode="#,##0.00_ ;\-#,##0.00\ "/>
    <numFmt numFmtId="174" formatCode="#,##0.00\ &quot;Kč&quot;"/>
    <numFmt numFmtId="175" formatCode="####;\-####"/>
    <numFmt numFmtId="176" formatCode="#,##0.000;\-#,##0.000"/>
    <numFmt numFmtId="177" formatCode="#,##0\ &quot;Kč&quot;"/>
    <numFmt numFmtId="178" formatCode="_-* #,##0.00\ [$Kč-405]_-;\-* #,##0.00\ [$Kč-405]_-;_-* &quot;-&quot;??\ [$Kč-405]_-;_-@_-"/>
    <numFmt numFmtId="179" formatCode="0&quot; m&quot;"/>
    <numFmt numFmtId="180" formatCode="#,##0.0000_ ;\-#,##0.0000\ "/>
    <numFmt numFmtId="181" formatCode="0.000"/>
    <numFmt numFmtId="182" formatCode="#,##0_ ;\-#,##0\ "/>
  </numFmts>
  <fonts count="291">
    <font>
      <sz val="8"/>
      <name val="MS Sans Serif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11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8"/>
      <name val="MS Sans Serif"/>
      <charset val="1"/>
    </font>
    <font>
      <sz val="11"/>
      <color theme="1"/>
      <name val="Calibri"/>
      <family val="2"/>
      <scheme val="minor"/>
    </font>
    <font>
      <sz val="8"/>
      <name val="MS Sans Serif"/>
      <family val="2"/>
    </font>
    <font>
      <u/>
      <sz val="11"/>
      <color theme="10"/>
      <name val="Calibri"/>
      <family val="2"/>
    </font>
    <font>
      <u/>
      <sz val="8"/>
      <color theme="10"/>
      <name val="MS Sans Serif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MS Sans Serif"/>
      <family val="2"/>
      <charset val="238"/>
    </font>
    <font>
      <sz val="8"/>
      <color theme="1"/>
      <name val="Trebuchet MS"/>
      <family val="2"/>
    </font>
    <font>
      <sz val="10"/>
      <name val="Arial CE"/>
      <family val="2"/>
    </font>
    <font>
      <sz val="9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20"/>
      <name val="Arial"/>
      <family val="2"/>
      <charset val="238"/>
    </font>
    <font>
      <sz val="10"/>
      <name val="Times New Roman CE"/>
      <family val="1"/>
      <charset val="238"/>
    </font>
    <font>
      <u/>
      <sz val="8"/>
      <color theme="10"/>
      <name val="MS Sans Serif"/>
      <charset val="1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 CE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color rgb="FFFF0000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2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8"/>
      <name val="Arial CYR"/>
      <charset val="238"/>
    </font>
    <font>
      <b/>
      <sz val="13.5"/>
      <color rgb="FFFF0000"/>
      <name val="MS Sans Serif"/>
      <family val="2"/>
    </font>
    <font>
      <sz val="14"/>
      <color rgb="FFFF0000"/>
      <name val="Calibri"/>
      <family val="2"/>
      <scheme val="minor"/>
    </font>
    <font>
      <b/>
      <sz val="10"/>
      <name val="MS Sans Serif"/>
      <family val="2"/>
      <charset val="238"/>
    </font>
    <font>
      <b/>
      <sz val="8"/>
      <name val="MS Sans Serif"/>
      <charset val="238"/>
    </font>
    <font>
      <sz val="8"/>
      <color rgb="FF0000FF"/>
      <name val="Arial CE"/>
      <family val="2"/>
      <charset val="238"/>
    </font>
    <font>
      <b/>
      <sz val="8"/>
      <color rgb="FF0000FF"/>
      <name val="MS Sans Serif"/>
      <charset val="238"/>
    </font>
    <font>
      <sz val="8"/>
      <color rgb="FF0000FF"/>
      <name val="MS Sans Serif"/>
      <family val="2"/>
      <charset val="238"/>
    </font>
    <font>
      <b/>
      <sz val="8"/>
      <color rgb="FFFF0000"/>
      <name val="MS Sans Serif"/>
      <charset val="238"/>
    </font>
    <font>
      <sz val="9"/>
      <color theme="1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0"/>
      <color rgb="FFFF0000"/>
      <name val="MS Sans Serif"/>
      <charset val="238"/>
    </font>
    <font>
      <b/>
      <sz val="8"/>
      <color indexed="12"/>
      <name val="Arial CE"/>
      <family val="2"/>
      <charset val="238"/>
    </font>
    <font>
      <sz val="8"/>
      <color rgb="FFFF0000"/>
      <name val="MS Sans Serif"/>
      <family val="2"/>
    </font>
    <font>
      <sz val="8"/>
      <color indexed="18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2"/>
      <color rgb="FFFF0000"/>
      <name val="MS Sans Serif"/>
      <charset val="238"/>
    </font>
    <font>
      <sz val="8"/>
      <color indexed="10"/>
      <name val="MS Sans Serif"/>
      <family val="2"/>
      <charset val="238"/>
    </font>
    <font>
      <b/>
      <sz val="12"/>
      <color rgb="FFFF0000"/>
      <name val="Calibri"/>
      <family val="2"/>
      <scheme val="minor"/>
    </font>
    <font>
      <b/>
      <sz val="8"/>
      <name val="MS Sans Serif"/>
      <family val="2"/>
      <charset val="238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indexed="12"/>
      <name val="MS Sans Serif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sz val="9"/>
      <color theme="1"/>
      <name val="Calibri"/>
      <family val="2"/>
      <scheme val="minor"/>
    </font>
    <font>
      <b/>
      <sz val="8"/>
      <color rgb="FFFF0000"/>
      <name val="MS Sans Serif"/>
      <family val="2"/>
      <charset val="238"/>
    </font>
    <font>
      <sz val="11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0"/>
      <color rgb="FFFF0000"/>
      <name val="MS Sans Serif"/>
      <family val="2"/>
      <charset val="238"/>
    </font>
    <font>
      <b/>
      <sz val="11"/>
      <color rgb="FFFF0000"/>
      <name val="MS Sans Serif"/>
      <family val="2"/>
      <charset val="238"/>
    </font>
    <font>
      <b/>
      <sz val="10"/>
      <color rgb="FFFF0000"/>
      <name val="MS Sans Serif"/>
      <family val="2"/>
    </font>
    <font>
      <b/>
      <sz val="8"/>
      <color rgb="FFFF0000"/>
      <name val="MS Sans Serif"/>
      <family val="2"/>
    </font>
    <font>
      <b/>
      <sz val="11"/>
      <color rgb="FFFF0000"/>
      <name val="MS Sans Serif"/>
      <family val="2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8"/>
      <color rgb="FF7030A0"/>
      <name val="MS Sans Serif"/>
      <family val="2"/>
    </font>
    <font>
      <sz val="8.5"/>
      <name val="MS Sans Serif"/>
      <family val="2"/>
    </font>
    <font>
      <b/>
      <sz val="18"/>
      <color theme="3" tint="0.39997558519241921"/>
      <name val="Arial CE"/>
      <family val="2"/>
      <charset val="238"/>
    </font>
    <font>
      <b/>
      <sz val="12"/>
      <color rgb="FFFF0000"/>
      <name val="MS Sans Serif"/>
      <family val="2"/>
      <charset val="238"/>
    </font>
    <font>
      <i/>
      <sz val="8"/>
      <name val="MS Sans Serif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8"/>
      <name val="Arial CE"/>
      <family val="2"/>
    </font>
    <font>
      <b/>
      <sz val="11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indexed="12"/>
      <name val="Arial CE"/>
      <family val="2"/>
    </font>
    <font>
      <sz val="8"/>
      <color theme="1"/>
      <name val="Calibri"/>
      <family val="2"/>
      <scheme val="minor"/>
    </font>
    <font>
      <sz val="8"/>
      <color indexed="10"/>
      <name val="Arial CE"/>
      <family val="2"/>
      <charset val="238"/>
    </font>
    <font>
      <b/>
      <sz val="10"/>
      <color theme="1"/>
      <name val="Arial CE"/>
      <family val="2"/>
      <charset val="238"/>
    </font>
    <font>
      <u/>
      <sz val="10"/>
      <color theme="10"/>
      <name val="Calibri"/>
      <family val="2"/>
      <charset val="238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2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Arial CE"/>
      <family val="2"/>
      <charset val="238"/>
    </font>
    <font>
      <sz val="14"/>
      <color theme="1"/>
      <name val="Calibri"/>
      <family val="2"/>
      <scheme val="minor"/>
    </font>
    <font>
      <sz val="10"/>
      <color theme="1"/>
      <name val="Arial CE"/>
      <family val="2"/>
      <charset val="238"/>
    </font>
    <font>
      <b/>
      <sz val="11"/>
      <name val="Calibri"/>
      <family val="2"/>
      <charset val="238"/>
      <scheme val="minor"/>
    </font>
    <font>
      <i/>
      <sz val="8"/>
      <name val="MS Sans Serif"/>
      <family val="2"/>
    </font>
    <font>
      <sz val="8"/>
      <color rgb="FFFF0000"/>
      <name val="Arial CE"/>
      <family val="2"/>
      <charset val="238"/>
    </font>
    <font>
      <sz val="8"/>
      <color rgb="FFFF0000"/>
      <name val="Trebuchet MS"/>
      <family val="2"/>
    </font>
    <font>
      <b/>
      <sz val="9"/>
      <color rgb="FFFF0000"/>
      <name val="Arial CE"/>
      <family val="2"/>
      <charset val="238"/>
    </font>
    <font>
      <b/>
      <sz val="11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10"/>
      <color rgb="FF0000FF"/>
      <name val="Arial CE"/>
      <family val="2"/>
      <charset val="238"/>
    </font>
    <font>
      <b/>
      <sz val="11"/>
      <name val="Arial CE"/>
      <family val="2"/>
      <charset val="238"/>
    </font>
    <font>
      <sz val="8"/>
      <name val="Calibri"/>
      <family val="2"/>
      <scheme val="minor"/>
    </font>
    <font>
      <i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indexed="12"/>
      <name val="MS Gothic"/>
      <family val="3"/>
      <charset val="238"/>
    </font>
    <font>
      <sz val="9.1999999999999993"/>
      <color indexed="12"/>
      <name val="Arial CE"/>
      <family val="2"/>
      <charset val="238"/>
    </font>
    <font>
      <b/>
      <sz val="12"/>
      <color rgb="FFFF0000"/>
      <name val="MS Sans Serif"/>
      <family val="2"/>
    </font>
    <font>
      <sz val="9"/>
      <color indexed="12"/>
      <name val="MS Sans Serif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MS Sans Serif"/>
      <family val="2"/>
      <charset val="238"/>
    </font>
    <font>
      <b/>
      <sz val="8.5"/>
      <color rgb="FFFF0000"/>
      <name val="MS Sans Serif"/>
      <family val="2"/>
    </font>
    <font>
      <b/>
      <sz val="12"/>
      <name val="MS Sans Serif"/>
      <family val="2"/>
    </font>
    <font>
      <b/>
      <u/>
      <sz val="8"/>
      <color indexed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MS Sans Serif"/>
      <family val="2"/>
    </font>
    <font>
      <b/>
      <sz val="14"/>
      <color rgb="FFFF0000"/>
      <name val="Arial"/>
      <family val="2"/>
      <charset val="238"/>
    </font>
    <font>
      <b/>
      <sz val="11"/>
      <color rgb="FF0070C0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rgb="FFFF0000"/>
      <name val="MS Sans Serif"/>
      <charset val="238"/>
    </font>
    <font>
      <b/>
      <sz val="14"/>
      <name val="Arial CE"/>
      <family val="2"/>
      <charset val="238"/>
    </font>
    <font>
      <b/>
      <sz val="12"/>
      <color rgb="FFFF0000"/>
      <name val="Arial"/>
      <family val="2"/>
      <charset val="238"/>
    </font>
    <font>
      <sz val="8"/>
      <color indexed="54"/>
      <name val="MS Sans Serif"/>
      <family val="2"/>
      <charset val="238"/>
    </font>
    <font>
      <b/>
      <u/>
      <sz val="11"/>
      <color rgb="FFFF0000"/>
      <name val="Calibri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FF0000"/>
      <name val="MS Sans Serif"/>
      <charset val="238"/>
    </font>
    <font>
      <b/>
      <sz val="10"/>
      <name val="MS Sans Serif"/>
      <charset val="238"/>
    </font>
    <font>
      <sz val="11"/>
      <color theme="10"/>
      <name val="Calibri"/>
      <family val="2"/>
      <charset val="238"/>
    </font>
    <font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0"/>
      <name val="Arial CE"/>
      <family val="2"/>
      <charset val="238"/>
    </font>
    <font>
      <i/>
      <sz val="11"/>
      <color rgb="FF0000FF"/>
      <name val="Calibri"/>
      <family val="2"/>
      <charset val="238"/>
      <scheme val="minor"/>
    </font>
    <font>
      <b/>
      <i/>
      <sz val="10"/>
      <color rgb="FFFF0000"/>
      <name val="MS Sans Serif"/>
      <family val="2"/>
      <charset val="238"/>
    </font>
    <font>
      <b/>
      <i/>
      <sz val="8"/>
      <color rgb="FFFF0000"/>
      <name val="MS Sans Serif"/>
      <family val="2"/>
      <charset val="238"/>
    </font>
    <font>
      <b/>
      <i/>
      <sz val="11"/>
      <color rgb="FFFF0000"/>
      <name val="MS Sans Serif"/>
      <family val="2"/>
      <charset val="238"/>
    </font>
    <font>
      <i/>
      <u/>
      <sz val="11"/>
      <color theme="10"/>
      <name val="Calibri"/>
      <family val="2"/>
      <charset val="238"/>
    </font>
    <font>
      <b/>
      <sz val="10"/>
      <color indexed="10"/>
      <name val="MS Sans Serif"/>
      <family val="2"/>
    </font>
    <font>
      <b/>
      <sz val="8"/>
      <color indexed="10"/>
      <name val="MS Sans Serif"/>
      <family val="2"/>
    </font>
    <font>
      <b/>
      <sz val="11"/>
      <color indexed="10"/>
      <name val="MS Sans Serif"/>
      <family val="2"/>
    </font>
    <font>
      <sz val="10"/>
      <color rgb="FF0000FF"/>
      <name val="Arial CE"/>
      <family val="2"/>
      <charset val="238"/>
    </font>
    <font>
      <sz val="11"/>
      <name val="Calibri"/>
      <family val="2"/>
      <charset val="238"/>
    </font>
    <font>
      <sz val="9"/>
      <color rgb="FF0000FF"/>
      <name val="Arial CE"/>
      <family val="2"/>
      <charset val="238"/>
    </font>
    <font>
      <b/>
      <sz val="14"/>
      <color rgb="FFFF0000"/>
      <name val="Arial CYR"/>
      <charset val="238"/>
    </font>
    <font>
      <b/>
      <sz val="11"/>
      <name val="MS Sans Serif"/>
      <charset val="238"/>
    </font>
    <font>
      <sz val="11"/>
      <color rgb="FFFF0000"/>
      <name val="Calibri"/>
      <family val="2"/>
    </font>
    <font>
      <u/>
      <sz val="11"/>
      <color rgb="FFFF0000"/>
      <name val="Calibri"/>
      <family val="2"/>
    </font>
    <font>
      <b/>
      <sz val="14"/>
      <color rgb="FFFF0000"/>
      <name val="Calibri"/>
      <family val="2"/>
      <charset val="238"/>
    </font>
    <font>
      <b/>
      <sz val="14"/>
      <color indexed="10"/>
      <name val="Calibri"/>
      <family val="2"/>
      <charset val="238"/>
    </font>
    <font>
      <sz val="11"/>
      <color theme="10"/>
      <name val="Calibri"/>
      <family val="2"/>
    </font>
    <font>
      <sz val="8.5"/>
      <color rgb="FFFF0000"/>
      <name val="MS Sans Serif"/>
      <family val="2"/>
    </font>
    <font>
      <sz val="11"/>
      <color theme="1"/>
      <name val="Aptos"/>
      <family val="2"/>
      <charset val="238"/>
    </font>
    <font>
      <b/>
      <sz val="11"/>
      <color theme="0"/>
      <name val="Aptos"/>
      <family val="2"/>
      <charset val="238"/>
    </font>
    <font>
      <vertAlign val="subscript"/>
      <sz val="11"/>
      <color theme="1"/>
      <name val="Aptos"/>
      <family val="2"/>
      <charset val="238"/>
    </font>
    <font>
      <b/>
      <sz val="11"/>
      <color theme="1"/>
      <name val="Aptos"/>
      <family val="2"/>
      <charset val="238"/>
    </font>
    <font>
      <b/>
      <sz val="10"/>
      <color rgb="FFFF0000"/>
      <name val="Trebuchet MS"/>
      <family val="2"/>
      <charset val="238"/>
    </font>
    <font>
      <sz val="8"/>
      <color rgb="FFFF0000"/>
      <name val="MS Sans Serif"/>
      <charset val="1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theme="1"/>
      <name val="Trebuchet MS"/>
      <family val="2"/>
      <charset val="238"/>
    </font>
    <font>
      <b/>
      <sz val="8.5"/>
      <color rgb="FFFF0000"/>
      <name val="MS Sans Serif"/>
      <family val="2"/>
      <charset val="238"/>
    </font>
    <font>
      <sz val="8"/>
      <color theme="1"/>
      <name val="Arial"/>
      <family val="2"/>
      <charset val="238"/>
    </font>
    <font>
      <b/>
      <sz val="9"/>
      <color rgb="FFFF0000"/>
      <name val="Arial CYR"/>
      <charset val="238"/>
    </font>
    <font>
      <sz val="12"/>
      <color rgb="FF0000FF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6"/>
      <color rgb="FFFF0000"/>
      <name val="Arial CE"/>
      <family val="2"/>
      <charset val="238"/>
    </font>
    <font>
      <b/>
      <sz val="1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color rgb="FF0000FF"/>
      <name val="Arial"/>
      <family val="2"/>
      <charset val="238"/>
    </font>
    <font>
      <b/>
      <sz val="8"/>
      <name val="MS Sans Serif"/>
      <family val="2"/>
    </font>
    <font>
      <b/>
      <sz val="9"/>
      <color rgb="FFFF0000"/>
      <name val="MS Sans Serif"/>
      <family val="2"/>
      <charset val="238"/>
    </font>
    <font>
      <b/>
      <sz val="10"/>
      <color indexed="12"/>
      <name val="MS Sans Serif"/>
      <family val="2"/>
      <charset val="238"/>
    </font>
    <font>
      <b/>
      <sz val="12"/>
      <name val="MS Sans Serif"/>
      <family val="2"/>
      <charset val="238"/>
    </font>
    <font>
      <b/>
      <sz val="14"/>
      <color rgb="FFFF0000"/>
      <name val="MS Sans Serif"/>
      <family val="2"/>
      <charset val="238"/>
    </font>
    <font>
      <sz val="8"/>
      <color rgb="FF3333FF"/>
      <name val="Arial CE"/>
      <family val="2"/>
      <charset val="238"/>
    </font>
    <font>
      <b/>
      <sz val="9"/>
      <name val="MS Sans Serif"/>
      <charset val="238"/>
    </font>
    <font>
      <b/>
      <sz val="9"/>
      <color rgb="FFFF0000"/>
      <name val="Trebuchet MS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0000"/>
      <name val="MS Sans Serif"/>
    </font>
    <font>
      <sz val="12"/>
      <name val="MS Sans Serif"/>
    </font>
    <font>
      <b/>
      <sz val="12"/>
      <name val="MS Sans Serif"/>
      <charset val="238"/>
    </font>
    <font>
      <b/>
      <sz val="18"/>
      <color rgb="FFFF0000"/>
      <name val="Arial"/>
      <family val="2"/>
      <charset val="238"/>
    </font>
    <font>
      <b/>
      <sz val="11"/>
      <name val="Calibri"/>
      <family val="2"/>
      <charset val="238"/>
    </font>
    <font>
      <b/>
      <sz val="8"/>
      <color rgb="FF00B0F0"/>
      <name val="MS Sans Serif"/>
      <family val="2"/>
      <charset val="238"/>
    </font>
    <font>
      <i/>
      <sz val="8"/>
      <color indexed="18"/>
      <name val="Arial CE"/>
      <family val="2"/>
      <charset val="238"/>
    </font>
    <font>
      <b/>
      <i/>
      <sz val="12"/>
      <color rgb="FFFF0000"/>
      <name val="Arial CE"/>
      <family val="2"/>
      <charset val="238"/>
    </font>
    <font>
      <b/>
      <sz val="8"/>
      <color indexed="10"/>
      <name val="MS Sans Serif"/>
      <family val="2"/>
      <charset val="238"/>
    </font>
    <font>
      <b/>
      <sz val="8"/>
      <color indexed="10"/>
      <name val="Arial CE"/>
      <family val="2"/>
      <charset val="238"/>
    </font>
    <font>
      <b/>
      <sz val="16"/>
      <name val="Arial"/>
      <family val="2"/>
      <charset val="238"/>
    </font>
    <font>
      <b/>
      <u/>
      <sz val="12"/>
      <color rgb="FFFF0000"/>
      <name val="Calibri"/>
      <family val="2"/>
      <charset val="238"/>
    </font>
    <font>
      <sz val="14"/>
      <name val="MS Sans Serif"/>
      <family val="2"/>
      <charset val="238"/>
    </font>
    <font>
      <sz val="11"/>
      <name val="Calibri"/>
      <family val="2"/>
    </font>
    <font>
      <b/>
      <sz val="10"/>
      <color indexed="10"/>
      <name val="Arial CE"/>
      <family val="2"/>
      <charset val="238"/>
    </font>
    <font>
      <b/>
      <sz val="16"/>
      <color rgb="FFFF0000"/>
      <name val="Calibri"/>
      <family val="2"/>
      <charset val="238"/>
    </font>
    <font>
      <b/>
      <sz val="8"/>
      <color theme="1"/>
      <name val="Trebuchet MS"/>
      <family val="2"/>
      <charset val="238"/>
    </font>
    <font>
      <b/>
      <u/>
      <sz val="11"/>
      <name val="MS Sans Serif"/>
      <charset val="238"/>
    </font>
    <font>
      <b/>
      <sz val="16"/>
      <color rgb="FFFF0000"/>
      <name val="Trebuchet MS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u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10"/>
      <name val="Arial CE"/>
      <family val="2"/>
      <charset val="238"/>
    </font>
    <font>
      <b/>
      <sz val="12"/>
      <name val="Trebuchet MS"/>
      <family val="2"/>
      <charset val="238"/>
    </font>
    <font>
      <b/>
      <sz val="11"/>
      <name val="Calibri"/>
      <family val="2"/>
    </font>
    <font>
      <b/>
      <sz val="8"/>
      <color indexed="10"/>
      <name val="MS Sans Serif"/>
      <charset val="238"/>
    </font>
    <font>
      <b/>
      <sz val="11"/>
      <color indexed="10"/>
      <name val="Calibri"/>
      <family val="2"/>
      <charset val="238"/>
    </font>
    <font>
      <b/>
      <sz val="10"/>
      <color indexed="12"/>
      <name val="MS Sans Serif"/>
      <charset val="238"/>
    </font>
    <font>
      <b/>
      <sz val="12"/>
      <color rgb="FFFF0000"/>
      <name val="Calibri"/>
      <family val="2"/>
      <charset val="238"/>
    </font>
    <font>
      <b/>
      <sz val="10"/>
      <color indexed="10"/>
      <name val="MS Sans Serif"/>
      <charset val="238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MS Sans Serif"/>
      <charset val="238"/>
    </font>
    <font>
      <b/>
      <sz val="8.5"/>
      <color indexed="10"/>
      <name val="MS Sans Serif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26"/>
      <color rgb="FF66FF33"/>
      <name val="MS Gothic"/>
      <family val="3"/>
      <charset val="238"/>
    </font>
    <font>
      <sz val="8"/>
      <color rgb="FF7030A0"/>
      <name val="Arial"/>
      <family val="2"/>
      <charset val="238"/>
    </font>
    <font>
      <sz val="12"/>
      <name val="MS Sans Serif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8"/>
      <name val="MS Sans Serif"/>
      <charset val="238"/>
    </font>
    <font>
      <b/>
      <i/>
      <sz val="8"/>
      <color rgb="FFFF0000"/>
      <name val="MS Sans Serif"/>
      <charset val="238"/>
    </font>
    <font>
      <b/>
      <i/>
      <sz val="8"/>
      <name val="MS Sans Serif"/>
      <charset val="238"/>
    </font>
    <font>
      <sz val="10"/>
      <color rgb="FFFF0000"/>
      <name val="MS Sans Serif"/>
      <charset val="238"/>
    </font>
    <font>
      <b/>
      <i/>
      <sz val="8"/>
      <name val="MS Sans Serif"/>
      <family val="2"/>
    </font>
    <font>
      <i/>
      <sz val="8"/>
      <color indexed="12"/>
      <name val="MS Sans Serif"/>
      <family val="2"/>
    </font>
    <font>
      <i/>
      <sz val="8"/>
      <color indexed="10"/>
      <name val="MS Sans Serif"/>
      <family val="2"/>
    </font>
    <font>
      <b/>
      <sz val="8"/>
      <color rgb="FFFF0000"/>
      <name val="Trebuchet MS"/>
      <family val="2"/>
      <charset val="238"/>
    </font>
    <font>
      <sz val="8"/>
      <color rgb="FFFF00FF"/>
      <name val="Arial CE"/>
      <family val="2"/>
      <charset val="238"/>
    </font>
    <font>
      <sz val="16"/>
      <color rgb="FFFF00FF"/>
      <name val="Arial CE"/>
      <family val="2"/>
      <charset val="238"/>
    </font>
    <font>
      <sz val="10"/>
      <color rgb="FFFF00FF"/>
      <name val="Arial CE"/>
      <family val="2"/>
      <charset val="238"/>
    </font>
    <font>
      <sz val="11"/>
      <color rgb="FFFF00FF"/>
      <name val="Calibri"/>
      <family val="2"/>
      <scheme val="minor"/>
    </font>
    <font>
      <sz val="9"/>
      <color rgb="FFFF00FF"/>
      <name val="Calibri"/>
      <family val="2"/>
      <scheme val="minor"/>
    </font>
    <font>
      <b/>
      <sz val="11"/>
      <color rgb="FFFF00FF"/>
      <name val="Arial CE"/>
      <family val="2"/>
      <charset val="238"/>
    </font>
    <font>
      <sz val="10"/>
      <color rgb="FFFF00FF"/>
      <name val="Calibri"/>
      <family val="2"/>
      <scheme val="minor"/>
    </font>
    <font>
      <u/>
      <sz val="11"/>
      <color rgb="FFFF00FF"/>
      <name val="Calibri"/>
      <family val="2"/>
    </font>
    <font>
      <b/>
      <sz val="8"/>
      <color rgb="FFFF00FF"/>
      <name val="Arial CE"/>
      <family val="2"/>
      <charset val="238"/>
    </font>
    <font>
      <b/>
      <sz val="12"/>
      <color rgb="FFFF00FF"/>
      <name val="Arial CE"/>
      <family val="2"/>
      <charset val="238"/>
    </font>
    <font>
      <b/>
      <sz val="10"/>
      <color rgb="FFFF00FF"/>
      <name val="Arial CE"/>
      <family val="2"/>
      <charset val="238"/>
    </font>
    <font>
      <sz val="8"/>
      <color rgb="FFFF00FF"/>
      <name val="Arial CE"/>
      <family val="2"/>
    </font>
    <font>
      <sz val="8"/>
      <color rgb="FFFF00FF"/>
      <name val="MS Sans Serif"/>
      <family val="2"/>
      <charset val="238"/>
    </font>
    <font>
      <b/>
      <sz val="11"/>
      <color rgb="FFFF00FF"/>
      <name val="Calibri"/>
      <family val="2"/>
      <charset val="238"/>
      <scheme val="minor"/>
    </font>
    <font>
      <b/>
      <sz val="8"/>
      <color rgb="FFFF00FF"/>
      <name val="Arial"/>
      <family val="2"/>
      <charset val="238"/>
    </font>
    <font>
      <sz val="8"/>
      <color rgb="FFFF00FF"/>
      <name val="MS Sans Serif"/>
      <charset val="238"/>
    </font>
    <font>
      <b/>
      <sz val="9"/>
      <color rgb="FFFF00FF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06">
    <xf numFmtId="0" fontId="0" fillId="0" borderId="0" applyAlignment="0">
      <alignment vertical="top" wrapText="1"/>
      <protection locked="0"/>
    </xf>
    <xf numFmtId="0" fontId="22" fillId="0" borderId="0" applyFill="0" applyBorder="0" applyProtection="0"/>
    <xf numFmtId="0" fontId="13" fillId="0" borderId="0"/>
    <xf numFmtId="0" fontId="11" fillId="0" borderId="0"/>
    <xf numFmtId="0" fontId="25" fillId="0" borderId="0"/>
    <xf numFmtId="0" fontId="13" fillId="0" borderId="0"/>
    <xf numFmtId="0" fontId="13" fillId="0" borderId="0"/>
    <xf numFmtId="0" fontId="13" fillId="0" borderId="0" applyAlignment="0">
      <alignment vertical="top" wrapText="1"/>
      <protection locked="0"/>
    </xf>
    <xf numFmtId="0" fontId="11" fillId="0" borderId="0"/>
    <xf numFmtId="0" fontId="13" fillId="0" borderId="0"/>
    <xf numFmtId="0" fontId="11" fillId="0" borderId="0"/>
    <xf numFmtId="0" fontId="9" fillId="0" borderId="0"/>
    <xf numFmtId="0" fontId="12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23" fillId="0" borderId="0"/>
    <xf numFmtId="0" fontId="24" fillId="0" borderId="0" applyFont="0" applyFill="0" applyBorder="0" applyAlignment="0" applyProtection="0"/>
    <xf numFmtId="0" fontId="13" fillId="0" borderId="0"/>
    <xf numFmtId="0" fontId="11" fillId="0" borderId="0"/>
    <xf numFmtId="0" fontId="28" fillId="0" borderId="0"/>
    <xf numFmtId="0" fontId="13" fillId="0" borderId="0"/>
    <xf numFmtId="0" fontId="12" fillId="0" borderId="0" applyAlignment="0">
      <alignment vertical="top" wrapText="1"/>
      <protection locked="0"/>
    </xf>
    <xf numFmtId="0" fontId="29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29" fillId="0" borderId="0" applyAlignment="0">
      <alignment vertical="top" wrapText="1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9" fillId="0" borderId="0" applyAlignment="0">
      <alignment vertical="top" wrapText="1"/>
      <protection locked="0"/>
    </xf>
    <xf numFmtId="0" fontId="28" fillId="0" borderId="0"/>
    <xf numFmtId="0" fontId="34" fillId="0" borderId="0"/>
    <xf numFmtId="0" fontId="13" fillId="0" borderId="0"/>
    <xf numFmtId="0" fontId="11" fillId="0" borderId="0"/>
    <xf numFmtId="0" fontId="28" fillId="0" borderId="0"/>
    <xf numFmtId="0" fontId="35" fillId="0" borderId="0"/>
    <xf numFmtId="0" fontId="12" fillId="0" borderId="0" applyAlignment="0">
      <alignment vertical="top" wrapText="1"/>
      <protection locked="0"/>
    </xf>
    <xf numFmtId="0" fontId="8" fillId="0" borderId="0"/>
    <xf numFmtId="0" fontId="8" fillId="0" borderId="0"/>
    <xf numFmtId="0" fontId="34" fillId="0" borderId="0"/>
    <xf numFmtId="0" fontId="12" fillId="0" borderId="0" applyAlignment="0">
      <alignment vertical="top" wrapText="1"/>
      <protection locked="0"/>
    </xf>
    <xf numFmtId="0" fontId="8" fillId="0" borderId="0"/>
    <xf numFmtId="0" fontId="29" fillId="0" borderId="0" applyAlignment="0">
      <alignment vertical="top" wrapText="1"/>
      <protection locked="0"/>
    </xf>
    <xf numFmtId="0" fontId="29" fillId="0" borderId="0" applyAlignment="0">
      <alignment vertical="top" wrapText="1"/>
      <protection locked="0"/>
    </xf>
    <xf numFmtId="0" fontId="29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33" fillId="0" borderId="0" applyNumberFormat="0" applyFill="0" applyBorder="0" applyAlignment="0" applyProtection="0">
      <alignment vertical="top" wrapText="1"/>
      <protection locked="0"/>
    </xf>
    <xf numFmtId="166" fontId="36" fillId="0" borderId="0" applyAlignment="0">
      <alignment horizontal="right" wrapText="1"/>
    </xf>
    <xf numFmtId="4" fontId="36" fillId="0" borderId="0" applyBorder="0" applyAlignment="0">
      <alignment horizontal="right" wrapText="1"/>
    </xf>
    <xf numFmtId="0" fontId="36" fillId="0" borderId="0">
      <alignment horizontal="right" wrapText="1"/>
    </xf>
    <xf numFmtId="167" fontId="36" fillId="0" borderId="0" applyFont="0" applyFill="0" applyBorder="0">
      <alignment horizontal="right" vertical="center"/>
    </xf>
    <xf numFmtId="164" fontId="13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8" fontId="11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4" fontId="13" fillId="0" borderId="0" applyFill="0" applyBorder="0" applyAlignment="0" applyProtection="0"/>
    <xf numFmtId="0" fontId="37" fillId="0" borderId="0"/>
    <xf numFmtId="0" fontId="38" fillId="0" borderId="0">
      <alignment horizontal="center"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>
      <alignment horizontal="left"/>
    </xf>
    <xf numFmtId="0" fontId="35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2" fillId="0" borderId="0" applyAlignment="0">
      <alignment vertical="top" wrapText="1"/>
      <protection locked="0"/>
    </xf>
    <xf numFmtId="0" fontId="8" fillId="0" borderId="0"/>
    <xf numFmtId="0" fontId="8" fillId="0" borderId="0"/>
    <xf numFmtId="0" fontId="12" fillId="0" borderId="0" applyAlignment="0">
      <alignment vertical="top" wrapText="1"/>
      <protection locked="0"/>
    </xf>
    <xf numFmtId="0" fontId="11" fillId="0" borderId="0"/>
    <xf numFmtId="167" fontId="11" fillId="0" borderId="0">
      <alignment vertical="center"/>
    </xf>
    <xf numFmtId="0" fontId="12" fillId="0" borderId="0" applyAlignment="0">
      <alignment vertical="top" wrapText="1"/>
      <protection locked="0"/>
    </xf>
    <xf numFmtId="167" fontId="11" fillId="0" borderId="0">
      <alignment vertical="center"/>
    </xf>
    <xf numFmtId="167" fontId="11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5" fillId="0" borderId="0"/>
    <xf numFmtId="0" fontId="8" fillId="0" borderId="0"/>
    <xf numFmtId="0" fontId="2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8" fillId="0" borderId="0"/>
    <xf numFmtId="0" fontId="41" fillId="0" borderId="0">
      <protection locked="0"/>
    </xf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22">
      <alignment horizontal="center" vertical="center" wrapText="1"/>
    </xf>
    <xf numFmtId="169" fontId="11" fillId="0" borderId="0">
      <alignment horizontal="center" vertical="center"/>
    </xf>
    <xf numFmtId="169" fontId="11" fillId="0" borderId="0">
      <alignment horizontal="center" vertical="center"/>
    </xf>
    <xf numFmtId="0" fontId="37" fillId="6" borderId="21" applyNumberFormat="0" applyFont="0" applyAlignment="0" applyProtection="0"/>
    <xf numFmtId="9" fontId="13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 applyNumberFormat="0" applyFill="0" applyBorder="0" applyAlignment="0" applyProtection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34" fillId="0" borderId="0"/>
    <xf numFmtId="0" fontId="27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44" fillId="0" borderId="0" applyNumberFormat="0" applyFill="0" applyBorder="0" applyAlignment="0" applyProtection="0"/>
    <xf numFmtId="0" fontId="24" fillId="0" borderId="0"/>
    <xf numFmtId="0" fontId="6" fillId="0" borderId="0"/>
    <xf numFmtId="0" fontId="11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12" fillId="0" borderId="0" applyAlignment="0">
      <alignment vertical="top" wrapText="1"/>
      <protection locked="0"/>
    </xf>
    <xf numFmtId="0" fontId="28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44" fontId="45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5" fillId="0" borderId="0"/>
    <xf numFmtId="170" fontId="13" fillId="0" borderId="0" applyBorder="0" applyProtection="0"/>
    <xf numFmtId="0" fontId="5" fillId="0" borderId="0"/>
    <xf numFmtId="0" fontId="12" fillId="0" borderId="0" applyAlignment="0">
      <alignment vertical="top" wrapText="1"/>
      <protection locked="0"/>
    </xf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3" fillId="0" borderId="0"/>
    <xf numFmtId="0" fontId="12" fillId="0" borderId="0" applyAlignment="0">
      <alignment vertical="top" wrapText="1"/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12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11" fillId="0" borderId="0"/>
    <xf numFmtId="0" fontId="2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Alignment="0">
      <alignment vertical="top" wrapText="1"/>
      <protection locked="0"/>
    </xf>
    <xf numFmtId="0" fontId="33" fillId="0" borderId="0" applyNumberFormat="0" applyFill="0" applyBorder="0" applyAlignment="0" applyProtection="0">
      <alignment vertical="top" wrapText="1"/>
      <protection locked="0"/>
    </xf>
    <xf numFmtId="0" fontId="1" fillId="0" borderId="0"/>
  </cellStyleXfs>
  <cellXfs count="3096">
    <xf numFmtId="0" fontId="0" fillId="0" borderId="0" xfId="0" applyAlignment="1">
      <alignment vertical="top"/>
      <protection locked="0"/>
    </xf>
    <xf numFmtId="0" fontId="13" fillId="0" borderId="0" xfId="8" applyFont="1"/>
    <xf numFmtId="0" fontId="14" fillId="0" borderId="0" xfId="8" applyFont="1" applyAlignment="1">
      <alignment horizontal="center"/>
    </xf>
    <xf numFmtId="0" fontId="18" fillId="0" borderId="0" xfId="8" applyFont="1" applyAlignment="1">
      <alignment horizontal="left" vertical="center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right"/>
    </xf>
    <xf numFmtId="0" fontId="20" fillId="2" borderId="1" xfId="8" applyFont="1" applyFill="1" applyBorder="1" applyAlignment="1">
      <alignment wrapText="1"/>
    </xf>
    <xf numFmtId="0" fontId="20" fillId="2" borderId="2" xfId="8" applyFont="1" applyFill="1" applyBorder="1" applyAlignment="1">
      <alignment wrapText="1"/>
    </xf>
    <xf numFmtId="0" fontId="20" fillId="2" borderId="3" xfId="8" applyFont="1" applyFill="1" applyBorder="1" applyAlignment="1">
      <alignment wrapText="1"/>
    </xf>
    <xf numFmtId="0" fontId="20" fillId="2" borderId="1" xfId="8" applyFont="1" applyFill="1" applyBorder="1" applyAlignment="1">
      <alignment horizontal="right" wrapText="1"/>
    </xf>
    <xf numFmtId="0" fontId="13" fillId="2" borderId="2" xfId="8" applyFont="1" applyFill="1" applyBorder="1"/>
    <xf numFmtId="0" fontId="20" fillId="2" borderId="2" xfId="8" applyFont="1" applyFill="1" applyBorder="1" applyAlignment="1">
      <alignment horizontal="right" wrapText="1"/>
    </xf>
    <xf numFmtId="0" fontId="18" fillId="2" borderId="3" xfId="8" applyFont="1" applyFill="1" applyBorder="1" applyAlignment="1">
      <alignment horizontal="right"/>
    </xf>
    <xf numFmtId="0" fontId="13" fillId="0" borderId="4" xfId="8" applyFont="1" applyBorder="1" applyAlignment="1">
      <alignment vertical="center"/>
    </xf>
    <xf numFmtId="0" fontId="13" fillId="0" borderId="0" xfId="8" applyFont="1" applyAlignment="1">
      <alignment vertical="center"/>
    </xf>
    <xf numFmtId="1" fontId="13" fillId="0" borderId="0" xfId="8" applyNumberFormat="1" applyFont="1" applyAlignment="1">
      <alignment horizontal="right" vertical="center"/>
    </xf>
    <xf numFmtId="0" fontId="13" fillId="0" borderId="5" xfId="8" applyFont="1" applyBorder="1" applyAlignment="1">
      <alignment vertical="center"/>
    </xf>
    <xf numFmtId="4" fontId="13" fillId="0" borderId="6" xfId="8" applyNumberFormat="1" applyFont="1" applyBorder="1" applyAlignment="1">
      <alignment horizontal="right" vertical="center"/>
    </xf>
    <xf numFmtId="4" fontId="13" fillId="0" borderId="7" xfId="8" applyNumberFormat="1" applyFont="1" applyBorder="1" applyAlignment="1">
      <alignment horizontal="right" vertical="center"/>
    </xf>
    <xf numFmtId="4" fontId="13" fillId="0" borderId="8" xfId="8" applyNumberFormat="1" applyFont="1" applyBorder="1" applyAlignment="1">
      <alignment horizontal="right" vertical="center"/>
    </xf>
    <xf numFmtId="4" fontId="13" fillId="0" borderId="4" xfId="8" applyNumberFormat="1" applyFont="1" applyBorder="1" applyAlignment="1">
      <alignment horizontal="right" vertical="center"/>
    </xf>
    <xf numFmtId="4" fontId="13" fillId="0" borderId="0" xfId="8" applyNumberFormat="1" applyFont="1" applyAlignment="1">
      <alignment horizontal="right" vertical="center"/>
    </xf>
    <xf numFmtId="4" fontId="13" fillId="0" borderId="5" xfId="8" applyNumberFormat="1" applyFont="1" applyBorder="1" applyAlignment="1">
      <alignment horizontal="right" vertical="center"/>
    </xf>
    <xf numFmtId="4" fontId="13" fillId="0" borderId="9" xfId="8" applyNumberFormat="1" applyFont="1" applyBorder="1" applyAlignment="1">
      <alignment horizontal="right" vertical="center"/>
    </xf>
    <xf numFmtId="4" fontId="13" fillId="0" borderId="10" xfId="8" applyNumberFormat="1" applyFont="1" applyBorder="1" applyAlignment="1">
      <alignment horizontal="right" vertical="center"/>
    </xf>
    <xf numFmtId="0" fontId="16" fillId="3" borderId="1" xfId="8" applyFont="1" applyFill="1" applyBorder="1" applyAlignment="1">
      <alignment vertical="center"/>
    </xf>
    <xf numFmtId="0" fontId="18" fillId="3" borderId="2" xfId="8" applyFont="1" applyFill="1" applyBorder="1" applyAlignment="1">
      <alignment vertical="center"/>
    </xf>
    <xf numFmtId="0" fontId="13" fillId="3" borderId="2" xfId="8" applyFont="1" applyFill="1" applyBorder="1" applyAlignment="1">
      <alignment vertical="center"/>
    </xf>
    <xf numFmtId="4" fontId="16" fillId="3" borderId="12" xfId="8" applyNumberFormat="1" applyFont="1" applyFill="1" applyBorder="1" applyAlignment="1">
      <alignment horizontal="right" vertical="center"/>
    </xf>
    <xf numFmtId="4" fontId="16" fillId="3" borderId="13" xfId="8" applyNumberFormat="1" applyFont="1" applyFill="1" applyBorder="1" applyAlignment="1">
      <alignment horizontal="right" vertical="center"/>
    </xf>
    <xf numFmtId="3" fontId="16" fillId="4" borderId="14" xfId="8" applyNumberFormat="1" applyFont="1" applyFill="1" applyBorder="1" applyAlignment="1">
      <alignment horizontal="right" vertical="center"/>
    </xf>
    <xf numFmtId="0" fontId="16" fillId="0" borderId="0" xfId="8" applyFont="1" applyAlignment="1">
      <alignment horizontal="left"/>
    </xf>
    <xf numFmtId="0" fontId="20" fillId="2" borderId="1" xfId="8" applyFont="1" applyFill="1" applyBorder="1" applyAlignment="1">
      <alignment vertical="center"/>
    </xf>
    <xf numFmtId="0" fontId="18" fillId="2" borderId="2" xfId="8" applyFont="1" applyFill="1" applyBorder="1" applyAlignment="1">
      <alignment vertical="center"/>
    </xf>
    <xf numFmtId="0" fontId="18" fillId="2" borderId="3" xfId="8" applyFont="1" applyFill="1" applyBorder="1" applyAlignment="1">
      <alignment vertical="center" wrapText="1"/>
    </xf>
    <xf numFmtId="0" fontId="18" fillId="2" borderId="15" xfId="8" applyFont="1" applyFill="1" applyBorder="1" applyAlignment="1">
      <alignment horizontal="center" vertical="center" wrapText="1"/>
    </xf>
    <xf numFmtId="0" fontId="18" fillId="2" borderId="3" xfId="8" applyFont="1" applyFill="1" applyBorder="1" applyAlignment="1">
      <alignment horizontal="center" vertical="center" wrapText="1"/>
    </xf>
    <xf numFmtId="49" fontId="19" fillId="0" borderId="4" xfId="8" applyNumberFormat="1" applyFont="1" applyBorder="1" applyAlignment="1">
      <alignment horizontal="left"/>
    </xf>
    <xf numFmtId="0" fontId="19" fillId="0" borderId="0" xfId="8" applyFont="1" applyAlignment="1">
      <alignment horizontal="left"/>
    </xf>
    <xf numFmtId="0" fontId="19" fillId="0" borderId="0" xfId="8" applyFont="1"/>
    <xf numFmtId="165" fontId="19" fillId="0" borderId="0" xfId="8" applyNumberFormat="1" applyFont="1"/>
    <xf numFmtId="3" fontId="20" fillId="0" borderId="16" xfId="8" applyNumberFormat="1" applyFont="1" applyBorder="1" applyAlignment="1">
      <alignment horizontal="right"/>
    </xf>
    <xf numFmtId="3" fontId="19" fillId="0" borderId="16" xfId="8" applyNumberFormat="1" applyFont="1" applyBorder="1" applyAlignment="1">
      <alignment horizontal="right"/>
    </xf>
    <xf numFmtId="49" fontId="19" fillId="0" borderId="17" xfId="8" applyNumberFormat="1" applyFont="1" applyBorder="1" applyAlignment="1">
      <alignment horizontal="left"/>
    </xf>
    <xf numFmtId="0" fontId="20" fillId="3" borderId="1" xfId="8" applyFont="1" applyFill="1" applyBorder="1" applyAlignment="1">
      <alignment vertical="center"/>
    </xf>
    <xf numFmtId="49" fontId="20" fillId="3" borderId="2" xfId="8" applyNumberFormat="1" applyFont="1" applyFill="1" applyBorder="1" applyAlignment="1">
      <alignment horizontal="left" vertical="center"/>
    </xf>
    <xf numFmtId="0" fontId="20" fillId="3" borderId="2" xfId="8" applyFont="1" applyFill="1" applyBorder="1" applyAlignment="1">
      <alignment vertical="center"/>
    </xf>
    <xf numFmtId="165" fontId="19" fillId="3" borderId="3" xfId="8" applyNumberFormat="1" applyFont="1" applyFill="1" applyBorder="1"/>
    <xf numFmtId="3" fontId="20" fillId="3" borderId="15" xfId="8" applyNumberFormat="1" applyFont="1" applyFill="1" applyBorder="1" applyAlignment="1">
      <alignment horizontal="right" vertical="center"/>
    </xf>
    <xf numFmtId="0" fontId="13" fillId="0" borderId="0" xfId="8" applyFont="1" applyAlignment="1">
      <alignment horizontal="left" vertical="top" wrapText="1"/>
    </xf>
    <xf numFmtId="0" fontId="10" fillId="0" borderId="0" xfId="16" applyFont="1"/>
    <xf numFmtId="0" fontId="10" fillId="0" borderId="0" xfId="8" applyFont="1"/>
    <xf numFmtId="3" fontId="19" fillId="0" borderId="20" xfId="8" applyNumberFormat="1" applyFont="1" applyBorder="1" applyAlignment="1">
      <alignment horizontal="right"/>
    </xf>
    <xf numFmtId="49" fontId="20" fillId="0" borderId="17" xfId="8" applyNumberFormat="1" applyFont="1" applyBorder="1" applyAlignment="1">
      <alignment horizontal="left"/>
    </xf>
    <xf numFmtId="0" fontId="13" fillId="0" borderId="0" xfId="8" applyFont="1" applyAlignment="1">
      <alignment horizontal="center"/>
    </xf>
    <xf numFmtId="3" fontId="20" fillId="0" borderId="18" xfId="8" applyNumberFormat="1" applyFont="1" applyBorder="1" applyAlignment="1">
      <alignment horizontal="right"/>
    </xf>
    <xf numFmtId="3" fontId="20" fillId="0" borderId="19" xfId="8" applyNumberFormat="1" applyFont="1" applyBorder="1" applyAlignment="1">
      <alignment horizontal="right"/>
    </xf>
    <xf numFmtId="0" fontId="14" fillId="0" borderId="0" xfId="8" applyFont="1"/>
    <xf numFmtId="14" fontId="19" fillId="0" borderId="0" xfId="8" applyNumberFormat="1" applyFont="1" applyAlignment="1">
      <alignment horizontal="left" vertical="center"/>
    </xf>
    <xf numFmtId="14" fontId="19" fillId="0" borderId="0" xfId="8" applyNumberFormat="1" applyFont="1" applyAlignment="1">
      <alignment horizontal="left"/>
    </xf>
    <xf numFmtId="0" fontId="20" fillId="0" borderId="0" xfId="8" applyFont="1" applyAlignment="1">
      <alignment horizontal="left"/>
    </xf>
    <xf numFmtId="4" fontId="13" fillId="0" borderId="0" xfId="8" applyNumberFormat="1" applyFont="1" applyAlignment="1">
      <alignment vertical="center"/>
    </xf>
    <xf numFmtId="3" fontId="26" fillId="0" borderId="0" xfId="8" applyNumberFormat="1" applyFont="1"/>
    <xf numFmtId="3" fontId="13" fillId="0" borderId="0" xfId="8" applyNumberFormat="1" applyFont="1"/>
    <xf numFmtId="4" fontId="13" fillId="0" borderId="0" xfId="8" applyNumberFormat="1" applyFont="1"/>
    <xf numFmtId="0" fontId="26" fillId="0" borderId="0" xfId="8" applyFont="1"/>
    <xf numFmtId="3" fontId="13" fillId="0" borderId="0" xfId="8" applyNumberFormat="1" applyFont="1" applyAlignment="1">
      <alignment horizontal="center" vertical="center"/>
    </xf>
    <xf numFmtId="3" fontId="26" fillId="0" borderId="0" xfId="8" applyNumberFormat="1" applyFont="1" applyAlignment="1">
      <alignment horizontal="right"/>
    </xf>
    <xf numFmtId="0" fontId="18" fillId="0" borderId="0" xfId="8" applyFont="1" applyAlignment="1">
      <alignment horizontal="center" vertical="center"/>
    </xf>
    <xf numFmtId="4" fontId="10" fillId="0" borderId="0" xfId="16" applyNumberFormat="1" applyFont="1"/>
    <xf numFmtId="0" fontId="10" fillId="0" borderId="0" xfId="16" applyFont="1" applyAlignment="1">
      <alignment wrapText="1"/>
    </xf>
    <xf numFmtId="0" fontId="21" fillId="0" borderId="0" xfId="16" applyFont="1" applyAlignment="1">
      <alignment wrapText="1"/>
    </xf>
    <xf numFmtId="0" fontId="21" fillId="0" borderId="0" xfId="16" applyFont="1"/>
    <xf numFmtId="4" fontId="13" fillId="5" borderId="5" xfId="8" applyNumberFormat="1" applyFont="1" applyFill="1" applyBorder="1" applyAlignment="1">
      <alignment horizontal="right" vertical="center"/>
    </xf>
    <xf numFmtId="4" fontId="13" fillId="5" borderId="11" xfId="8" applyNumberFormat="1" applyFont="1" applyFill="1" applyBorder="1" applyAlignment="1">
      <alignment horizontal="right" vertical="center"/>
    </xf>
    <xf numFmtId="3" fontId="26" fillId="0" borderId="0" xfId="8" applyNumberFormat="1" applyFont="1" applyAlignment="1">
      <alignment horizontal="left"/>
    </xf>
    <xf numFmtId="3" fontId="19" fillId="0" borderId="18" xfId="8" applyNumberFormat="1" applyFont="1" applyBorder="1" applyAlignment="1">
      <alignment horizontal="right"/>
    </xf>
    <xf numFmtId="3" fontId="19" fillId="0" borderId="19" xfId="8" applyNumberFormat="1" applyFont="1" applyBorder="1" applyAlignment="1">
      <alignment horizontal="right"/>
    </xf>
    <xf numFmtId="0" fontId="16" fillId="0" borderId="0" xfId="8" applyFont="1" applyAlignment="1">
      <alignment horizontal="left" vertical="center"/>
    </xf>
    <xf numFmtId="0" fontId="18" fillId="0" borderId="0" xfId="8" applyFont="1" applyAlignment="1">
      <alignment vertical="center"/>
    </xf>
    <xf numFmtId="0" fontId="15" fillId="0" borderId="0" xfId="8" applyFont="1" applyAlignment="1">
      <alignment horizontal="left"/>
    </xf>
    <xf numFmtId="0" fontId="16" fillId="0" borderId="0" xfId="8" applyFont="1" applyAlignment="1">
      <alignment horizontal="left" vertical="top" wrapText="1"/>
    </xf>
    <xf numFmtId="0" fontId="11" fillId="0" borderId="0" xfId="8" applyAlignment="1">
      <alignment vertical="top" wrapText="1"/>
    </xf>
    <xf numFmtId="0" fontId="18" fillId="0" borderId="0" xfId="8" applyFont="1"/>
    <xf numFmtId="0" fontId="9" fillId="0" borderId="0" xfId="175" applyFont="1" applyAlignment="1">
      <alignment vertical="center"/>
    </xf>
    <xf numFmtId="0" fontId="48" fillId="0" borderId="0" xfId="175" applyFont="1" applyAlignment="1">
      <alignment horizontal="centerContinuous" vertical="center"/>
    </xf>
    <xf numFmtId="0" fontId="49" fillId="0" borderId="0" xfId="175" applyFont="1" applyAlignment="1">
      <alignment horizontal="centerContinuous" vertical="center"/>
    </xf>
    <xf numFmtId="0" fontId="49" fillId="0" borderId="0" xfId="175" applyFont="1" applyAlignment="1">
      <alignment horizontal="right" vertical="center"/>
    </xf>
    <xf numFmtId="0" fontId="11" fillId="0" borderId="0" xfId="175" applyAlignment="1">
      <alignment vertical="center"/>
    </xf>
    <xf numFmtId="0" fontId="13" fillId="0" borderId="0" xfId="20" applyFont="1"/>
    <xf numFmtId="0" fontId="52" fillId="0" borderId="0" xfId="175" applyFont="1" applyAlignment="1">
      <alignment vertical="center"/>
    </xf>
    <xf numFmtId="4" fontId="19" fillId="0" borderId="0" xfId="20" applyNumberFormat="1" applyFont="1"/>
    <xf numFmtId="4" fontId="13" fillId="0" borderId="0" xfId="20" applyNumberFormat="1" applyFont="1"/>
    <xf numFmtId="0" fontId="18" fillId="0" borderId="0" xfId="20" applyFont="1" applyAlignment="1">
      <alignment horizontal="center" vertical="center"/>
    </xf>
    <xf numFmtId="0" fontId="17" fillId="0" borderId="15" xfId="175" applyFont="1" applyBorder="1" applyAlignment="1">
      <alignment horizontal="center" vertical="justify"/>
    </xf>
    <xf numFmtId="49" fontId="17" fillId="0" borderId="15" xfId="175" applyNumberFormat="1" applyFont="1" applyBorder="1" applyAlignment="1">
      <alignment horizontal="left" vertical="justify"/>
    </xf>
    <xf numFmtId="0" fontId="17" fillId="0" borderId="15" xfId="175" applyFont="1" applyBorder="1" applyAlignment="1">
      <alignment vertical="justify"/>
    </xf>
    <xf numFmtId="0" fontId="9" fillId="0" borderId="15" xfId="175" applyFont="1" applyBorder="1" applyAlignment="1">
      <alignment horizontal="center" vertical="center" wrapText="1"/>
    </xf>
    <xf numFmtId="0" fontId="17" fillId="0" borderId="15" xfId="175" applyFont="1" applyBorder="1" applyAlignment="1">
      <alignment horizontal="center" vertical="center" wrapText="1"/>
    </xf>
    <xf numFmtId="0" fontId="9" fillId="5" borderId="15" xfId="175" applyFont="1" applyFill="1" applyBorder="1" applyAlignment="1">
      <alignment horizontal="center" vertical="center" wrapText="1"/>
    </xf>
    <xf numFmtId="49" fontId="9" fillId="5" borderId="15" xfId="175" applyNumberFormat="1" applyFont="1" applyFill="1" applyBorder="1" applyAlignment="1">
      <alignment vertical="center" wrapText="1"/>
    </xf>
    <xf numFmtId="0" fontId="9" fillId="5" borderId="15" xfId="175" applyFont="1" applyFill="1" applyBorder="1" applyAlignment="1">
      <alignment vertical="center" wrapText="1"/>
    </xf>
    <xf numFmtId="49" fontId="9" fillId="5" borderId="15" xfId="175" applyNumberFormat="1" applyFont="1" applyFill="1" applyBorder="1" applyAlignment="1">
      <alignment horizontal="center" vertical="center" wrapText="1" shrinkToFit="1"/>
    </xf>
    <xf numFmtId="4" fontId="9" fillId="5" borderId="15" xfId="175" applyNumberFormat="1" applyFont="1" applyFill="1" applyBorder="1" applyAlignment="1">
      <alignment vertical="center" wrapText="1"/>
    </xf>
    <xf numFmtId="39" fontId="9" fillId="5" borderId="15" xfId="3" applyNumberFormat="1" applyFont="1" applyFill="1" applyBorder="1" applyAlignment="1" applyProtection="1">
      <alignment horizontal="center" vertical="center"/>
      <protection locked="0"/>
    </xf>
    <xf numFmtId="0" fontId="53" fillId="5" borderId="15" xfId="175" applyFont="1" applyFill="1" applyBorder="1" applyAlignment="1">
      <alignment vertical="center" wrapText="1"/>
    </xf>
    <xf numFmtId="0" fontId="54" fillId="5" borderId="15" xfId="175" applyFont="1" applyFill="1" applyBorder="1" applyAlignment="1">
      <alignment vertical="center" wrapText="1"/>
    </xf>
    <xf numFmtId="39" fontId="9" fillId="5" borderId="15" xfId="3" applyNumberFormat="1" applyFont="1" applyFill="1" applyBorder="1" applyAlignment="1" applyProtection="1">
      <alignment horizontal="center"/>
      <protection locked="0"/>
    </xf>
    <xf numFmtId="0" fontId="16" fillId="0" borderId="0" xfId="20" applyFont="1" applyAlignment="1">
      <alignment horizontal="left" vertical="center"/>
    </xf>
    <xf numFmtId="6" fontId="13" fillId="0" borderId="0" xfId="20" applyNumberFormat="1" applyFont="1"/>
    <xf numFmtId="49" fontId="9" fillId="0" borderId="15" xfId="175" applyNumberFormat="1" applyFont="1" applyBorder="1" applyAlignment="1">
      <alignment vertical="center" wrapText="1"/>
    </xf>
    <xf numFmtId="0" fontId="9" fillId="0" borderId="15" xfId="175" applyFont="1" applyBorder="1" applyAlignment="1">
      <alignment vertical="center" wrapText="1"/>
    </xf>
    <xf numFmtId="49" fontId="9" fillId="0" borderId="15" xfId="175" applyNumberFormat="1" applyFont="1" applyBorder="1" applyAlignment="1">
      <alignment horizontal="center" vertical="center" wrapText="1" shrinkToFit="1"/>
    </xf>
    <xf numFmtId="4" fontId="9" fillId="0" borderId="15" xfId="175" applyNumberFormat="1" applyFont="1" applyBorder="1" applyAlignment="1">
      <alignment vertical="center" wrapText="1"/>
    </xf>
    <xf numFmtId="39" fontId="9" fillId="0" borderId="15" xfId="3" applyNumberFormat="1" applyFont="1" applyBorder="1" applyAlignment="1" applyProtection="1">
      <alignment horizontal="center" vertical="center"/>
      <protection locked="0"/>
    </xf>
    <xf numFmtId="0" fontId="26" fillId="0" borderId="0" xfId="20" applyFont="1"/>
    <xf numFmtId="3" fontId="13" fillId="0" borderId="0" xfId="20" applyNumberFormat="1" applyFont="1"/>
    <xf numFmtId="0" fontId="53" fillId="5" borderId="15" xfId="175" applyFont="1" applyFill="1" applyBorder="1" applyAlignment="1">
      <alignment horizontal="center" vertical="center" wrapText="1"/>
    </xf>
    <xf numFmtId="0" fontId="53" fillId="0" borderId="15" xfId="175" applyFont="1" applyBorder="1" applyAlignment="1">
      <alignment vertical="center" wrapText="1"/>
    </xf>
    <xf numFmtId="0" fontId="54" fillId="0" borderId="15" xfId="175" applyFont="1" applyBorder="1" applyAlignment="1">
      <alignment vertical="center" wrapText="1"/>
    </xf>
    <xf numFmtId="0" fontId="53" fillId="0" borderId="15" xfId="175" applyFont="1" applyBorder="1" applyAlignment="1">
      <alignment horizontal="center" vertical="center" wrapText="1"/>
    </xf>
    <xf numFmtId="0" fontId="9" fillId="0" borderId="15" xfId="176" applyFont="1" applyBorder="1" applyAlignment="1">
      <alignment horizontal="center" vertical="center" wrapText="1"/>
    </xf>
    <xf numFmtId="4" fontId="9" fillId="0" borderId="15" xfId="176" applyNumberFormat="1" applyFont="1" applyBorder="1" applyAlignment="1">
      <alignment vertical="center" wrapText="1"/>
    </xf>
    <xf numFmtId="0" fontId="11" fillId="7" borderId="15" xfId="175" applyFill="1" applyBorder="1" applyAlignment="1">
      <alignment horizontal="center" vertical="justify"/>
    </xf>
    <xf numFmtId="49" fontId="55" fillId="2" borderId="15" xfId="175" applyNumberFormat="1" applyFont="1" applyFill="1" applyBorder="1" applyAlignment="1">
      <alignment horizontal="left" vertical="justify"/>
    </xf>
    <xf numFmtId="0" fontId="55" fillId="2" borderId="1" xfId="175" applyFont="1" applyFill="1" applyBorder="1" applyAlignment="1">
      <alignment vertical="justify"/>
    </xf>
    <xf numFmtId="0" fontId="11" fillId="2" borderId="2" xfId="175" applyFill="1" applyBorder="1" applyAlignment="1">
      <alignment horizontal="center" vertical="justify"/>
    </xf>
    <xf numFmtId="4" fontId="11" fillId="2" borderId="2" xfId="175" applyNumberFormat="1" applyFill="1" applyBorder="1" applyAlignment="1">
      <alignment horizontal="right" vertical="justify"/>
    </xf>
    <xf numFmtId="4" fontId="11" fillId="2" borderId="3" xfId="175" applyNumberFormat="1" applyFill="1" applyBorder="1" applyAlignment="1">
      <alignment horizontal="right" vertical="justify"/>
    </xf>
    <xf numFmtId="0" fontId="10" fillId="0" borderId="0" xfId="176" applyFont="1" applyAlignment="1">
      <alignment vertical="center"/>
    </xf>
    <xf numFmtId="49" fontId="10" fillId="0" borderId="0" xfId="176" applyNumberFormat="1" applyFont="1" applyAlignment="1">
      <alignment vertical="center"/>
    </xf>
    <xf numFmtId="0" fontId="56" fillId="0" borderId="0" xfId="20" applyFont="1"/>
    <xf numFmtId="0" fontId="10" fillId="0" borderId="0" xfId="176" applyFont="1" applyAlignment="1">
      <alignment vertical="center" wrapText="1"/>
    </xf>
    <xf numFmtId="0" fontId="58" fillId="0" borderId="0" xfId="12" applyFont="1" applyAlignment="1" applyProtection="1">
      <alignment horizontal="left"/>
    </xf>
    <xf numFmtId="0" fontId="59" fillId="0" borderId="0" xfId="154" applyFont="1" applyAlignment="1">
      <alignment horizontal="left"/>
    </xf>
    <xf numFmtId="0" fontId="28" fillId="0" borderId="0" xfId="154" applyAlignment="1" applyProtection="1">
      <alignment horizontal="left" vertical="top"/>
      <protection locked="0"/>
    </xf>
    <xf numFmtId="0" fontId="60" fillId="0" borderId="0" xfId="154" applyFont="1" applyAlignment="1">
      <alignment horizontal="center" vertical="center"/>
    </xf>
    <xf numFmtId="0" fontId="32" fillId="0" borderId="0" xfId="28" applyFill="1" applyAlignment="1" applyProtection="1">
      <alignment horizontal="left" vertical="top"/>
      <protection locked="0"/>
    </xf>
    <xf numFmtId="0" fontId="61" fillId="0" borderId="0" xfId="25" applyFont="1" applyAlignment="1" applyProtection="1">
      <alignment horizontal="left" vertical="center"/>
    </xf>
    <xf numFmtId="0" fontId="61" fillId="0" borderId="0" xfId="154" applyFont="1" applyAlignment="1">
      <alignment horizontal="left"/>
    </xf>
    <xf numFmtId="0" fontId="9" fillId="0" borderId="0" xfId="154" applyFont="1" applyAlignment="1">
      <alignment horizontal="left"/>
    </xf>
    <xf numFmtId="0" fontId="28" fillId="0" borderId="0" xfId="154"/>
    <xf numFmtId="0" fontId="28" fillId="0" borderId="0" xfId="154" applyAlignment="1">
      <alignment horizontal="left" vertical="top"/>
    </xf>
    <xf numFmtId="0" fontId="32" fillId="0" borderId="0" xfId="28" applyFill="1" applyAlignment="1">
      <alignment horizontal="left" vertical="top"/>
    </xf>
    <xf numFmtId="0" fontId="62" fillId="0" borderId="0" xfId="154" applyFont="1" applyAlignment="1">
      <alignment horizontal="left" vertical="center"/>
    </xf>
    <xf numFmtId="0" fontId="63" fillId="0" borderId="33" xfId="154" applyFont="1" applyBorder="1" applyAlignment="1">
      <alignment horizontal="center" vertical="center" wrapText="1"/>
    </xf>
    <xf numFmtId="37" fontId="61" fillId="0" borderId="0" xfId="154" applyNumberFormat="1" applyFont="1" applyAlignment="1" applyProtection="1">
      <alignment horizontal="right"/>
      <protection locked="0"/>
    </xf>
    <xf numFmtId="0" fontId="61" fillId="0" borderId="0" xfId="154" applyFont="1" applyAlignment="1" applyProtection="1">
      <alignment horizontal="left" wrapText="1"/>
      <protection locked="0"/>
    </xf>
    <xf numFmtId="37" fontId="61" fillId="0" borderId="34" xfId="154" applyNumberFormat="1" applyFont="1" applyBorder="1" applyAlignment="1" applyProtection="1">
      <alignment horizontal="right"/>
      <protection locked="0"/>
    </xf>
    <xf numFmtId="0" fontId="61" fillId="0" borderId="34" xfId="154" applyFont="1" applyBorder="1" applyAlignment="1" applyProtection="1">
      <alignment horizontal="left" wrapText="1"/>
      <protection locked="0"/>
    </xf>
    <xf numFmtId="0" fontId="28" fillId="0" borderId="34" xfId="154" applyBorder="1" applyAlignment="1" applyProtection="1">
      <alignment horizontal="left" vertical="top"/>
      <protection locked="0"/>
    </xf>
    <xf numFmtId="37" fontId="9" fillId="0" borderId="34" xfId="142" applyNumberFormat="1" applyFont="1" applyBorder="1" applyAlignment="1" applyProtection="1">
      <alignment horizontal="right"/>
      <protection locked="0"/>
    </xf>
    <xf numFmtId="0" fontId="9" fillId="0" borderId="34" xfId="142" applyFont="1" applyBorder="1" applyAlignment="1" applyProtection="1">
      <alignment horizontal="left" wrapText="1"/>
      <protection locked="0"/>
    </xf>
    <xf numFmtId="39" fontId="9" fillId="0" borderId="34" xfId="3" applyNumberFormat="1" applyFont="1" applyBorder="1" applyAlignment="1" applyProtection="1">
      <alignment horizontal="center"/>
      <protection locked="0"/>
    </xf>
    <xf numFmtId="1" fontId="9" fillId="0" borderId="34" xfId="177" applyNumberFormat="1" applyFont="1" applyBorder="1" applyAlignment="1" applyProtection="1">
      <alignment horizontal="right"/>
      <protection locked="0"/>
    </xf>
    <xf numFmtId="0" fontId="9" fillId="0" borderId="34" xfId="177" applyFont="1" applyBorder="1" applyAlignment="1" applyProtection="1">
      <alignment horizontal="left" wrapText="1"/>
      <protection locked="0"/>
    </xf>
    <xf numFmtId="4" fontId="9" fillId="0" borderId="34" xfId="177" applyNumberFormat="1" applyFont="1" applyBorder="1" applyAlignment="1" applyProtection="1">
      <alignment horizontal="right"/>
      <protection locked="0"/>
    </xf>
    <xf numFmtId="0" fontId="67" fillId="0" borderId="0" xfId="25" applyFont="1" applyAlignment="1" applyProtection="1">
      <alignment vertical="center"/>
    </xf>
    <xf numFmtId="0" fontId="12" fillId="0" borderId="0" xfId="25" applyAlignment="1">
      <alignment horizontal="left" vertical="top"/>
      <protection locked="0"/>
    </xf>
    <xf numFmtId="2" fontId="12" fillId="0" borderId="0" xfId="25" applyNumberFormat="1" applyAlignment="1">
      <alignment horizontal="left" vertical="top"/>
      <protection locked="0"/>
    </xf>
    <xf numFmtId="1" fontId="68" fillId="0" borderId="34" xfId="177" applyNumberFormat="1" applyFont="1" applyBorder="1" applyAlignment="1" applyProtection="1">
      <alignment horizontal="right"/>
      <protection locked="0"/>
    </xf>
    <xf numFmtId="0" fontId="68" fillId="0" borderId="34" xfId="177" applyFont="1" applyBorder="1" applyAlignment="1" applyProtection="1">
      <alignment horizontal="left" wrapText="1"/>
      <protection locked="0"/>
    </xf>
    <xf numFmtId="4" fontId="68" fillId="0" borderId="34" xfId="177" applyNumberFormat="1" applyFont="1" applyBorder="1" applyAlignment="1" applyProtection="1">
      <alignment horizontal="right"/>
      <protection locked="0"/>
    </xf>
    <xf numFmtId="39" fontId="68" fillId="0" borderId="34" xfId="177" applyNumberFormat="1" applyFont="1" applyBorder="1" applyAlignment="1" applyProtection="1">
      <alignment horizontal="center"/>
      <protection locked="0"/>
    </xf>
    <xf numFmtId="2" fontId="69" fillId="0" borderId="0" xfId="25" applyNumberFormat="1" applyFont="1" applyAlignment="1" applyProtection="1">
      <alignment vertical="center"/>
    </xf>
    <xf numFmtId="0" fontId="70" fillId="0" borderId="0" xfId="25" applyFont="1" applyAlignment="1">
      <alignment horizontal="left" vertical="top"/>
      <protection locked="0"/>
    </xf>
    <xf numFmtId="2" fontId="70" fillId="0" borderId="0" xfId="25" applyNumberFormat="1" applyFont="1" applyAlignment="1">
      <alignment horizontal="left" vertical="top"/>
      <protection locked="0"/>
    </xf>
    <xf numFmtId="0" fontId="69" fillId="0" borderId="0" xfId="25" applyFont="1" applyAlignment="1" applyProtection="1">
      <alignment vertical="center"/>
    </xf>
    <xf numFmtId="1" fontId="9" fillId="0" borderId="34" xfId="33" applyNumberFormat="1" applyFont="1" applyBorder="1" applyAlignment="1" applyProtection="1">
      <alignment horizontal="right" wrapText="1"/>
      <protection locked="0"/>
    </xf>
    <xf numFmtId="49" fontId="9" fillId="0" borderId="34" xfId="33" applyNumberFormat="1" applyFont="1" applyBorder="1" applyAlignment="1" applyProtection="1">
      <alignment horizontal="left" wrapText="1"/>
      <protection locked="0"/>
    </xf>
    <xf numFmtId="0" fontId="54" fillId="0" borderId="34" xfId="33" applyFont="1" applyBorder="1" applyAlignment="1" applyProtection="1">
      <alignment horizontal="left" wrapText="1"/>
      <protection locked="0"/>
    </xf>
    <xf numFmtId="4" fontId="54" fillId="0" borderId="34" xfId="33" applyNumberFormat="1" applyFont="1" applyBorder="1" applyAlignment="1" applyProtection="1">
      <alignment horizontal="right"/>
      <protection locked="0"/>
    </xf>
    <xf numFmtId="4" fontId="9" fillId="0" borderId="34" xfId="33" applyNumberFormat="1" applyFont="1" applyBorder="1" applyAlignment="1" applyProtection="1">
      <alignment horizontal="right"/>
      <protection locked="0"/>
    </xf>
    <xf numFmtId="39" fontId="9" fillId="0" borderId="34" xfId="33" applyNumberFormat="1" applyFont="1" applyBorder="1" applyAlignment="1" applyProtection="1">
      <alignment horizontal="center"/>
      <protection locked="0"/>
    </xf>
    <xf numFmtId="0" fontId="34" fillId="0" borderId="0" xfId="33" applyAlignment="1" applyProtection="1">
      <alignment horizontal="left" vertical="top"/>
      <protection locked="0"/>
    </xf>
    <xf numFmtId="171" fontId="34" fillId="0" borderId="0" xfId="33" applyNumberFormat="1" applyAlignment="1" applyProtection="1">
      <alignment horizontal="left" vertical="top"/>
      <protection locked="0"/>
    </xf>
    <xf numFmtId="1" fontId="9" fillId="0" borderId="34" xfId="154" applyNumberFormat="1" applyFont="1" applyBorder="1" applyAlignment="1" applyProtection="1">
      <alignment horizontal="right"/>
      <protection locked="0"/>
    </xf>
    <xf numFmtId="0" fontId="9" fillId="0" borderId="34" xfId="154" applyFont="1" applyBorder="1" applyAlignment="1" applyProtection="1">
      <alignment horizontal="left" wrapText="1"/>
      <protection locked="0"/>
    </xf>
    <xf numFmtId="4" fontId="9" fillId="0" borderId="34" xfId="154" applyNumberFormat="1" applyFont="1" applyBorder="1" applyAlignment="1" applyProtection="1">
      <alignment horizontal="right"/>
      <protection locked="0"/>
    </xf>
    <xf numFmtId="49" fontId="9" fillId="0" borderId="34" xfId="154" applyNumberFormat="1" applyFont="1" applyBorder="1" applyAlignment="1" applyProtection="1">
      <alignment horizontal="right" wrapText="1"/>
      <protection locked="0"/>
    </xf>
    <xf numFmtId="49" fontId="9" fillId="0" borderId="34" xfId="154" applyNumberFormat="1" applyFont="1" applyBorder="1" applyAlignment="1" applyProtection="1">
      <alignment horizontal="left" wrapText="1"/>
      <protection locked="0"/>
    </xf>
    <xf numFmtId="39" fontId="9" fillId="0" borderId="34" xfId="154" applyNumberFormat="1" applyFont="1" applyBorder="1" applyAlignment="1" applyProtection="1">
      <alignment horizontal="right"/>
      <protection locked="0"/>
    </xf>
    <xf numFmtId="39" fontId="9" fillId="0" borderId="0" xfId="154" applyNumberFormat="1" applyFont="1" applyAlignment="1" applyProtection="1">
      <alignment horizontal="center"/>
      <protection locked="0"/>
    </xf>
    <xf numFmtId="0" fontId="54" fillId="0" borderId="34" xfId="154" applyFont="1" applyBorder="1" applyAlignment="1" applyProtection="1">
      <alignment horizontal="left" wrapText="1"/>
      <protection locked="0"/>
    </xf>
    <xf numFmtId="0" fontId="28" fillId="0" borderId="34" xfId="154" applyBorder="1" applyAlignment="1" applyProtection="1">
      <alignment vertical="top"/>
      <protection locked="0"/>
    </xf>
    <xf numFmtId="39" fontId="9" fillId="0" borderId="0" xfId="154" applyNumberFormat="1" applyFont="1" applyAlignment="1" applyProtection="1">
      <alignment horizontal="left"/>
      <protection locked="0"/>
    </xf>
    <xf numFmtId="37" fontId="9" fillId="0" borderId="34" xfId="178" applyNumberFormat="1" applyFont="1" applyBorder="1" applyAlignment="1">
      <alignment horizontal="right"/>
      <protection locked="0"/>
    </xf>
    <xf numFmtId="49" fontId="9" fillId="0" borderId="34" xfId="26" applyNumberFormat="1" applyFont="1" applyBorder="1" applyAlignment="1">
      <alignment horizontal="left"/>
      <protection locked="0"/>
    </xf>
    <xf numFmtId="0" fontId="9" fillId="0" borderId="34" xfId="26" applyFont="1" applyBorder="1" applyAlignment="1">
      <alignment horizontal="left" wrapText="1"/>
      <protection locked="0"/>
    </xf>
    <xf numFmtId="0" fontId="29" fillId="0" borderId="0" xfId="26" applyAlignment="1" applyProtection="1"/>
    <xf numFmtId="0" fontId="68" fillId="0" borderId="34" xfId="26" applyFont="1" applyBorder="1" applyAlignment="1">
      <alignment horizontal="left" wrapText="1"/>
      <protection locked="0"/>
    </xf>
    <xf numFmtId="2" fontId="9" fillId="0" borderId="34" xfId="26" applyNumberFormat="1" applyFont="1" applyBorder="1" applyAlignment="1">
      <alignment horizontal="center"/>
      <protection locked="0"/>
    </xf>
    <xf numFmtId="37" fontId="73" fillId="0" borderId="34" xfId="3" applyNumberFormat="1" applyFont="1" applyBorder="1" applyAlignment="1" applyProtection="1">
      <alignment horizontal="right"/>
      <protection locked="0"/>
    </xf>
    <xf numFmtId="0" fontId="73" fillId="0" borderId="34" xfId="3" applyFont="1" applyBorder="1" applyAlignment="1" applyProtection="1">
      <alignment horizontal="left" wrapText="1"/>
      <protection locked="0"/>
    </xf>
    <xf numFmtId="39" fontId="73" fillId="0" borderId="34" xfId="3" applyNumberFormat="1" applyFont="1" applyBorder="1" applyAlignment="1" applyProtection="1">
      <alignment horizontal="center"/>
      <protection locked="0"/>
    </xf>
    <xf numFmtId="0" fontId="11" fillId="0" borderId="0" xfId="3"/>
    <xf numFmtId="37" fontId="73" fillId="0" borderId="34" xfId="178" applyNumberFormat="1" applyFont="1" applyBorder="1" applyAlignment="1">
      <alignment horizontal="right"/>
      <protection locked="0"/>
    </xf>
    <xf numFmtId="49" fontId="73" fillId="0" borderId="34" xfId="26" applyNumberFormat="1" applyFont="1" applyBorder="1" applyAlignment="1">
      <alignment horizontal="left"/>
      <protection locked="0"/>
    </xf>
    <xf numFmtId="0" fontId="73" fillId="0" borderId="34" xfId="26" applyFont="1" applyBorder="1" applyAlignment="1">
      <alignment horizontal="left" wrapText="1"/>
      <protection locked="0"/>
    </xf>
    <xf numFmtId="0" fontId="74" fillId="0" borderId="34" xfId="26" applyFont="1" applyBorder="1" applyAlignment="1">
      <alignment horizontal="left" wrapText="1"/>
      <protection locked="0"/>
    </xf>
    <xf numFmtId="2" fontId="73" fillId="0" borderId="34" xfId="26" applyNumberFormat="1" applyFont="1" applyBorder="1" applyAlignment="1">
      <alignment horizontal="center"/>
      <protection locked="0"/>
    </xf>
    <xf numFmtId="37" fontId="9" fillId="0" borderId="34" xfId="140" applyNumberFormat="1" applyFont="1" applyBorder="1" applyAlignment="1" applyProtection="1">
      <alignment horizontal="right"/>
      <protection locked="0"/>
    </xf>
    <xf numFmtId="49" fontId="9" fillId="0" borderId="34" xfId="140" applyNumberFormat="1" applyFont="1" applyBorder="1" applyAlignment="1" applyProtection="1">
      <alignment horizontal="left" wrapText="1"/>
      <protection locked="0"/>
    </xf>
    <xf numFmtId="0" fontId="9" fillId="0" borderId="34" xfId="140" applyFont="1" applyBorder="1" applyAlignment="1" applyProtection="1">
      <alignment horizontal="left" wrapText="1"/>
      <protection locked="0"/>
    </xf>
    <xf numFmtId="4" fontId="9" fillId="0" borderId="34" xfId="140" applyNumberFormat="1" applyFont="1" applyBorder="1" applyAlignment="1" applyProtection="1">
      <alignment horizontal="right"/>
      <protection locked="0"/>
    </xf>
    <xf numFmtId="39" fontId="9" fillId="0" borderId="34" xfId="140" applyNumberFormat="1" applyFont="1" applyBorder="1" applyAlignment="1" applyProtection="1">
      <alignment horizontal="center"/>
      <protection locked="0"/>
    </xf>
    <xf numFmtId="0" fontId="24" fillId="0" borderId="0" xfId="140" applyAlignment="1" applyProtection="1">
      <alignment horizontal="left" vertical="top"/>
      <protection locked="0"/>
    </xf>
    <xf numFmtId="0" fontId="24" fillId="0" borderId="0" xfId="140"/>
    <xf numFmtId="0" fontId="54" fillId="0" borderId="34" xfId="140" applyFont="1" applyBorder="1" applyAlignment="1" applyProtection="1">
      <alignment horizontal="left" wrapText="1"/>
      <protection locked="0"/>
    </xf>
    <xf numFmtId="0" fontId="9" fillId="0" borderId="34" xfId="89" applyFont="1" applyBorder="1" applyAlignment="1" applyProtection="1">
      <alignment horizontal="left" wrapText="1"/>
      <protection locked="0"/>
    </xf>
    <xf numFmtId="0" fontId="78" fillId="0" borderId="34" xfId="3" applyFont="1" applyBorder="1" applyAlignment="1" applyProtection="1">
      <alignment horizontal="left" wrapText="1"/>
      <protection locked="0"/>
    </xf>
    <xf numFmtId="0" fontId="61" fillId="0" borderId="34" xfId="140" applyFont="1" applyBorder="1" applyAlignment="1" applyProtection="1">
      <alignment horizontal="left" wrapText="1"/>
      <protection locked="0"/>
    </xf>
    <xf numFmtId="0" fontId="54" fillId="0" borderId="34" xfId="142" applyFont="1" applyBorder="1" applyAlignment="1" applyProtection="1">
      <alignment horizontal="left" wrapText="1"/>
      <protection locked="0"/>
    </xf>
    <xf numFmtId="39" fontId="9" fillId="0" borderId="34" xfId="142" applyNumberFormat="1" applyFont="1" applyBorder="1" applyAlignment="1" applyProtection="1">
      <alignment horizontal="center"/>
      <protection locked="0"/>
    </xf>
    <xf numFmtId="0" fontId="11" fillId="0" borderId="0" xfId="142" applyAlignment="1" applyProtection="1">
      <alignment horizontal="left" vertical="top"/>
      <protection locked="0"/>
    </xf>
    <xf numFmtId="37" fontId="9" fillId="0" borderId="34" xfId="154" applyNumberFormat="1" applyFont="1" applyBorder="1" applyAlignment="1" applyProtection="1">
      <alignment horizontal="right"/>
      <protection locked="0"/>
    </xf>
    <xf numFmtId="39" fontId="9" fillId="0" borderId="34" xfId="154" applyNumberFormat="1" applyFont="1" applyBorder="1" applyAlignment="1" applyProtection="1">
      <alignment horizontal="center"/>
      <protection locked="0"/>
    </xf>
    <xf numFmtId="2" fontId="28" fillId="0" borderId="0" xfId="154" applyNumberFormat="1" applyAlignment="1" applyProtection="1">
      <alignment horizontal="left" vertical="top"/>
      <protection locked="0"/>
    </xf>
    <xf numFmtId="0" fontId="28" fillId="0" borderId="0" xfId="154" applyAlignment="1" applyProtection="1">
      <alignment horizontal="left" vertical="center"/>
      <protection locked="0"/>
    </xf>
    <xf numFmtId="1" fontId="68" fillId="0" borderId="34" xfId="89" applyNumberFormat="1" applyFont="1" applyBorder="1" applyAlignment="1" applyProtection="1">
      <alignment horizontal="right"/>
      <protection locked="0"/>
    </xf>
    <xf numFmtId="0" fontId="68" fillId="0" borderId="34" xfId="3" applyFont="1" applyBorder="1" applyAlignment="1" applyProtection="1">
      <alignment horizontal="left" wrapText="1"/>
      <protection locked="0"/>
    </xf>
    <xf numFmtId="0" fontId="54" fillId="0" borderId="34" xfId="89" applyFont="1" applyBorder="1" applyAlignment="1" applyProtection="1">
      <alignment horizontal="left" wrapText="1"/>
      <protection locked="0"/>
    </xf>
    <xf numFmtId="0" fontId="68" fillId="0" borderId="34" xfId="89" applyFont="1" applyBorder="1" applyAlignment="1" applyProtection="1">
      <alignment horizontal="left" wrapText="1"/>
      <protection locked="0"/>
    </xf>
    <xf numFmtId="4" fontId="54" fillId="9" borderId="34" xfId="89" applyNumberFormat="1" applyFont="1" applyFill="1" applyBorder="1" applyAlignment="1" applyProtection="1">
      <alignment horizontal="right"/>
      <protection locked="0"/>
    </xf>
    <xf numFmtId="4" fontId="54" fillId="0" borderId="34" xfId="89" applyNumberFormat="1" applyFont="1" applyBorder="1" applyAlignment="1" applyProtection="1">
      <alignment horizontal="right"/>
      <protection locked="0"/>
    </xf>
    <xf numFmtId="39" fontId="68" fillId="0" borderId="34" xfId="12" applyNumberFormat="1" applyFont="1" applyBorder="1" applyAlignment="1">
      <alignment horizontal="center"/>
      <protection locked="0"/>
    </xf>
    <xf numFmtId="0" fontId="11" fillId="0" borderId="0" xfId="3" applyAlignment="1" applyProtection="1">
      <alignment horizontal="left" vertical="center"/>
      <protection locked="0"/>
    </xf>
    <xf numFmtId="0" fontId="28" fillId="0" borderId="0" xfId="89" applyAlignment="1" applyProtection="1">
      <alignment horizontal="left" vertical="top"/>
      <protection locked="0"/>
    </xf>
    <xf numFmtId="0" fontId="35" fillId="0" borderId="0" xfId="26" applyFont="1" applyAlignment="1">
      <alignment horizontal="left" vertical="center"/>
      <protection locked="0"/>
    </xf>
    <xf numFmtId="37" fontId="68" fillId="0" borderId="34" xfId="140" applyNumberFormat="1" applyFont="1" applyBorder="1" applyAlignment="1" applyProtection="1">
      <alignment horizontal="right"/>
      <protection locked="0"/>
    </xf>
    <xf numFmtId="0" fontId="68" fillId="0" borderId="34" xfId="140" applyFont="1" applyBorder="1" applyAlignment="1" applyProtection="1">
      <alignment horizontal="left" wrapText="1"/>
      <protection locked="0"/>
    </xf>
    <xf numFmtId="4" fontId="54" fillId="9" borderId="34" xfId="140" applyNumberFormat="1" applyFont="1" applyFill="1" applyBorder="1" applyAlignment="1" applyProtection="1">
      <alignment horizontal="right"/>
      <protection locked="0"/>
    </xf>
    <xf numFmtId="4" fontId="54" fillId="0" borderId="34" xfId="38" applyNumberFormat="1" applyFont="1" applyBorder="1" applyAlignment="1">
      <alignment horizontal="right"/>
      <protection locked="0"/>
    </xf>
    <xf numFmtId="0" fontId="11" fillId="0" borderId="0" xfId="3" applyAlignment="1">
      <alignment vertical="center"/>
    </xf>
    <xf numFmtId="0" fontId="29" fillId="0" borderId="0" xfId="3" applyFont="1" applyAlignment="1">
      <alignment vertical="center"/>
    </xf>
    <xf numFmtId="0" fontId="11" fillId="0" borderId="0" xfId="3" applyAlignment="1">
      <alignment horizontal="left" vertical="center"/>
    </xf>
    <xf numFmtId="0" fontId="29" fillId="0" borderId="0" xfId="3" applyFont="1"/>
    <xf numFmtId="0" fontId="11" fillId="0" borderId="0" xfId="3" applyAlignment="1">
      <alignment horizontal="right"/>
    </xf>
    <xf numFmtId="0" fontId="11" fillId="0" borderId="0" xfId="3" applyAlignment="1" applyProtection="1">
      <alignment horizontal="left" vertical="top"/>
      <protection locked="0"/>
    </xf>
    <xf numFmtId="37" fontId="68" fillId="0" borderId="34" xfId="42" applyNumberFormat="1" applyFont="1" applyBorder="1" applyAlignment="1">
      <alignment horizontal="right"/>
      <protection locked="0"/>
    </xf>
    <xf numFmtId="49" fontId="80" fillId="0" borderId="34" xfId="42" applyNumberFormat="1" applyFont="1" applyBorder="1" applyAlignment="1">
      <alignment horizontal="left" wrapText="1"/>
      <protection locked="0"/>
    </xf>
    <xf numFmtId="0" fontId="80" fillId="0" borderId="34" xfId="42" applyFont="1" applyBorder="1" applyAlignment="1">
      <alignment horizontal="left" wrapText="1"/>
      <protection locked="0"/>
    </xf>
    <xf numFmtId="0" fontId="54" fillId="0" borderId="34" xfId="12" applyFont="1" applyBorder="1" applyAlignment="1">
      <alignment horizontal="left" wrapText="1"/>
      <protection locked="0"/>
    </xf>
    <xf numFmtId="0" fontId="68" fillId="0" borderId="34" xfId="42" applyFont="1" applyBorder="1" applyAlignment="1">
      <alignment horizontal="left" wrapText="1"/>
      <protection locked="0"/>
    </xf>
    <xf numFmtId="4" fontId="54" fillId="0" borderId="34" xfId="42" applyNumberFormat="1" applyFont="1" applyBorder="1" applyAlignment="1">
      <alignment horizontal="right"/>
      <protection locked="0"/>
    </xf>
    <xf numFmtId="0" fontId="35" fillId="0" borderId="34" xfId="42" applyFont="1" applyBorder="1" applyAlignment="1">
      <alignment horizontal="left" vertical="top"/>
      <protection locked="0"/>
    </xf>
    <xf numFmtId="0" fontId="81" fillId="0" borderId="0" xfId="3" applyFont="1" applyAlignment="1" applyProtection="1">
      <alignment horizontal="left" vertical="top"/>
      <protection locked="0"/>
    </xf>
    <xf numFmtId="0" fontId="35" fillId="0" borderId="0" xfId="42" applyFont="1" applyAlignment="1">
      <alignment horizontal="left" vertical="top"/>
      <protection locked="0"/>
    </xf>
    <xf numFmtId="37" fontId="80" fillId="0" borderId="34" xfId="140" applyNumberFormat="1" applyFont="1" applyBorder="1" applyAlignment="1" applyProtection="1">
      <alignment horizontal="right"/>
      <protection locked="0"/>
    </xf>
    <xf numFmtId="49" fontId="80" fillId="0" borderId="34" xfId="140" applyNumberFormat="1" applyFont="1" applyBorder="1" applyAlignment="1" applyProtection="1">
      <alignment horizontal="left" wrapText="1"/>
      <protection locked="0"/>
    </xf>
    <xf numFmtId="0" fontId="80" fillId="0" borderId="34" xfId="140" applyFont="1" applyBorder="1" applyAlignment="1" applyProtection="1">
      <alignment horizontal="left" wrapText="1"/>
      <protection locked="0"/>
    </xf>
    <xf numFmtId="0" fontId="54" fillId="0" borderId="34" xfId="34" applyFont="1" applyBorder="1" applyAlignment="1" applyProtection="1">
      <alignment horizontal="left" vertical="center" wrapText="1"/>
      <protection locked="0"/>
    </xf>
    <xf numFmtId="0" fontId="82" fillId="0" borderId="34" xfId="140" applyFont="1" applyBorder="1" applyAlignment="1" applyProtection="1">
      <alignment horizontal="right" vertical="center"/>
      <protection locked="0"/>
    </xf>
    <xf numFmtId="1" fontId="61" fillId="0" borderId="34" xfId="142" applyNumberFormat="1" applyFont="1" applyBorder="1" applyAlignment="1" applyProtection="1">
      <alignment horizontal="right"/>
      <protection locked="0"/>
    </xf>
    <xf numFmtId="49" fontId="61" fillId="0" borderId="34" xfId="142" applyNumberFormat="1" applyFont="1" applyBorder="1" applyAlignment="1" applyProtection="1">
      <alignment horizontal="left" wrapText="1"/>
      <protection locked="0"/>
    </xf>
    <xf numFmtId="0" fontId="61" fillId="0" borderId="34" xfId="142" applyFont="1" applyBorder="1" applyAlignment="1" applyProtection="1">
      <alignment horizontal="left" wrapText="1"/>
      <protection locked="0"/>
    </xf>
    <xf numFmtId="4" fontId="61" fillId="0" borderId="34" xfId="142" applyNumberFormat="1" applyFont="1" applyBorder="1" applyAlignment="1" applyProtection="1">
      <alignment horizontal="right"/>
      <protection locked="0"/>
    </xf>
    <xf numFmtId="0" fontId="11" fillId="0" borderId="34" xfId="142" applyBorder="1" applyAlignment="1" applyProtection="1">
      <alignment vertical="top"/>
      <protection locked="0"/>
    </xf>
    <xf numFmtId="49" fontId="9" fillId="0" borderId="34" xfId="142" applyNumberFormat="1" applyFont="1" applyBorder="1" applyAlignment="1">
      <alignment horizontal="right" wrapText="1"/>
    </xf>
    <xf numFmtId="49" fontId="9" fillId="0" borderId="34" xfId="142" applyNumberFormat="1" applyFont="1" applyBorder="1" applyAlignment="1">
      <alignment horizontal="left" wrapText="1"/>
    </xf>
    <xf numFmtId="0" fontId="9" fillId="0" borderId="34" xfId="142" applyFont="1" applyBorder="1" applyAlignment="1">
      <alignment horizontal="left" wrapText="1"/>
    </xf>
    <xf numFmtId="37" fontId="61" fillId="0" borderId="34" xfId="142" applyNumberFormat="1" applyFont="1" applyBorder="1" applyAlignment="1" applyProtection="1">
      <alignment horizontal="right"/>
      <protection locked="0"/>
    </xf>
    <xf numFmtId="0" fontId="54" fillId="0" borderId="34" xfId="142" applyFont="1" applyBorder="1" applyAlignment="1">
      <alignment horizontal="left" wrapText="1"/>
    </xf>
    <xf numFmtId="0" fontId="83" fillId="0" borderId="34" xfId="142" applyFont="1" applyBorder="1" applyAlignment="1" applyProtection="1">
      <alignment horizontal="right" vertical="center"/>
      <protection locked="0"/>
    </xf>
    <xf numFmtId="0" fontId="17" fillId="0" borderId="0" xfId="142" applyFont="1" applyAlignment="1" applyProtection="1">
      <alignment horizontal="center" vertical="center"/>
      <protection locked="0"/>
    </xf>
    <xf numFmtId="39" fontId="9" fillId="0" borderId="34" xfId="142" applyNumberFormat="1" applyFont="1" applyBorder="1" applyAlignment="1">
      <alignment horizontal="center"/>
    </xf>
    <xf numFmtId="49" fontId="73" fillId="0" borderId="34" xfId="142" applyNumberFormat="1" applyFont="1" applyBorder="1" applyAlignment="1">
      <alignment horizontal="right" wrapText="1"/>
    </xf>
    <xf numFmtId="49" fontId="73" fillId="0" borderId="34" xfId="142" applyNumberFormat="1" applyFont="1" applyBorder="1" applyAlignment="1">
      <alignment horizontal="left" wrapText="1"/>
    </xf>
    <xf numFmtId="0" fontId="73" fillId="0" borderId="34" xfId="142" applyFont="1" applyBorder="1" applyAlignment="1">
      <alignment horizontal="left" wrapText="1"/>
    </xf>
    <xf numFmtId="0" fontId="75" fillId="0" borderId="34" xfId="142" applyFont="1" applyBorder="1" applyAlignment="1">
      <alignment horizontal="left" wrapText="1"/>
    </xf>
    <xf numFmtId="39" fontId="73" fillId="0" borderId="34" xfId="142" applyNumberFormat="1" applyFont="1" applyBorder="1" applyAlignment="1">
      <alignment horizontal="center"/>
    </xf>
    <xf numFmtId="1" fontId="9" fillId="0" borderId="34" xfId="142" applyNumberFormat="1" applyFont="1" applyBorder="1" applyAlignment="1" applyProtection="1">
      <alignment horizontal="right"/>
      <protection locked="0"/>
    </xf>
    <xf numFmtId="49" fontId="9" fillId="0" borderId="34" xfId="142" applyNumberFormat="1" applyFont="1" applyBorder="1" applyAlignment="1" applyProtection="1">
      <alignment horizontal="left" wrapText="1"/>
      <protection locked="0"/>
    </xf>
    <xf numFmtId="4" fontId="9" fillId="0" borderId="34" xfId="142" applyNumberFormat="1" applyFont="1" applyBorder="1" applyAlignment="1" applyProtection="1">
      <alignment horizontal="right"/>
      <protection locked="0"/>
    </xf>
    <xf numFmtId="39" fontId="9" fillId="0" borderId="34" xfId="177" applyNumberFormat="1" applyFont="1" applyBorder="1" applyAlignment="1" applyProtection="1">
      <alignment horizontal="center"/>
      <protection locked="0"/>
    </xf>
    <xf numFmtId="0" fontId="12" fillId="0" borderId="0" xfId="142" applyFont="1" applyAlignment="1" applyProtection="1">
      <alignment horizontal="left" vertical="top"/>
      <protection locked="0"/>
    </xf>
    <xf numFmtId="0" fontId="86" fillId="0" borderId="0" xfId="142" applyFont="1" applyAlignment="1" applyProtection="1">
      <alignment horizontal="left" vertical="top"/>
      <protection locked="0"/>
    </xf>
    <xf numFmtId="1" fontId="68" fillId="0" borderId="34" xfId="142" applyNumberFormat="1" applyFont="1" applyBorder="1" applyAlignment="1" applyProtection="1">
      <alignment horizontal="right"/>
      <protection locked="0"/>
    </xf>
    <xf numFmtId="49" fontId="68" fillId="0" borderId="34" xfId="142" applyNumberFormat="1" applyFont="1" applyBorder="1" applyAlignment="1" applyProtection="1">
      <alignment horizontal="left" wrapText="1"/>
      <protection locked="0"/>
    </xf>
    <xf numFmtId="0" fontId="68" fillId="0" borderId="34" xfId="142" applyFont="1" applyBorder="1" applyAlignment="1" applyProtection="1">
      <alignment horizontal="left" wrapText="1"/>
      <protection locked="0"/>
    </xf>
    <xf numFmtId="4" fontId="68" fillId="0" borderId="34" xfId="142" applyNumberFormat="1" applyFont="1" applyBorder="1" applyAlignment="1" applyProtection="1">
      <alignment horizontal="right"/>
      <protection locked="0"/>
    </xf>
    <xf numFmtId="0" fontId="70" fillId="0" borderId="0" xfId="142" applyFont="1" applyAlignment="1" applyProtection="1">
      <alignment horizontal="left" vertical="top"/>
      <protection locked="0"/>
    </xf>
    <xf numFmtId="0" fontId="87" fillId="0" borderId="0" xfId="142" applyFont="1" applyAlignment="1" applyProtection="1">
      <alignment horizontal="left" vertical="top"/>
      <protection locked="0"/>
    </xf>
    <xf numFmtId="0" fontId="88" fillId="0" borderId="0" xfId="154" applyFont="1" applyAlignment="1" applyProtection="1">
      <alignment horizontal="left" vertical="center"/>
      <protection locked="0"/>
    </xf>
    <xf numFmtId="37" fontId="54" fillId="0" borderId="34" xfId="154" applyNumberFormat="1" applyFont="1" applyBorder="1" applyAlignment="1" applyProtection="1">
      <alignment horizontal="right"/>
      <protection locked="0"/>
    </xf>
    <xf numFmtId="0" fontId="28" fillId="0" borderId="34" xfId="154" applyBorder="1" applyAlignment="1" applyProtection="1">
      <alignment horizontal="center" vertical="top"/>
      <protection locked="0"/>
    </xf>
    <xf numFmtId="0" fontId="89" fillId="0" borderId="0" xfId="154" applyFont="1" applyAlignment="1" applyProtection="1">
      <alignment horizontal="left" vertical="top"/>
      <protection locked="0"/>
    </xf>
    <xf numFmtId="1" fontId="54" fillId="0" borderId="34" xfId="142" applyNumberFormat="1" applyFont="1" applyBorder="1" applyAlignment="1" applyProtection="1">
      <alignment horizontal="right"/>
      <protection locked="0"/>
    </xf>
    <xf numFmtId="49" fontId="54" fillId="0" borderId="34" xfId="142" applyNumberFormat="1" applyFont="1" applyBorder="1" applyAlignment="1" applyProtection="1">
      <alignment horizontal="left" wrapText="1"/>
      <protection locked="0"/>
    </xf>
    <xf numFmtId="0" fontId="76" fillId="0" borderId="34" xfId="142" applyFont="1" applyBorder="1" applyAlignment="1" applyProtection="1">
      <alignment horizontal="center" vertical="center" wrapText="1"/>
      <protection locked="0"/>
    </xf>
    <xf numFmtId="4" fontId="54" fillId="0" borderId="34" xfId="142" applyNumberFormat="1" applyFont="1" applyBorder="1" applyAlignment="1" applyProtection="1">
      <alignment horizontal="right"/>
      <protection locked="0"/>
    </xf>
    <xf numFmtId="0" fontId="11" fillId="0" borderId="34" xfId="142" applyBorder="1" applyAlignment="1" applyProtection="1">
      <alignment horizontal="center" vertical="top"/>
      <protection locked="0"/>
    </xf>
    <xf numFmtId="0" fontId="89" fillId="0" borderId="0" xfId="142" applyFont="1" applyAlignment="1" applyProtection="1">
      <alignment horizontal="left" vertical="top"/>
      <protection locked="0"/>
    </xf>
    <xf numFmtId="37" fontId="9" fillId="0" borderId="34" xfId="38" applyNumberFormat="1" applyFont="1" applyBorder="1" applyAlignment="1">
      <alignment horizontal="right"/>
      <protection locked="0"/>
    </xf>
    <xf numFmtId="49" fontId="9" fillId="0" borderId="34" xfId="38" applyNumberFormat="1" applyFont="1" applyBorder="1" applyAlignment="1">
      <alignment horizontal="left" wrapText="1"/>
      <protection locked="0"/>
    </xf>
    <xf numFmtId="0" fontId="9" fillId="0" borderId="34" xfId="38" applyFont="1" applyBorder="1" applyAlignment="1">
      <alignment horizontal="left" wrapText="1"/>
      <protection locked="0"/>
    </xf>
    <xf numFmtId="39" fontId="9" fillId="0" borderId="34" xfId="38" applyNumberFormat="1" applyFont="1" applyBorder="1" applyAlignment="1">
      <alignment horizontal="center"/>
      <protection locked="0"/>
    </xf>
    <xf numFmtId="0" fontId="28" fillId="0" borderId="0" xfId="38" applyFont="1" applyAlignment="1">
      <alignment horizontal="left" vertical="top"/>
      <protection locked="0"/>
    </xf>
    <xf numFmtId="37" fontId="80" fillId="0" borderId="34" xfId="154" applyNumberFormat="1" applyFont="1" applyBorder="1" applyAlignment="1" applyProtection="1">
      <alignment horizontal="right"/>
      <protection locked="0"/>
    </xf>
    <xf numFmtId="0" fontId="80" fillId="0" borderId="34" xfId="154" applyFont="1" applyBorder="1" applyAlignment="1" applyProtection="1">
      <alignment horizontal="left" wrapText="1"/>
      <protection locked="0"/>
    </xf>
    <xf numFmtId="0" fontId="68" fillId="0" borderId="34" xfId="154" applyFont="1" applyBorder="1" applyAlignment="1" applyProtection="1">
      <alignment horizontal="left" wrapText="1"/>
      <protection locked="0"/>
    </xf>
    <xf numFmtId="0" fontId="90" fillId="0" borderId="0" xfId="154" applyFont="1" applyAlignment="1" applyProtection="1">
      <alignment horizontal="left" vertical="center"/>
      <protection locked="0"/>
    </xf>
    <xf numFmtId="1" fontId="54" fillId="0" borderId="34" xfId="154" applyNumberFormat="1" applyFont="1" applyBorder="1" applyAlignment="1" applyProtection="1">
      <alignment horizontal="right"/>
      <protection locked="0"/>
    </xf>
    <xf numFmtId="49" fontId="54" fillId="0" borderId="34" xfId="154" applyNumberFormat="1" applyFont="1" applyBorder="1" applyAlignment="1" applyProtection="1">
      <alignment horizontal="left" wrapText="1"/>
      <protection locked="0"/>
    </xf>
    <xf numFmtId="0" fontId="89" fillId="0" borderId="34" xfId="154" applyFont="1" applyBorder="1" applyAlignment="1" applyProtection="1">
      <alignment horizontal="left" vertical="top"/>
      <protection locked="0"/>
    </xf>
    <xf numFmtId="4" fontId="54" fillId="0" borderId="34" xfId="154" applyNumberFormat="1" applyFont="1" applyBorder="1" applyAlignment="1" applyProtection="1">
      <alignment horizontal="right"/>
      <protection locked="0"/>
    </xf>
    <xf numFmtId="0" fontId="28" fillId="0" borderId="34" xfId="154" applyBorder="1" applyAlignment="1" applyProtection="1">
      <alignment horizontal="right" vertical="top"/>
      <protection locked="0"/>
    </xf>
    <xf numFmtId="1" fontId="80" fillId="0" borderId="34" xfId="154" applyNumberFormat="1" applyFont="1" applyBorder="1" applyAlignment="1" applyProtection="1">
      <alignment horizontal="right"/>
      <protection locked="0"/>
    </xf>
    <xf numFmtId="49" fontId="80" fillId="0" borderId="34" xfId="154" applyNumberFormat="1" applyFont="1" applyBorder="1" applyAlignment="1" applyProtection="1">
      <alignment horizontal="left" wrapText="1"/>
      <protection locked="0"/>
    </xf>
    <xf numFmtId="4" fontId="80" fillId="0" borderId="34" xfId="154" applyNumberFormat="1" applyFont="1" applyBorder="1" applyAlignment="1" applyProtection="1">
      <alignment horizontal="right"/>
      <protection locked="0"/>
    </xf>
    <xf numFmtId="37" fontId="9" fillId="0" borderId="34" xfId="25" applyNumberFormat="1" applyFont="1" applyBorder="1" applyAlignment="1">
      <alignment horizontal="right"/>
      <protection locked="0"/>
    </xf>
    <xf numFmtId="0" fontId="83" fillId="0" borderId="34" xfId="154" applyFont="1" applyBorder="1" applyAlignment="1" applyProtection="1">
      <alignment horizontal="right" vertical="center"/>
      <protection locked="0"/>
    </xf>
    <xf numFmtId="0" fontId="11" fillId="0" borderId="0" xfId="25" applyFont="1" applyAlignment="1">
      <alignment horizontal="left" vertical="top"/>
      <protection locked="0"/>
    </xf>
    <xf numFmtId="0" fontId="62" fillId="0" borderId="34" xfId="142" applyFont="1" applyBorder="1" applyAlignment="1" applyProtection="1">
      <alignment horizontal="center" vertical="center" wrapText="1"/>
      <protection locked="0"/>
    </xf>
    <xf numFmtId="0" fontId="87" fillId="0" borderId="34" xfId="142" applyFont="1" applyBorder="1" applyAlignment="1" applyProtection="1">
      <alignment horizontal="left" vertical="top"/>
      <protection locked="0"/>
    </xf>
    <xf numFmtId="4" fontId="9" fillId="0" borderId="34" xfId="130" applyNumberFormat="1" applyFont="1" applyBorder="1" applyAlignment="1">
      <alignment horizontal="right"/>
      <protection locked="0"/>
    </xf>
    <xf numFmtId="0" fontId="9" fillId="0" borderId="0" xfId="154" applyFont="1" applyAlignment="1" applyProtection="1">
      <alignment horizontal="left" vertical="center"/>
      <protection locked="0"/>
    </xf>
    <xf numFmtId="0" fontId="57" fillId="0" borderId="0" xfId="154" applyFont="1" applyAlignment="1" applyProtection="1">
      <alignment horizontal="left" vertical="top"/>
      <protection locked="0"/>
    </xf>
    <xf numFmtId="4" fontId="100" fillId="0" borderId="0" xfId="154" applyNumberFormat="1" applyFont="1" applyAlignment="1" applyProtection="1">
      <alignment horizontal="center" vertical="center"/>
      <protection locked="0"/>
    </xf>
    <xf numFmtId="37" fontId="68" fillId="0" borderId="34" xfId="154" applyNumberFormat="1" applyFont="1" applyBorder="1" applyAlignment="1" applyProtection="1">
      <alignment horizontal="right"/>
      <protection locked="0"/>
    </xf>
    <xf numFmtId="173" fontId="101" fillId="0" borderId="0" xfId="154" applyNumberFormat="1" applyFont="1" applyAlignment="1" applyProtection="1">
      <alignment vertical="center"/>
      <protection locked="0"/>
    </xf>
    <xf numFmtId="0" fontId="104" fillId="0" borderId="0" xfId="154" applyFont="1" applyAlignment="1" applyProtection="1">
      <alignment horizontal="left" vertical="top"/>
      <protection locked="0"/>
    </xf>
    <xf numFmtId="39" fontId="9" fillId="0" borderId="34" xfId="154" applyNumberFormat="1" applyFont="1" applyBorder="1" applyAlignment="1" applyProtection="1">
      <alignment horizontal="right" vertical="center"/>
      <protection locked="0"/>
    </xf>
    <xf numFmtId="0" fontId="106" fillId="0" borderId="0" xfId="154" applyFont="1" applyAlignment="1" applyProtection="1">
      <alignment horizontal="center" vertical="center"/>
      <protection locked="0"/>
    </xf>
    <xf numFmtId="0" fontId="100" fillId="0" borderId="0" xfId="154" applyFont="1" applyAlignment="1" applyProtection="1">
      <alignment horizontal="right" vertical="center"/>
      <protection locked="0"/>
    </xf>
    <xf numFmtId="0" fontId="28" fillId="0" borderId="0" xfId="154" applyAlignment="1" applyProtection="1">
      <alignment vertical="top"/>
      <protection locked="0"/>
    </xf>
    <xf numFmtId="4" fontId="92" fillId="0" borderId="0" xfId="154" applyNumberFormat="1" applyFont="1" applyAlignment="1" applyProtection="1">
      <alignment horizontal="right" vertical="top"/>
      <protection locked="0"/>
    </xf>
    <xf numFmtId="0" fontId="61" fillId="0" borderId="34" xfId="23" applyFont="1" applyBorder="1" applyAlignment="1">
      <alignment horizontal="left" wrapText="1"/>
      <protection locked="0"/>
    </xf>
    <xf numFmtId="0" fontId="28" fillId="0" borderId="34" xfId="142" applyFont="1" applyBorder="1" applyAlignment="1" applyProtection="1">
      <alignment vertical="top"/>
      <protection locked="0"/>
    </xf>
    <xf numFmtId="0" fontId="28" fillId="0" borderId="0" xfId="142" applyFont="1" applyAlignment="1" applyProtection="1">
      <alignment horizontal="left" vertical="top"/>
      <protection locked="0"/>
    </xf>
    <xf numFmtId="37" fontId="9" fillId="0" borderId="34" xfId="12" applyNumberFormat="1" applyFont="1" applyBorder="1" applyAlignment="1">
      <alignment horizontal="right"/>
      <protection locked="0"/>
    </xf>
    <xf numFmtId="0" fontId="9" fillId="0" borderId="34" xfId="12" applyFont="1" applyBorder="1" applyAlignment="1">
      <alignment horizontal="left" wrapText="1"/>
      <protection locked="0"/>
    </xf>
    <xf numFmtId="39" fontId="9" fillId="0" borderId="34" xfId="12" applyNumberFormat="1" applyFont="1" applyBorder="1" applyAlignment="1">
      <alignment horizontal="right"/>
      <protection locked="0"/>
    </xf>
    <xf numFmtId="0" fontId="12" fillId="0" borderId="0" xfId="12" applyAlignment="1">
      <alignment horizontal="left" vertical="top"/>
      <protection locked="0"/>
    </xf>
    <xf numFmtId="39" fontId="9" fillId="0" borderId="34" xfId="12" applyNumberFormat="1" applyFont="1" applyBorder="1" applyAlignment="1">
      <alignment horizontal="center"/>
      <protection locked="0"/>
    </xf>
    <xf numFmtId="0" fontId="29" fillId="0" borderId="0" xfId="26" applyAlignment="1">
      <alignment horizontal="left" vertical="top"/>
      <protection locked="0"/>
    </xf>
    <xf numFmtId="49" fontId="9" fillId="0" borderId="34" xfId="89" applyNumberFormat="1" applyFont="1" applyBorder="1" applyAlignment="1" applyProtection="1">
      <alignment horizontal="left" wrapText="1"/>
      <protection locked="0"/>
    </xf>
    <xf numFmtId="1" fontId="9" fillId="0" borderId="34" xfId="12" applyNumberFormat="1" applyFont="1" applyBorder="1" applyAlignment="1">
      <alignment horizontal="right"/>
      <protection locked="0"/>
    </xf>
    <xf numFmtId="4" fontId="9" fillId="0" borderId="34" xfId="12" applyNumberFormat="1" applyFont="1" applyBorder="1" applyAlignment="1">
      <alignment horizontal="right"/>
      <protection locked="0"/>
    </xf>
    <xf numFmtId="0" fontId="12" fillId="0" borderId="0" xfId="154" applyFont="1" applyAlignment="1" applyProtection="1">
      <alignment horizontal="left" vertical="center"/>
      <protection locked="0"/>
    </xf>
    <xf numFmtId="37" fontId="9" fillId="0" borderId="34" xfId="179" applyNumberFormat="1" applyFont="1" applyBorder="1" applyAlignment="1" applyProtection="1">
      <alignment horizontal="right"/>
      <protection locked="0"/>
    </xf>
    <xf numFmtId="0" fontId="9" fillId="0" borderId="34" xfId="179" applyFont="1" applyBorder="1" applyAlignment="1" applyProtection="1">
      <alignment horizontal="left" wrapText="1"/>
      <protection locked="0"/>
    </xf>
    <xf numFmtId="0" fontId="54" fillId="0" borderId="34" xfId="36" applyFont="1" applyBorder="1" applyAlignment="1">
      <alignment horizontal="left" wrapText="1"/>
    </xf>
    <xf numFmtId="1" fontId="61" fillId="0" borderId="34" xfId="154" applyNumberFormat="1" applyFont="1" applyBorder="1" applyAlignment="1" applyProtection="1">
      <alignment horizontal="right"/>
      <protection locked="0"/>
    </xf>
    <xf numFmtId="49" fontId="61" fillId="0" borderId="34" xfId="154" applyNumberFormat="1" applyFont="1" applyBorder="1" applyAlignment="1" applyProtection="1">
      <alignment horizontal="left" wrapText="1"/>
      <protection locked="0"/>
    </xf>
    <xf numFmtId="4" fontId="61" fillId="0" borderId="34" xfId="154" applyNumberFormat="1" applyFont="1" applyBorder="1" applyAlignment="1" applyProtection="1">
      <alignment horizontal="right"/>
      <protection locked="0"/>
    </xf>
    <xf numFmtId="0" fontId="28" fillId="0" borderId="0" xfId="154" applyAlignment="1" applyProtection="1">
      <alignment vertical="center"/>
      <protection locked="0"/>
    </xf>
    <xf numFmtId="0" fontId="88" fillId="0" borderId="0" xfId="154" applyFont="1" applyAlignment="1" applyProtection="1">
      <alignment horizontal="left" vertical="top"/>
      <protection locked="0"/>
    </xf>
    <xf numFmtId="0" fontId="54" fillId="0" borderId="34" xfId="44" applyFont="1" applyBorder="1" applyAlignment="1">
      <alignment horizontal="left" vertical="center" wrapText="1"/>
      <protection locked="0"/>
    </xf>
    <xf numFmtId="0" fontId="54" fillId="0" borderId="0" xfId="154" applyFont="1" applyAlignment="1" applyProtection="1">
      <alignment horizontal="left" wrapText="1"/>
      <protection locked="0"/>
    </xf>
    <xf numFmtId="0" fontId="28" fillId="0" borderId="34" xfId="142" applyFont="1" applyBorder="1" applyAlignment="1" applyProtection="1">
      <alignment horizontal="left" vertical="top"/>
      <protection locked="0"/>
    </xf>
    <xf numFmtId="1" fontId="111" fillId="0" borderId="34" xfId="142" applyNumberFormat="1" applyFont="1" applyBorder="1" applyAlignment="1" applyProtection="1">
      <alignment horizontal="right"/>
      <protection locked="0"/>
    </xf>
    <xf numFmtId="49" fontId="111" fillId="0" borderId="34" xfId="142" applyNumberFormat="1" applyFont="1" applyBorder="1" applyAlignment="1" applyProtection="1">
      <alignment horizontal="left" wrapText="1"/>
      <protection locked="0"/>
    </xf>
    <xf numFmtId="0" fontId="111" fillId="0" borderId="34" xfId="142" applyFont="1" applyBorder="1" applyAlignment="1" applyProtection="1">
      <alignment horizontal="left" wrapText="1"/>
      <protection locked="0"/>
    </xf>
    <xf numFmtId="4" fontId="111" fillId="0" borderId="34" xfId="142" applyNumberFormat="1" applyFont="1" applyBorder="1" applyAlignment="1" applyProtection="1">
      <alignment horizontal="right"/>
      <protection locked="0"/>
    </xf>
    <xf numFmtId="0" fontId="12" fillId="0" borderId="0" xfId="23" applyAlignment="1">
      <alignment horizontal="left" vertical="top"/>
      <protection locked="0"/>
    </xf>
    <xf numFmtId="37" fontId="111" fillId="0" borderId="34" xfId="154" applyNumberFormat="1" applyFont="1" applyBorder="1" applyAlignment="1" applyProtection="1">
      <alignment horizontal="right"/>
      <protection locked="0"/>
    </xf>
    <xf numFmtId="0" fontId="111" fillId="0" borderId="34" xfId="154" applyFont="1" applyBorder="1" applyAlignment="1" applyProtection="1">
      <alignment horizontal="left" wrapText="1"/>
      <protection locked="0"/>
    </xf>
    <xf numFmtId="1" fontId="9" fillId="0" borderId="34" xfId="142" applyNumberFormat="1" applyFont="1" applyBorder="1" applyAlignment="1" applyProtection="1">
      <alignment horizontal="right" wrapText="1"/>
      <protection locked="0"/>
    </xf>
    <xf numFmtId="0" fontId="28" fillId="0" borderId="0" xfId="142" applyFont="1" applyAlignment="1" applyProtection="1">
      <alignment vertical="top"/>
      <protection locked="0"/>
    </xf>
    <xf numFmtId="0" fontId="11" fillId="0" borderId="34" xfId="142" applyBorder="1" applyAlignment="1" applyProtection="1">
      <alignment horizontal="left" vertical="top"/>
      <protection locked="0"/>
    </xf>
    <xf numFmtId="1" fontId="80" fillId="0" borderId="34" xfId="142" applyNumberFormat="1" applyFont="1" applyBorder="1" applyAlignment="1" applyProtection="1">
      <alignment horizontal="right"/>
      <protection locked="0"/>
    </xf>
    <xf numFmtId="49" fontId="80" fillId="0" borderId="34" xfId="142" applyNumberFormat="1" applyFont="1" applyBorder="1" applyAlignment="1" applyProtection="1">
      <alignment horizontal="left" wrapText="1"/>
      <protection locked="0"/>
    </xf>
    <xf numFmtId="0" fontId="80" fillId="0" borderId="34" xfId="142" applyFont="1" applyBorder="1" applyAlignment="1" applyProtection="1">
      <alignment horizontal="left" wrapText="1"/>
      <protection locked="0"/>
    </xf>
    <xf numFmtId="4" fontId="80" fillId="0" borderId="34" xfId="142" applyNumberFormat="1" applyFont="1" applyBorder="1" applyAlignment="1" applyProtection="1">
      <alignment horizontal="right"/>
      <protection locked="0"/>
    </xf>
    <xf numFmtId="4" fontId="9" fillId="0" borderId="34" xfId="142" applyNumberFormat="1" applyFont="1" applyBorder="1" applyAlignment="1">
      <alignment horizontal="right"/>
    </xf>
    <xf numFmtId="0" fontId="54" fillId="0" borderId="34" xfId="142" applyFont="1" applyBorder="1" applyAlignment="1" applyProtection="1">
      <alignment horizontal="right" wrapText="1"/>
      <protection locked="0"/>
    </xf>
    <xf numFmtId="4" fontId="54" fillId="9" borderId="34" xfId="142" applyNumberFormat="1" applyFont="1" applyFill="1" applyBorder="1" applyAlignment="1">
      <alignment horizontal="right"/>
    </xf>
    <xf numFmtId="4" fontId="54" fillId="0" borderId="34" xfId="142" applyNumberFormat="1" applyFont="1" applyBorder="1" applyAlignment="1">
      <alignment horizontal="right"/>
    </xf>
    <xf numFmtId="39" fontId="68" fillId="0" borderId="34" xfId="142" applyNumberFormat="1" applyFont="1" applyBorder="1" applyAlignment="1" applyProtection="1">
      <alignment horizontal="center"/>
      <protection locked="0"/>
    </xf>
    <xf numFmtId="0" fontId="11" fillId="0" borderId="0" xfId="142"/>
    <xf numFmtId="4" fontId="75" fillId="9" borderId="34" xfId="142" applyNumberFormat="1" applyFont="1" applyFill="1" applyBorder="1" applyAlignment="1">
      <alignment horizontal="right"/>
    </xf>
    <xf numFmtId="4" fontId="75" fillId="0" borderId="34" xfId="142" applyNumberFormat="1" applyFont="1" applyBorder="1" applyAlignment="1">
      <alignment horizontal="right"/>
    </xf>
    <xf numFmtId="39" fontId="74" fillId="0" borderId="34" xfId="142" applyNumberFormat="1" applyFont="1" applyBorder="1" applyAlignment="1" applyProtection="1">
      <alignment horizontal="center"/>
      <protection locked="0"/>
    </xf>
    <xf numFmtId="37" fontId="80" fillId="0" borderId="34" xfId="142" applyNumberFormat="1" applyFont="1" applyBorder="1" applyAlignment="1" applyProtection="1">
      <alignment horizontal="right"/>
      <protection locked="0"/>
    </xf>
    <xf numFmtId="0" fontId="3" fillId="0" borderId="34" xfId="142" applyFont="1" applyBorder="1" applyAlignment="1" applyProtection="1">
      <alignment horizontal="left" vertical="top"/>
      <protection locked="0"/>
    </xf>
    <xf numFmtId="49" fontId="9" fillId="0" borderId="34" xfId="142" applyNumberFormat="1" applyFont="1" applyBorder="1" applyAlignment="1" applyProtection="1">
      <alignment horizontal="right" wrapText="1"/>
      <protection locked="0"/>
    </xf>
    <xf numFmtId="0" fontId="80" fillId="0" borderId="34" xfId="142" applyFont="1" applyBorder="1" applyAlignment="1" applyProtection="1">
      <alignment horizontal="left" vertical="center" wrapText="1"/>
      <protection locked="0"/>
    </xf>
    <xf numFmtId="1" fontId="61" fillId="0" borderId="34" xfId="142" applyNumberFormat="1" applyFont="1" applyBorder="1" applyAlignment="1">
      <alignment horizontal="right"/>
    </xf>
    <xf numFmtId="49" fontId="61" fillId="0" borderId="34" xfId="142" applyNumberFormat="1" applyFont="1" applyBorder="1" applyAlignment="1">
      <alignment horizontal="left" wrapText="1"/>
    </xf>
    <xf numFmtId="0" fontId="61" fillId="0" borderId="34" xfId="142" applyFont="1" applyBorder="1" applyAlignment="1">
      <alignment horizontal="left" wrapText="1"/>
    </xf>
    <xf numFmtId="4" fontId="61" fillId="0" borderId="34" xfId="142" applyNumberFormat="1" applyFont="1" applyBorder="1" applyAlignment="1">
      <alignment horizontal="right"/>
    </xf>
    <xf numFmtId="0" fontId="28" fillId="0" borderId="34" xfId="142" applyFont="1" applyBorder="1" applyAlignment="1">
      <alignment horizontal="left" vertical="top"/>
    </xf>
    <xf numFmtId="1" fontId="9" fillId="0" borderId="34" xfId="142" applyNumberFormat="1" applyFont="1" applyBorder="1" applyAlignment="1">
      <alignment horizontal="right" wrapText="1"/>
    </xf>
    <xf numFmtId="1" fontId="68" fillId="0" borderId="34" xfId="142" applyNumberFormat="1" applyFont="1" applyBorder="1" applyAlignment="1">
      <alignment horizontal="right"/>
    </xf>
    <xf numFmtId="0" fontId="74" fillId="0" borderId="34" xfId="142" applyFont="1" applyBorder="1" applyAlignment="1">
      <alignment horizontal="left" wrapText="1"/>
    </xf>
    <xf numFmtId="0" fontId="68" fillId="0" borderId="34" xfId="142" applyFont="1" applyBorder="1" applyAlignment="1" applyProtection="1">
      <alignment horizontal="left"/>
      <protection locked="0"/>
    </xf>
    <xf numFmtId="0" fontId="118" fillId="0" borderId="0" xfId="143" applyFont="1" applyFill="1" applyAlignment="1" applyProtection="1">
      <alignment horizontal="left" vertical="top"/>
      <protection locked="0"/>
    </xf>
    <xf numFmtId="0" fontId="68" fillId="0" borderId="34" xfId="142" applyFont="1" applyBorder="1" applyAlignment="1">
      <alignment horizontal="left" wrapText="1"/>
    </xf>
    <xf numFmtId="0" fontId="28" fillId="0" borderId="34" xfId="142" applyFont="1" applyBorder="1" applyAlignment="1">
      <alignment vertical="top"/>
    </xf>
    <xf numFmtId="37" fontId="68" fillId="0" borderId="34" xfId="142" applyNumberFormat="1" applyFont="1" applyBorder="1" applyAlignment="1" applyProtection="1">
      <alignment horizontal="right"/>
      <protection locked="0"/>
    </xf>
    <xf numFmtId="1" fontId="9" fillId="0" borderId="34" xfId="142" applyNumberFormat="1" applyFont="1" applyBorder="1" applyAlignment="1">
      <alignment horizontal="right"/>
    </xf>
    <xf numFmtId="0" fontId="116" fillId="0" borderId="34" xfId="142" applyFont="1" applyBorder="1" applyAlignment="1">
      <alignment horizontal="left" wrapText="1"/>
    </xf>
    <xf numFmtId="0" fontId="28" fillId="0" borderId="34" xfId="142" applyFont="1" applyBorder="1" applyAlignment="1">
      <alignment horizontal="center" vertical="top"/>
    </xf>
    <xf numFmtId="49" fontId="80" fillId="0" borderId="34" xfId="142" applyNumberFormat="1" applyFont="1" applyBorder="1" applyAlignment="1">
      <alignment horizontal="left" wrapText="1"/>
    </xf>
    <xf numFmtId="0" fontId="80" fillId="0" borderId="34" xfId="142" applyFont="1" applyBorder="1" applyAlignment="1">
      <alignment horizontal="left" wrapText="1"/>
    </xf>
    <xf numFmtId="0" fontId="54" fillId="0" borderId="34" xfId="142" applyFont="1" applyBorder="1" applyAlignment="1">
      <alignment horizontal="left" vertical="center" wrapText="1"/>
    </xf>
    <xf numFmtId="4" fontId="80" fillId="0" borderId="34" xfId="142" applyNumberFormat="1" applyFont="1" applyBorder="1" applyAlignment="1">
      <alignment horizontal="right"/>
    </xf>
    <xf numFmtId="0" fontId="11" fillId="0" borderId="0" xfId="142" applyAlignment="1" applyProtection="1">
      <alignment vertical="top"/>
      <protection locked="0"/>
    </xf>
    <xf numFmtId="4" fontId="68" fillId="9" borderId="34" xfId="142" applyNumberFormat="1" applyFont="1" applyFill="1" applyBorder="1" applyAlignment="1">
      <alignment horizontal="right"/>
    </xf>
    <xf numFmtId="0" fontId="62" fillId="0" borderId="34" xfId="142" applyFont="1" applyBorder="1" applyAlignment="1">
      <alignment horizontal="center" vertical="center" wrapText="1"/>
    </xf>
    <xf numFmtId="39" fontId="9" fillId="0" borderId="34" xfId="142" applyNumberFormat="1" applyFont="1" applyBorder="1" applyAlignment="1">
      <alignment horizontal="center" vertical="center"/>
    </xf>
    <xf numFmtId="37" fontId="111" fillId="0" borderId="34" xfId="32" applyNumberFormat="1" applyFont="1" applyBorder="1" applyAlignment="1" applyProtection="1">
      <alignment horizontal="right"/>
      <protection locked="0"/>
    </xf>
    <xf numFmtId="49" fontId="111" fillId="0" borderId="34" xfId="32" applyNumberFormat="1" applyFont="1" applyBorder="1" applyAlignment="1" applyProtection="1">
      <alignment horizontal="left" wrapText="1"/>
      <protection locked="0"/>
    </xf>
    <xf numFmtId="0" fontId="111" fillId="0" borderId="34" xfId="32" applyFont="1" applyBorder="1" applyAlignment="1" applyProtection="1">
      <alignment horizontal="left" wrapText="1"/>
      <protection locked="0"/>
    </xf>
    <xf numFmtId="0" fontId="54" fillId="0" borderId="34" xfId="32" applyFont="1" applyBorder="1" applyAlignment="1" applyProtection="1">
      <alignment horizontal="left" wrapText="1"/>
      <protection locked="0"/>
    </xf>
    <xf numFmtId="39" fontId="111" fillId="0" borderId="34" xfId="32" applyNumberFormat="1" applyFont="1" applyBorder="1" applyAlignment="1" applyProtection="1">
      <alignment horizontal="center"/>
      <protection locked="0"/>
    </xf>
    <xf numFmtId="0" fontId="28" fillId="0" borderId="0" xfId="32" applyAlignment="1" applyProtection="1">
      <alignment vertical="top"/>
      <protection locked="0"/>
    </xf>
    <xf numFmtId="1" fontId="54" fillId="0" borderId="34" xfId="142" applyNumberFormat="1" applyFont="1" applyBorder="1" applyAlignment="1">
      <alignment horizontal="right"/>
    </xf>
    <xf numFmtId="0" fontId="11" fillId="0" borderId="34" xfId="142" applyBorder="1" applyAlignment="1">
      <alignment horizontal="center" vertical="top"/>
    </xf>
    <xf numFmtId="0" fontId="61" fillId="0" borderId="34" xfId="142" applyFont="1" applyBorder="1" applyAlignment="1">
      <alignment horizontal="center" wrapText="1"/>
    </xf>
    <xf numFmtId="0" fontId="97" fillId="0" borderId="34" xfId="142" applyFont="1" applyBorder="1" applyAlignment="1">
      <alignment horizontal="left" vertical="top"/>
    </xf>
    <xf numFmtId="0" fontId="68" fillId="0" borderId="34" xfId="142" applyFont="1" applyBorder="1" applyAlignment="1">
      <alignment horizontal="left" vertical="center" wrapText="1"/>
    </xf>
    <xf numFmtId="39" fontId="111" fillId="0" borderId="34" xfId="142" applyNumberFormat="1" applyFont="1" applyBorder="1" applyAlignment="1">
      <alignment horizontal="center" vertical="center"/>
    </xf>
    <xf numFmtId="0" fontId="11" fillId="0" borderId="34" xfId="142" applyBorder="1" applyAlignment="1">
      <alignment horizontal="left" vertical="top"/>
    </xf>
    <xf numFmtId="37" fontId="80" fillId="0" borderId="34" xfId="130" applyNumberFormat="1" applyFont="1" applyBorder="1" applyAlignment="1">
      <alignment horizontal="right"/>
      <protection locked="0"/>
    </xf>
    <xf numFmtId="0" fontId="80" fillId="0" borderId="34" xfId="130" applyFont="1" applyBorder="1" applyAlignment="1">
      <alignment horizontal="left" wrapText="1"/>
      <protection locked="0"/>
    </xf>
    <xf numFmtId="0" fontId="61" fillId="0" borderId="34" xfId="130" applyFont="1" applyBorder="1" applyAlignment="1">
      <alignment horizontal="left" wrapText="1"/>
      <protection locked="0"/>
    </xf>
    <xf numFmtId="0" fontId="27" fillId="0" borderId="34" xfId="130" applyBorder="1" applyAlignment="1">
      <alignment horizontal="left" vertical="top"/>
      <protection locked="0"/>
    </xf>
    <xf numFmtId="37" fontId="9" fillId="0" borderId="34" xfId="130" applyNumberFormat="1" applyFont="1" applyBorder="1" applyAlignment="1">
      <alignment horizontal="right"/>
      <protection locked="0"/>
    </xf>
    <xf numFmtId="0" fontId="9" fillId="0" borderId="34" xfId="130" applyFont="1" applyBorder="1" applyAlignment="1">
      <alignment horizontal="left" wrapText="1"/>
      <protection locked="0"/>
    </xf>
    <xf numFmtId="37" fontId="132" fillId="0" borderId="34" xfId="130" applyNumberFormat="1" applyFont="1" applyBorder="1" applyAlignment="1">
      <alignment horizontal="right"/>
      <protection locked="0"/>
    </xf>
    <xf numFmtId="0" fontId="132" fillId="0" borderId="34" xfId="130" applyFont="1" applyBorder="1" applyAlignment="1">
      <alignment horizontal="left" wrapText="1"/>
      <protection locked="0"/>
    </xf>
    <xf numFmtId="0" fontId="54" fillId="0" borderId="34" xfId="130" applyFont="1" applyBorder="1" applyAlignment="1">
      <alignment horizontal="left" wrapText="1"/>
      <protection locked="0"/>
    </xf>
    <xf numFmtId="0" fontId="133" fillId="0" borderId="34" xfId="130" applyFont="1" applyBorder="1" applyAlignment="1">
      <alignment horizontal="left" vertical="top"/>
      <protection locked="0"/>
    </xf>
    <xf numFmtId="0" fontId="68" fillId="0" borderId="34" xfId="130" applyFont="1" applyBorder="1" applyAlignment="1">
      <alignment horizontal="left" wrapText="1"/>
      <protection locked="0"/>
    </xf>
    <xf numFmtId="49" fontId="9" fillId="0" borderId="34" xfId="130" applyNumberFormat="1" applyFont="1" applyBorder="1" applyAlignment="1">
      <alignment horizontal="left" wrapText="1"/>
      <protection locked="0"/>
    </xf>
    <xf numFmtId="0" fontId="27" fillId="0" borderId="0" xfId="130" applyAlignment="1">
      <alignment horizontal="left" vertical="top"/>
      <protection locked="0"/>
    </xf>
    <xf numFmtId="0" fontId="80" fillId="0" borderId="34" xfId="130" applyFont="1" applyBorder="1" applyAlignment="1">
      <alignment horizontal="left" vertical="center" wrapText="1"/>
      <protection locked="0"/>
    </xf>
    <xf numFmtId="0" fontId="134" fillId="0" borderId="34" xfId="142" applyFont="1" applyBorder="1" applyAlignment="1">
      <alignment horizontal="center" vertical="center" wrapText="1"/>
    </xf>
    <xf numFmtId="0" fontId="134" fillId="0" borderId="34" xfId="142" applyFont="1" applyBorder="1" applyAlignment="1">
      <alignment horizontal="center" wrapText="1"/>
    </xf>
    <xf numFmtId="0" fontId="135" fillId="0" borderId="34" xfId="142" applyFont="1" applyBorder="1" applyAlignment="1">
      <alignment horizontal="center" vertical="center" wrapText="1"/>
    </xf>
    <xf numFmtId="0" fontId="136" fillId="0" borderId="34" xfId="142" applyFont="1" applyBorder="1" applyAlignment="1">
      <alignment horizontal="center" vertical="center" wrapText="1"/>
    </xf>
    <xf numFmtId="49" fontId="9" fillId="0" borderId="34" xfId="142" applyNumberFormat="1" applyFont="1" applyBorder="1" applyAlignment="1" applyProtection="1">
      <alignment wrapText="1"/>
      <protection locked="0"/>
    </xf>
    <xf numFmtId="0" fontId="9" fillId="0" borderId="34" xfId="142" applyFont="1" applyBorder="1" applyAlignment="1">
      <alignment horizontal="left"/>
    </xf>
    <xf numFmtId="0" fontId="9" fillId="0" borderId="34" xfId="142" applyFont="1" applyBorder="1" applyAlignment="1">
      <alignment horizontal="left" shrinkToFit="1"/>
    </xf>
    <xf numFmtId="4" fontId="9" fillId="0" borderId="34" xfId="142" applyNumberFormat="1" applyFont="1" applyBorder="1" applyAlignment="1">
      <alignment shrinkToFit="1"/>
    </xf>
    <xf numFmtId="4" fontId="9" fillId="0" borderId="34" xfId="142" applyNumberFormat="1" applyFont="1" applyBorder="1" applyAlignment="1" applyProtection="1">
      <alignment shrinkToFit="1"/>
      <protection locked="0"/>
    </xf>
    <xf numFmtId="0" fontId="138" fillId="0" borderId="34" xfId="142" applyFont="1" applyBorder="1" applyAlignment="1">
      <alignment horizontal="center" vertical="center" wrapText="1"/>
    </xf>
    <xf numFmtId="0" fontId="60" fillId="0" borderId="34" xfId="142" applyFont="1" applyBorder="1" applyAlignment="1">
      <alignment horizontal="center" vertical="center" wrapText="1"/>
    </xf>
    <xf numFmtId="0" fontId="81" fillId="0" borderId="34" xfId="154" applyFont="1" applyBorder="1" applyAlignment="1">
      <alignment horizontal="center" vertical="center" wrapText="1"/>
    </xf>
    <xf numFmtId="0" fontId="94" fillId="0" borderId="34" xfId="154" applyFont="1" applyBorder="1" applyAlignment="1" applyProtection="1">
      <alignment horizontal="center" vertical="center"/>
      <protection locked="0"/>
    </xf>
    <xf numFmtId="0" fontId="28" fillId="0" borderId="0" xfId="154" applyAlignment="1" applyProtection="1">
      <alignment horizontal="right" vertical="center"/>
      <protection locked="0"/>
    </xf>
    <xf numFmtId="0" fontId="9" fillId="0" borderId="36" xfId="154" applyFont="1" applyBorder="1" applyAlignment="1" applyProtection="1">
      <alignment horizontal="left" wrapText="1"/>
      <protection locked="0"/>
    </xf>
    <xf numFmtId="4" fontId="28" fillId="0" borderId="0" xfId="154" applyNumberFormat="1" applyAlignment="1" applyProtection="1">
      <alignment horizontal="right" vertical="top"/>
      <protection locked="0"/>
    </xf>
    <xf numFmtId="0" fontId="137" fillId="0" borderId="34" xfId="154" applyFont="1" applyBorder="1" applyAlignment="1" applyProtection="1">
      <alignment horizontal="left" vertical="center"/>
      <protection locked="0"/>
    </xf>
    <xf numFmtId="4" fontId="68" fillId="9" borderId="34" xfId="154" applyNumberFormat="1" applyFont="1" applyFill="1" applyBorder="1" applyAlignment="1" applyProtection="1">
      <alignment horizontal="right"/>
      <protection locked="0"/>
    </xf>
    <xf numFmtId="0" fontId="122" fillId="0" borderId="0" xfId="154" applyFont="1" applyAlignment="1" applyProtection="1">
      <alignment horizontal="left" vertical="top"/>
      <protection locked="0"/>
    </xf>
    <xf numFmtId="9" fontId="80" fillId="0" borderId="34" xfId="154" applyNumberFormat="1" applyFont="1" applyBorder="1" applyAlignment="1" applyProtection="1">
      <alignment horizontal="left" wrapText="1"/>
      <protection locked="0"/>
    </xf>
    <xf numFmtId="0" fontId="28" fillId="0" borderId="0" xfId="154" applyAlignment="1" applyProtection="1">
      <alignment horizontal="right" vertical="top"/>
      <protection locked="0"/>
    </xf>
    <xf numFmtId="0" fontId="89" fillId="0" borderId="34" xfId="154" applyFont="1" applyBorder="1" applyAlignment="1" applyProtection="1">
      <alignment vertical="top"/>
      <protection locked="0"/>
    </xf>
    <xf numFmtId="0" fontId="89" fillId="0" borderId="0" xfId="154" applyFont="1" applyAlignment="1" applyProtection="1">
      <alignment vertical="top"/>
      <protection locked="0"/>
    </xf>
    <xf numFmtId="0" fontId="142" fillId="0" borderId="0" xfId="154" applyFont="1" applyAlignment="1" applyProtection="1">
      <alignment horizontal="left" vertical="center"/>
      <protection locked="0"/>
    </xf>
    <xf numFmtId="0" fontId="104" fillId="0" borderId="34" xfId="154" applyFont="1" applyBorder="1" applyAlignment="1" applyProtection="1">
      <alignment horizontal="left" vertical="top"/>
      <protection locked="0"/>
    </xf>
    <xf numFmtId="3" fontId="61" fillId="0" borderId="34" xfId="3" applyNumberFormat="1" applyFont="1" applyBorder="1" applyAlignment="1" applyProtection="1">
      <alignment horizontal="right"/>
      <protection locked="0"/>
    </xf>
    <xf numFmtId="0" fontId="61" fillId="0" borderId="34" xfId="3" applyFont="1" applyBorder="1" applyAlignment="1" applyProtection="1">
      <alignment horizontal="left" wrapText="1"/>
      <protection locked="0"/>
    </xf>
    <xf numFmtId="4" fontId="61" fillId="0" borderId="34" xfId="3" applyNumberFormat="1" applyFont="1" applyBorder="1" applyAlignment="1" applyProtection="1">
      <alignment horizontal="right"/>
      <protection locked="0"/>
    </xf>
    <xf numFmtId="0" fontId="11" fillId="0" borderId="34" xfId="3" applyBorder="1" applyAlignment="1" applyProtection="1">
      <alignment horizontal="left" vertical="top"/>
      <protection locked="0"/>
    </xf>
    <xf numFmtId="0" fontId="30" fillId="0" borderId="0" xfId="146" applyFill="1" applyAlignment="1" applyProtection="1">
      <alignment horizontal="left" vertical="top"/>
      <protection locked="0"/>
    </xf>
    <xf numFmtId="3" fontId="9" fillId="0" borderId="34" xfId="3" applyNumberFormat="1" applyFont="1" applyBorder="1" applyAlignment="1" applyProtection="1">
      <alignment horizontal="right"/>
      <protection locked="0"/>
    </xf>
    <xf numFmtId="0" fontId="9" fillId="0" borderId="34" xfId="3" applyFont="1" applyBorder="1" applyAlignment="1" applyProtection="1">
      <alignment horizontal="left" wrapText="1"/>
      <protection locked="0"/>
    </xf>
    <xf numFmtId="4" fontId="9" fillId="0" borderId="34" xfId="3" applyNumberFormat="1" applyFont="1" applyBorder="1" applyAlignment="1" applyProtection="1">
      <alignment horizontal="right"/>
      <protection locked="0"/>
    </xf>
    <xf numFmtId="39" fontId="9" fillId="0" borderId="34" xfId="180" applyNumberFormat="1" applyFont="1" applyBorder="1" applyAlignment="1" applyProtection="1">
      <alignment horizontal="center"/>
      <protection locked="0"/>
    </xf>
    <xf numFmtId="0" fontId="11" fillId="0" borderId="0" xfId="3" applyAlignment="1" applyProtection="1">
      <alignment vertical="top"/>
      <protection locked="0"/>
    </xf>
    <xf numFmtId="3" fontId="80" fillId="0" borderId="34" xfId="3" applyNumberFormat="1" applyFont="1" applyBorder="1" applyAlignment="1" applyProtection="1">
      <alignment horizontal="right"/>
      <protection locked="0"/>
    </xf>
    <xf numFmtId="0" fontId="80" fillId="0" borderId="34" xfId="3" applyFont="1" applyBorder="1" applyAlignment="1" applyProtection="1">
      <alignment horizontal="left" wrapText="1"/>
      <protection locked="0"/>
    </xf>
    <xf numFmtId="0" fontId="54" fillId="0" borderId="34" xfId="3" applyFont="1" applyBorder="1" applyAlignment="1" applyProtection="1">
      <alignment horizontal="left" wrapText="1"/>
      <protection locked="0"/>
    </xf>
    <xf numFmtId="4" fontId="54" fillId="0" borderId="34" xfId="3" applyNumberFormat="1" applyFont="1" applyBorder="1" applyAlignment="1" applyProtection="1">
      <alignment horizontal="right"/>
      <protection locked="0"/>
    </xf>
    <xf numFmtId="4" fontId="80" fillId="0" borderId="34" xfId="3" applyNumberFormat="1" applyFont="1" applyBorder="1" applyAlignment="1" applyProtection="1">
      <alignment horizontal="right"/>
      <protection locked="0"/>
    </xf>
    <xf numFmtId="1" fontId="68" fillId="0" borderId="34" xfId="154" applyNumberFormat="1" applyFont="1" applyBorder="1" applyAlignment="1" applyProtection="1">
      <alignment horizontal="right"/>
      <protection locked="0"/>
    </xf>
    <xf numFmtId="1" fontId="9" fillId="0" borderId="34" xfId="3" applyNumberFormat="1" applyFont="1" applyBorder="1" applyAlignment="1" applyProtection="1">
      <alignment horizontal="right"/>
      <protection locked="0"/>
    </xf>
    <xf numFmtId="49" fontId="9" fillId="0" borderId="34" xfId="3" applyNumberFormat="1" applyFont="1" applyBorder="1" applyAlignment="1" applyProtection="1">
      <alignment horizontal="left" wrapText="1"/>
      <protection locked="0"/>
    </xf>
    <xf numFmtId="1" fontId="80" fillId="0" borderId="34" xfId="3" applyNumberFormat="1" applyFont="1" applyBorder="1" applyAlignment="1" applyProtection="1">
      <alignment horizontal="right"/>
      <protection locked="0"/>
    </xf>
    <xf numFmtId="0" fontId="3" fillId="0" borderId="0" xfId="142" applyFont="1" applyAlignment="1" applyProtection="1">
      <alignment horizontal="left" vertical="top"/>
      <protection locked="0"/>
    </xf>
    <xf numFmtId="0" fontId="32" fillId="0" borderId="0" xfId="145" applyFill="1" applyAlignment="1" applyProtection="1">
      <alignment horizontal="left" vertical="top"/>
      <protection locked="0"/>
    </xf>
    <xf numFmtId="0" fontId="81" fillId="0" borderId="34" xfId="142" applyFont="1" applyBorder="1" applyAlignment="1" applyProtection="1">
      <alignment horizontal="center" wrapText="1"/>
      <protection locked="0"/>
    </xf>
    <xf numFmtId="4" fontId="68" fillId="0" borderId="34" xfId="142" applyNumberFormat="1" applyFont="1" applyBorder="1" applyAlignment="1">
      <alignment horizontal="right"/>
    </xf>
    <xf numFmtId="1" fontId="74" fillId="0" borderId="34" xfId="142" applyNumberFormat="1" applyFont="1" applyBorder="1" applyAlignment="1">
      <alignment horizontal="right"/>
    </xf>
    <xf numFmtId="0" fontId="74" fillId="0" borderId="34" xfId="142" applyFont="1" applyBorder="1" applyAlignment="1" applyProtection="1">
      <alignment horizontal="left"/>
      <protection locked="0"/>
    </xf>
    <xf numFmtId="4" fontId="74" fillId="9" borderId="34" xfId="142" applyNumberFormat="1" applyFont="1" applyFill="1" applyBorder="1" applyAlignment="1">
      <alignment horizontal="right"/>
    </xf>
    <xf numFmtId="4" fontId="74" fillId="0" borderId="34" xfId="142" applyNumberFormat="1" applyFont="1" applyBorder="1" applyAlignment="1">
      <alignment horizontal="right"/>
    </xf>
    <xf numFmtId="49" fontId="9" fillId="0" borderId="34" xfId="12" applyNumberFormat="1" applyFont="1" applyBorder="1" applyAlignment="1">
      <alignment horizontal="left" wrapText="1"/>
      <protection locked="0"/>
    </xf>
    <xf numFmtId="4" fontId="9" fillId="0" borderId="37" xfId="12" applyNumberFormat="1" applyFont="1" applyBorder="1" applyAlignment="1">
      <alignment horizontal="right"/>
      <protection locked="0"/>
    </xf>
    <xf numFmtId="0" fontId="68" fillId="0" borderId="34" xfId="154" applyFont="1" applyBorder="1" applyAlignment="1" applyProtection="1">
      <alignment horizontal="left" vertical="center" wrapText="1"/>
      <protection locked="0"/>
    </xf>
    <xf numFmtId="1" fontId="9" fillId="0" borderId="34" xfId="154" applyNumberFormat="1" applyFont="1" applyBorder="1" applyAlignment="1">
      <alignment horizontal="right"/>
    </xf>
    <xf numFmtId="0" fontId="9" fillId="0" borderId="34" xfId="154" applyFont="1" applyBorder="1" applyAlignment="1">
      <alignment horizontal="left" wrapText="1"/>
    </xf>
    <xf numFmtId="4" fontId="9" fillId="0" borderId="34" xfId="154" applyNumberFormat="1" applyFont="1" applyBorder="1" applyAlignment="1">
      <alignment horizontal="right"/>
    </xf>
    <xf numFmtId="0" fontId="3" fillId="0" borderId="0" xfId="154" applyFont="1" applyAlignment="1" applyProtection="1">
      <alignment horizontal="left" vertical="top"/>
      <protection locked="0"/>
    </xf>
    <xf numFmtId="1" fontId="80" fillId="0" borderId="34" xfId="154" applyNumberFormat="1" applyFont="1" applyBorder="1" applyAlignment="1">
      <alignment horizontal="right"/>
    </xf>
    <xf numFmtId="0" fontId="80" fillId="0" borderId="34" xfId="154" applyFont="1" applyBorder="1" applyAlignment="1">
      <alignment horizontal="left" wrapText="1"/>
    </xf>
    <xf numFmtId="0" fontId="54" fillId="0" borderId="34" xfId="154" applyFont="1" applyBorder="1" applyAlignment="1">
      <alignment horizontal="left" wrapText="1"/>
    </xf>
    <xf numFmtId="0" fontId="28" fillId="0" borderId="34" xfId="154" applyBorder="1" applyAlignment="1">
      <alignment horizontal="left" vertical="top"/>
    </xf>
    <xf numFmtId="49" fontId="68" fillId="0" borderId="34" xfId="154" applyNumberFormat="1" applyFont="1" applyBorder="1" applyAlignment="1" applyProtection="1">
      <alignment horizontal="left" wrapText="1"/>
      <protection locked="0"/>
    </xf>
    <xf numFmtId="4" fontId="68" fillId="0" borderId="34" xfId="154" applyNumberFormat="1" applyFont="1" applyBorder="1" applyAlignment="1" applyProtection="1">
      <alignment horizontal="right"/>
      <protection locked="0"/>
    </xf>
    <xf numFmtId="39" fontId="68" fillId="0" borderId="34" xfId="154" applyNumberFormat="1" applyFont="1" applyBorder="1" applyAlignment="1" applyProtection="1">
      <alignment horizontal="center"/>
      <protection locked="0"/>
    </xf>
    <xf numFmtId="0" fontId="87" fillId="0" borderId="34" xfId="154" applyFont="1" applyBorder="1" applyAlignment="1" applyProtection="1">
      <alignment horizontal="left" vertical="top"/>
      <protection locked="0"/>
    </xf>
    <xf numFmtId="37" fontId="153" fillId="0" borderId="0" xfId="154" applyNumberFormat="1" applyFont="1" applyAlignment="1" applyProtection="1">
      <alignment horizontal="right"/>
      <protection locked="0"/>
    </xf>
    <xf numFmtId="0" fontId="153" fillId="0" borderId="0" xfId="154" applyFont="1" applyAlignment="1" applyProtection="1">
      <alignment horizontal="left" wrapText="1"/>
      <protection locked="0"/>
    </xf>
    <xf numFmtId="37" fontId="28" fillId="0" borderId="0" xfId="154" applyNumberFormat="1" applyAlignment="1" applyProtection="1">
      <alignment horizontal="right" vertical="top"/>
      <protection locked="0"/>
    </xf>
    <xf numFmtId="0" fontId="28" fillId="0" borderId="0" xfId="154" applyAlignment="1" applyProtection="1">
      <alignment horizontal="left" vertical="top" wrapText="1"/>
      <protection locked="0"/>
    </xf>
    <xf numFmtId="0" fontId="61" fillId="0" borderId="39" xfId="154" applyFont="1" applyBorder="1" applyAlignment="1" applyProtection="1">
      <alignment horizontal="left"/>
      <protection locked="0"/>
    </xf>
    <xf numFmtId="0" fontId="80" fillId="0" borderId="40" xfId="154" applyFont="1" applyBorder="1" applyAlignment="1" applyProtection="1">
      <alignment horizontal="center"/>
      <protection locked="0"/>
    </xf>
    <xf numFmtId="37" fontId="80" fillId="0" borderId="0" xfId="154" applyNumberFormat="1" applyFont="1" applyAlignment="1" applyProtection="1">
      <alignment horizontal="right"/>
      <protection locked="0"/>
    </xf>
    <xf numFmtId="0" fontId="80" fillId="0" borderId="0" xfId="154" applyFont="1" applyAlignment="1" applyProtection="1">
      <alignment horizontal="left" wrapText="1"/>
      <protection locked="0"/>
    </xf>
    <xf numFmtId="0" fontId="9" fillId="0" borderId="0" xfId="154" applyFont="1" applyAlignment="1" applyProtection="1">
      <alignment horizontal="left" wrapText="1"/>
      <protection locked="0"/>
    </xf>
    <xf numFmtId="0" fontId="80" fillId="0" borderId="0" xfId="154" applyFont="1" applyAlignment="1" applyProtection="1">
      <alignment horizontal="center" wrapText="1"/>
      <protection locked="0"/>
    </xf>
    <xf numFmtId="0" fontId="12" fillId="0" borderId="0" xfId="154" applyFont="1" applyAlignment="1" applyProtection="1">
      <alignment vertical="center" wrapText="1"/>
      <protection locked="0"/>
    </xf>
    <xf numFmtId="0" fontId="10" fillId="0" borderId="0" xfId="176" applyFont="1" applyAlignment="1">
      <alignment horizontal="center" vertical="center" wrapText="1"/>
    </xf>
    <xf numFmtId="0" fontId="58" fillId="0" borderId="0" xfId="25" applyFont="1" applyAlignment="1" applyProtection="1">
      <alignment horizontal="left"/>
    </xf>
    <xf numFmtId="0" fontId="59" fillId="0" borderId="0" xfId="25" applyFont="1" applyAlignment="1" applyProtection="1">
      <alignment horizontal="left"/>
    </xf>
    <xf numFmtId="0" fontId="12" fillId="0" borderId="0" xfId="25" applyAlignment="1">
      <alignment vertical="top"/>
      <protection locked="0"/>
    </xf>
    <xf numFmtId="0" fontId="61" fillId="0" borderId="0" xfId="25" applyFont="1" applyAlignment="1" applyProtection="1">
      <alignment wrapText="1"/>
    </xf>
    <xf numFmtId="0" fontId="9" fillId="0" borderId="42" xfId="25" applyFont="1" applyBorder="1" applyAlignment="1" applyProtection="1">
      <alignment horizontal="center" vertical="center" wrapText="1"/>
    </xf>
    <xf numFmtId="0" fontId="9" fillId="0" borderId="43" xfId="25" applyFont="1" applyBorder="1" applyAlignment="1" applyProtection="1">
      <alignment horizontal="center" vertical="center" wrapText="1"/>
    </xf>
    <xf numFmtId="0" fontId="9" fillId="0" borderId="44" xfId="25" applyFont="1" applyBorder="1" applyAlignment="1" applyProtection="1">
      <alignment horizontal="center" vertical="center" wrapText="1"/>
    </xf>
    <xf numFmtId="175" fontId="9" fillId="0" borderId="45" xfId="25" applyNumberFormat="1" applyFont="1" applyBorder="1" applyAlignment="1" applyProtection="1">
      <alignment horizontal="center" vertical="center"/>
    </xf>
    <xf numFmtId="175" fontId="9" fillId="0" borderId="46" xfId="25" applyNumberFormat="1" applyFont="1" applyBorder="1" applyAlignment="1" applyProtection="1">
      <alignment horizontal="center" vertical="center"/>
    </xf>
    <xf numFmtId="175" fontId="9" fillId="0" borderId="47" xfId="25" applyNumberFormat="1" applyFont="1" applyBorder="1" applyAlignment="1" applyProtection="1">
      <alignment horizontal="center" vertical="center"/>
    </xf>
    <xf numFmtId="0" fontId="12" fillId="0" borderId="48" xfId="25" applyBorder="1" applyAlignment="1" applyProtection="1">
      <alignment horizontal="left"/>
    </xf>
    <xf numFmtId="0" fontId="12" fillId="0" borderId="49" xfId="25" applyBorder="1" applyAlignment="1" applyProtection="1">
      <alignment horizontal="left"/>
    </xf>
    <xf numFmtId="0" fontId="155" fillId="0" borderId="34" xfId="25" applyFont="1" applyBorder="1" applyAlignment="1" applyProtection="1">
      <alignment horizontal="center" vertical="center"/>
    </xf>
    <xf numFmtId="0" fontId="155" fillId="0" borderId="34" xfId="25" applyFont="1" applyBorder="1" applyAlignment="1" applyProtection="1">
      <alignment horizontal="left" vertical="center"/>
    </xf>
    <xf numFmtId="39" fontId="155" fillId="0" borderId="34" xfId="25" applyNumberFormat="1" applyFont="1" applyBorder="1" applyAlignment="1" applyProtection="1">
      <alignment horizontal="right" vertical="center"/>
    </xf>
    <xf numFmtId="0" fontId="156" fillId="0" borderId="34" xfId="25" applyFont="1" applyBorder="1" applyAlignment="1" applyProtection="1">
      <alignment horizontal="center" vertical="center"/>
    </xf>
    <xf numFmtId="0" fontId="156" fillId="0" borderId="34" xfId="25" applyFont="1" applyBorder="1" applyAlignment="1" applyProtection="1">
      <alignment horizontal="left" vertical="center"/>
    </xf>
    <xf numFmtId="39" fontId="156" fillId="0" borderId="34" xfId="25" applyNumberFormat="1" applyFont="1" applyBorder="1" applyAlignment="1" applyProtection="1">
      <alignment horizontal="right" vertical="center"/>
    </xf>
    <xf numFmtId="39" fontId="156" fillId="5" borderId="34" xfId="25" applyNumberFormat="1" applyFont="1" applyFill="1" applyBorder="1" applyAlignment="1" applyProtection="1">
      <alignment horizontal="right" vertical="center"/>
    </xf>
    <xf numFmtId="0" fontId="157" fillId="0" borderId="34" xfId="25" applyFont="1" applyBorder="1" applyAlignment="1" applyProtection="1">
      <alignment horizontal="center" vertical="center"/>
    </xf>
    <xf numFmtId="0" fontId="157" fillId="0" borderId="34" xfId="25" applyFont="1" applyBorder="1" applyAlignment="1" applyProtection="1">
      <alignment horizontal="left" vertical="center"/>
    </xf>
    <xf numFmtId="39" fontId="157" fillId="0" borderId="34" xfId="25" applyNumberFormat="1" applyFont="1" applyBorder="1" applyAlignment="1" applyProtection="1">
      <alignment horizontal="right" vertical="center"/>
    </xf>
    <xf numFmtId="0" fontId="158" fillId="0" borderId="34" xfId="25" applyFont="1" applyBorder="1" applyAlignment="1" applyProtection="1">
      <alignment horizontal="left" vertical="center"/>
    </xf>
    <xf numFmtId="0" fontId="159" fillId="0" borderId="34" xfId="25" applyFont="1" applyBorder="1" applyAlignment="1" applyProtection="1">
      <alignment horizontal="left" vertical="center"/>
    </xf>
    <xf numFmtId="39" fontId="159" fillId="0" borderId="34" xfId="25" applyNumberFormat="1" applyFont="1" applyBorder="1" applyAlignment="1" applyProtection="1">
      <alignment horizontal="right" vertical="center"/>
    </xf>
    <xf numFmtId="0" fontId="158" fillId="0" borderId="50" xfId="25" applyFont="1" applyBorder="1" applyAlignment="1" applyProtection="1">
      <alignment horizontal="left" vertical="center"/>
    </xf>
    <xf numFmtId="39" fontId="159" fillId="0" borderId="50" xfId="25" applyNumberFormat="1" applyFont="1" applyBorder="1" applyAlignment="1" applyProtection="1">
      <alignment horizontal="right" vertical="center"/>
    </xf>
    <xf numFmtId="4" fontId="59" fillId="0" borderId="0" xfId="154" applyNumberFormat="1" applyFont="1" applyAlignment="1">
      <alignment horizontal="left"/>
    </xf>
    <xf numFmtId="4" fontId="9" fillId="0" borderId="0" xfId="154" applyNumberFormat="1" applyFont="1" applyAlignment="1">
      <alignment horizontal="left"/>
    </xf>
    <xf numFmtId="4" fontId="60" fillId="0" borderId="0" xfId="154" applyNumberFormat="1" applyFont="1" applyAlignment="1">
      <alignment horizontal="left" vertical="center"/>
    </xf>
    <xf numFmtId="4" fontId="63" fillId="0" borderId="33" xfId="154" applyNumberFormat="1" applyFont="1" applyBorder="1" applyAlignment="1">
      <alignment horizontal="center" vertical="center" wrapText="1"/>
    </xf>
    <xf numFmtId="4" fontId="61" fillId="0" borderId="0" xfId="154" applyNumberFormat="1" applyFont="1" applyAlignment="1" applyProtection="1">
      <alignment horizontal="right"/>
      <protection locked="0"/>
    </xf>
    <xf numFmtId="4" fontId="9" fillId="0" borderId="34" xfId="3" applyNumberFormat="1" applyFont="1" applyBorder="1" applyAlignment="1" applyProtection="1">
      <alignment horizontal="right" wrapText="1"/>
      <protection locked="0"/>
    </xf>
    <xf numFmtId="4" fontId="9" fillId="0" borderId="34" xfId="154" applyNumberFormat="1" applyFont="1" applyBorder="1" applyProtection="1">
      <protection locked="0"/>
    </xf>
    <xf numFmtId="4" fontId="9" fillId="0" borderId="34" xfId="30" applyNumberFormat="1" applyFont="1" applyBorder="1" applyAlignment="1">
      <protection locked="0"/>
    </xf>
    <xf numFmtId="4" fontId="54" fillId="0" borderId="34" xfId="30" applyNumberFormat="1" applyFont="1" applyBorder="1" applyAlignment="1">
      <alignment horizontal="right"/>
      <protection locked="0"/>
    </xf>
    <xf numFmtId="4" fontId="9" fillId="0" borderId="34" xfId="26" applyNumberFormat="1" applyFont="1" applyBorder="1" applyAlignment="1">
      <alignment horizontal="right"/>
      <protection locked="0"/>
    </xf>
    <xf numFmtId="4" fontId="54" fillId="0" borderId="34" xfId="26" applyNumberFormat="1" applyFont="1" applyBorder="1" applyAlignment="1">
      <alignment horizontal="right"/>
      <protection locked="0"/>
    </xf>
    <xf numFmtId="4" fontId="73" fillId="0" borderId="34" xfId="3" applyNumberFormat="1" applyFont="1" applyBorder="1" applyAlignment="1" applyProtection="1">
      <alignment horizontal="right"/>
      <protection locked="0"/>
    </xf>
    <xf numFmtId="4" fontId="73" fillId="0" borderId="34" xfId="26" applyNumberFormat="1" applyFont="1" applyBorder="1" applyAlignment="1">
      <alignment horizontal="right"/>
      <protection locked="0"/>
    </xf>
    <xf numFmtId="4" fontId="75" fillId="0" borderId="34" xfId="26" applyNumberFormat="1" applyFont="1" applyBorder="1" applyAlignment="1">
      <alignment horizontal="right"/>
      <protection locked="0"/>
    </xf>
    <xf numFmtId="4" fontId="78" fillId="0" borderId="34" xfId="3" applyNumberFormat="1" applyFont="1" applyBorder="1" applyAlignment="1" applyProtection="1">
      <alignment horizontal="right"/>
      <protection locked="0"/>
    </xf>
    <xf numFmtId="4" fontId="54" fillId="0" borderId="34" xfId="140" applyNumberFormat="1" applyFont="1" applyBorder="1" applyAlignment="1" applyProtection="1">
      <alignment horizontal="right"/>
      <protection locked="0"/>
    </xf>
    <xf numFmtId="4" fontId="54" fillId="0" borderId="34" xfId="42" applyNumberFormat="1" applyFont="1" applyBorder="1" applyAlignment="1">
      <alignment horizontal="right" wrapText="1"/>
      <protection locked="0"/>
    </xf>
    <xf numFmtId="4" fontId="73" fillId="0" borderId="34" xfId="142" applyNumberFormat="1" applyFont="1" applyBorder="1" applyAlignment="1">
      <alignment horizontal="right"/>
    </xf>
    <xf numFmtId="4" fontId="9" fillId="0" borderId="34" xfId="142" applyNumberFormat="1" applyFont="1" applyBorder="1" applyProtection="1">
      <protection locked="0"/>
    </xf>
    <xf numFmtId="4" fontId="9" fillId="0" borderId="34" xfId="38" applyNumberFormat="1" applyFont="1" applyBorder="1" applyAlignment="1">
      <protection locked="0"/>
    </xf>
    <xf numFmtId="4" fontId="89" fillId="0" borderId="34" xfId="154" applyNumberFormat="1" applyFont="1" applyBorder="1" applyAlignment="1" applyProtection="1">
      <alignment horizontal="left" vertical="top"/>
      <protection locked="0"/>
    </xf>
    <xf numFmtId="4" fontId="9" fillId="0" borderId="34" xfId="38" applyNumberFormat="1" applyFont="1" applyBorder="1" applyAlignment="1">
      <alignment horizontal="right"/>
      <protection locked="0"/>
    </xf>
    <xf numFmtId="4" fontId="28" fillId="0" borderId="0" xfId="154" applyNumberFormat="1" applyAlignment="1" applyProtection="1">
      <alignment horizontal="left" vertical="top"/>
      <protection locked="0"/>
    </xf>
    <xf numFmtId="4" fontId="54" fillId="0" borderId="34" xfId="12" applyNumberFormat="1" applyFont="1" applyBorder="1" applyAlignment="1">
      <alignment horizontal="right"/>
      <protection locked="0"/>
    </xf>
    <xf numFmtId="4" fontId="9" fillId="0" borderId="34" xfId="37" applyNumberFormat="1" applyFont="1" applyBorder="1" applyAlignment="1" applyProtection="1">
      <alignment horizontal="right"/>
      <protection locked="0"/>
    </xf>
    <xf numFmtId="4" fontId="111" fillId="0" borderId="34" xfId="154" applyNumberFormat="1" applyFont="1" applyBorder="1" applyAlignment="1" applyProtection="1">
      <alignment horizontal="right"/>
      <protection locked="0"/>
    </xf>
    <xf numFmtId="4" fontId="75" fillId="0" borderId="34" xfId="142" applyNumberFormat="1" applyFont="1" applyBorder="1" applyAlignment="1" applyProtection="1">
      <alignment horizontal="right"/>
      <protection locked="0"/>
    </xf>
    <xf numFmtId="4" fontId="114" fillId="0" borderId="34" xfId="142" applyNumberFormat="1" applyFont="1" applyBorder="1" applyAlignment="1" applyProtection="1">
      <alignment horizontal="right" wrapText="1"/>
      <protection locked="0"/>
    </xf>
    <xf numFmtId="4" fontId="54" fillId="0" borderId="34" xfId="142" applyNumberFormat="1" applyFont="1" applyBorder="1" applyAlignment="1" applyProtection="1">
      <alignment horizontal="right" vertical="center"/>
      <protection locked="0"/>
    </xf>
    <xf numFmtId="4" fontId="114" fillId="0" borderId="34" xfId="142" applyNumberFormat="1" applyFont="1" applyBorder="1" applyAlignment="1">
      <alignment horizontal="right" wrapText="1"/>
    </xf>
    <xf numFmtId="4" fontId="54" fillId="0" borderId="34" xfId="32" applyNumberFormat="1" applyFont="1" applyBorder="1" applyAlignment="1" applyProtection="1">
      <alignment horizontal="right"/>
      <protection locked="0"/>
    </xf>
    <xf numFmtId="4" fontId="61" fillId="0" borderId="34" xfId="130" applyNumberFormat="1" applyFont="1" applyBorder="1" applyAlignment="1">
      <alignment horizontal="right"/>
      <protection locked="0"/>
    </xf>
    <xf numFmtId="4" fontId="54" fillId="0" borderId="34" xfId="130" applyNumberFormat="1" applyFont="1" applyBorder="1" applyAlignment="1">
      <alignment horizontal="right"/>
      <protection locked="0"/>
    </xf>
    <xf numFmtId="4" fontId="54" fillId="0" borderId="34" xfId="130" applyNumberFormat="1" applyFont="1" applyBorder="1" applyAlignment="1">
      <alignment horizontal="right" vertical="center"/>
      <protection locked="0"/>
    </xf>
    <xf numFmtId="4" fontId="12" fillId="0" borderId="0" xfId="23" applyNumberFormat="1" applyAlignment="1">
      <alignment horizontal="left" vertical="top"/>
      <protection locked="0"/>
    </xf>
    <xf numFmtId="4" fontId="68" fillId="0" borderId="34" xfId="154" applyNumberFormat="1" applyFont="1" applyBorder="1" applyAlignment="1">
      <alignment horizontal="right"/>
    </xf>
    <xf numFmtId="4" fontId="54" fillId="0" borderId="34" xfId="154" applyNumberFormat="1" applyFont="1" applyBorder="1" applyAlignment="1">
      <alignment horizontal="right"/>
    </xf>
    <xf numFmtId="4" fontId="153" fillId="0" borderId="0" xfId="154" applyNumberFormat="1" applyFont="1" applyAlignment="1" applyProtection="1">
      <alignment horizontal="right"/>
      <protection locked="0"/>
    </xf>
    <xf numFmtId="4" fontId="80" fillId="0" borderId="40" xfId="154" applyNumberFormat="1" applyFont="1" applyBorder="1" applyAlignment="1" applyProtection="1">
      <alignment horizontal="right"/>
      <protection locked="0"/>
    </xf>
    <xf numFmtId="4" fontId="80" fillId="0" borderId="0" xfId="154" applyNumberFormat="1" applyFont="1" applyAlignment="1" applyProtection="1">
      <alignment horizontal="right"/>
      <protection locked="0"/>
    </xf>
    <xf numFmtId="4" fontId="10" fillId="0" borderId="0" xfId="176" applyNumberFormat="1" applyFont="1" applyAlignment="1">
      <alignment vertical="center"/>
    </xf>
    <xf numFmtId="4" fontId="12" fillId="0" borderId="0" xfId="154" applyNumberFormat="1" applyFont="1" applyAlignment="1" applyProtection="1">
      <alignment vertical="center" wrapText="1"/>
      <protection locked="0"/>
    </xf>
    <xf numFmtId="4" fontId="28" fillId="0" borderId="0" xfId="154" applyNumberFormat="1"/>
    <xf numFmtId="4" fontId="28" fillId="0" borderId="34" xfId="154" applyNumberFormat="1" applyBorder="1" applyAlignment="1" applyProtection="1">
      <alignment horizontal="left" vertical="top"/>
      <protection locked="0"/>
    </xf>
    <xf numFmtId="4" fontId="111" fillId="0" borderId="34" xfId="32" applyNumberFormat="1" applyFont="1" applyBorder="1" applyAlignment="1" applyProtection="1">
      <alignment horizontal="right"/>
      <protection locked="0"/>
    </xf>
    <xf numFmtId="4" fontId="132" fillId="0" borderId="34" xfId="130" applyNumberFormat="1" applyFont="1" applyBorder="1" applyAlignment="1">
      <alignment horizontal="right"/>
      <protection locked="0"/>
    </xf>
    <xf numFmtId="4" fontId="61" fillId="0" borderId="33" xfId="154" applyNumberFormat="1" applyFont="1" applyBorder="1" applyAlignment="1" applyProtection="1">
      <alignment horizontal="right"/>
      <protection locked="0"/>
    </xf>
    <xf numFmtId="4" fontId="9" fillId="0" borderId="0" xfId="154" applyNumberFormat="1" applyFont="1" applyAlignment="1" applyProtection="1">
      <alignment horizontal="right"/>
      <protection locked="0"/>
    </xf>
    <xf numFmtId="4" fontId="10" fillId="0" borderId="0" xfId="176" applyNumberFormat="1" applyFont="1" applyAlignment="1">
      <alignment horizontal="center" vertical="center" wrapText="1"/>
    </xf>
    <xf numFmtId="4" fontId="80" fillId="0" borderId="34" xfId="130" applyNumberFormat="1" applyFont="1" applyBorder="1" applyAlignment="1">
      <alignment horizontal="right"/>
      <protection locked="0"/>
    </xf>
    <xf numFmtId="0" fontId="61" fillId="0" borderId="0" xfId="25" applyFont="1" applyAlignment="1" applyProtection="1">
      <alignment horizontal="left"/>
    </xf>
    <xf numFmtId="0" fontId="13" fillId="0" borderId="0" xfId="20" applyFont="1" applyAlignment="1">
      <alignment vertical="center"/>
    </xf>
    <xf numFmtId="4" fontId="17" fillId="2" borderId="15" xfId="175" applyNumberFormat="1" applyFont="1" applyFill="1" applyBorder="1" applyAlignment="1">
      <alignment vertical="center"/>
    </xf>
    <xf numFmtId="0" fontId="58" fillId="0" borderId="0" xfId="12" applyFont="1" applyAlignment="1" applyProtection="1"/>
    <xf numFmtId="0" fontId="60" fillId="0" borderId="0" xfId="89" applyFont="1" applyAlignment="1">
      <alignment horizontal="left" vertical="top"/>
    </xf>
    <xf numFmtId="0" fontId="32" fillId="0" borderId="0" xfId="28" applyFill="1" applyBorder="1" applyAlignment="1" applyProtection="1">
      <alignment horizontal="left" vertical="top"/>
      <protection locked="0"/>
    </xf>
    <xf numFmtId="0" fontId="61" fillId="0" borderId="0" xfId="25" applyFont="1" applyAlignment="1" applyProtection="1"/>
    <xf numFmtId="0" fontId="27" fillId="0" borderId="0" xfId="125" applyAlignment="1" applyProtection="1">
      <alignment horizontal="left"/>
    </xf>
    <xf numFmtId="172" fontId="27" fillId="0" borderId="0" xfId="125" applyNumberFormat="1" applyAlignment="1" applyProtection="1">
      <alignment horizontal="left"/>
    </xf>
    <xf numFmtId="0" fontId="27" fillId="0" borderId="0" xfId="125" applyAlignment="1">
      <alignment horizontal="left" vertical="top"/>
      <protection locked="0"/>
    </xf>
    <xf numFmtId="0" fontId="161" fillId="0" borderId="0" xfId="89" applyFont="1" applyAlignment="1">
      <alignment horizontal="left" vertical="center"/>
    </xf>
    <xf numFmtId="0" fontId="11" fillId="0" borderId="0" xfId="125" applyFont="1" applyAlignment="1">
      <alignment horizontal="left"/>
      <protection locked="0"/>
    </xf>
    <xf numFmtId="0" fontId="11" fillId="0" borderId="0" xfId="125" applyFont="1" applyAlignment="1" applyProtection="1"/>
    <xf numFmtId="0" fontId="11" fillId="0" borderId="0" xfId="125" applyFont="1" applyAlignment="1" applyProtection="1">
      <alignment horizontal="right"/>
    </xf>
    <xf numFmtId="0" fontId="2" fillId="0" borderId="0" xfId="125" applyFont="1" applyAlignment="1" applyProtection="1"/>
    <xf numFmtId="0" fontId="27" fillId="0" borderId="0" xfId="125" applyAlignment="1" applyProtection="1"/>
    <xf numFmtId="0" fontId="9" fillId="0" borderId="0" xfId="125" applyFont="1" applyAlignment="1" applyProtection="1">
      <alignment horizontal="left"/>
    </xf>
    <xf numFmtId="172" fontId="59" fillId="0" borderId="0" xfId="125" applyNumberFormat="1" applyFont="1" applyAlignment="1" applyProtection="1">
      <alignment horizontal="left"/>
    </xf>
    <xf numFmtId="4" fontId="59" fillId="0" borderId="0" xfId="125" applyNumberFormat="1" applyFont="1" applyAlignment="1" applyProtection="1">
      <alignment horizontal="left"/>
    </xf>
    <xf numFmtId="4" fontId="27" fillId="0" borderId="0" xfId="125" applyNumberFormat="1" applyAlignment="1">
      <alignment horizontal="left" vertical="top"/>
      <protection locked="0"/>
    </xf>
    <xf numFmtId="37" fontId="9" fillId="0" borderId="0" xfId="25" applyNumberFormat="1" applyFont="1" applyAlignment="1">
      <alignment horizontal="left" vertical="center"/>
      <protection locked="0"/>
    </xf>
    <xf numFmtId="0" fontId="9" fillId="5" borderId="51" xfId="89" applyFont="1" applyFill="1" applyBorder="1" applyAlignment="1">
      <alignment horizontal="left"/>
    </xf>
    <xf numFmtId="0" fontId="62" fillId="0" borderId="51" xfId="89" applyFont="1" applyBorder="1" applyAlignment="1">
      <alignment horizontal="left" vertical="center"/>
    </xf>
    <xf numFmtId="0" fontId="60" fillId="0" borderId="51" xfId="89" applyFont="1" applyBorder="1" applyAlignment="1">
      <alignment horizontal="left" vertical="center"/>
    </xf>
    <xf numFmtId="0" fontId="59" fillId="5" borderId="51" xfId="89" applyFont="1" applyFill="1" applyBorder="1" applyAlignment="1">
      <alignment horizontal="left"/>
    </xf>
    <xf numFmtId="0" fontId="28" fillId="5" borderId="51" xfId="89" applyFill="1" applyBorder="1" applyAlignment="1" applyProtection="1">
      <alignment horizontal="left" vertical="top"/>
      <protection locked="0"/>
    </xf>
    <xf numFmtId="0" fontId="63" fillId="5" borderId="33" xfId="89" applyFont="1" applyFill="1" applyBorder="1" applyAlignment="1">
      <alignment horizontal="center" vertical="center" wrapText="1"/>
    </xf>
    <xf numFmtId="0" fontId="161" fillId="0" borderId="0" xfId="89" applyFont="1" applyAlignment="1">
      <alignment vertical="center" wrapText="1"/>
    </xf>
    <xf numFmtId="37" fontId="61" fillId="0" borderId="0" xfId="89" applyNumberFormat="1" applyFont="1" applyAlignment="1" applyProtection="1">
      <alignment horizontal="right"/>
      <protection locked="0"/>
    </xf>
    <xf numFmtId="0" fontId="61" fillId="0" borderId="0" xfId="89" applyFont="1" applyAlignment="1" applyProtection="1">
      <alignment horizontal="left" wrapText="1"/>
      <protection locked="0"/>
    </xf>
    <xf numFmtId="176" fontId="61" fillId="0" borderId="0" xfId="89" applyNumberFormat="1" applyFont="1" applyAlignment="1" applyProtection="1">
      <alignment horizontal="right"/>
      <protection locked="0"/>
    </xf>
    <xf numFmtId="39" fontId="61" fillId="0" borderId="0" xfId="89" applyNumberFormat="1" applyFont="1" applyAlignment="1" applyProtection="1">
      <alignment horizontal="right"/>
      <protection locked="0"/>
    </xf>
    <xf numFmtId="37" fontId="61" fillId="0" borderId="34" xfId="23" applyNumberFormat="1" applyFont="1" applyBorder="1" applyAlignment="1">
      <alignment horizontal="right"/>
      <protection locked="0"/>
    </xf>
    <xf numFmtId="4" fontId="61" fillId="0" borderId="34" xfId="23" applyNumberFormat="1" applyFont="1" applyBorder="1" applyAlignment="1">
      <alignment horizontal="right"/>
      <protection locked="0"/>
    </xf>
    <xf numFmtId="0" fontId="12" fillId="0" borderId="34" xfId="23" applyBorder="1" applyAlignment="1">
      <alignment vertical="top"/>
      <protection locked="0"/>
    </xf>
    <xf numFmtId="0" fontId="162" fillId="0" borderId="0" xfId="25" applyFont="1" applyAlignment="1">
      <alignment horizontal="left" vertical="center"/>
      <protection locked="0"/>
    </xf>
    <xf numFmtId="37" fontId="111" fillId="0" borderId="34" xfId="21" applyNumberFormat="1" applyFont="1" applyBorder="1" applyAlignment="1" applyProtection="1">
      <alignment horizontal="right"/>
      <protection locked="0"/>
    </xf>
    <xf numFmtId="49" fontId="9" fillId="0" borderId="34" xfId="21" applyNumberFormat="1" applyFont="1" applyBorder="1" applyAlignment="1" applyProtection="1">
      <alignment horizontal="left" wrapText="1"/>
      <protection locked="0"/>
    </xf>
    <xf numFmtId="0" fontId="9" fillId="0" borderId="34" xfId="21" applyFont="1" applyBorder="1" applyAlignment="1" applyProtection="1">
      <alignment horizontal="left" wrapText="1"/>
      <protection locked="0"/>
    </xf>
    <xf numFmtId="0" fontId="9" fillId="0" borderId="34" xfId="23" applyFont="1" applyBorder="1" applyAlignment="1" applyProtection="1">
      <alignment horizontal="left" wrapText="1"/>
    </xf>
    <xf numFmtId="0" fontId="9" fillId="0" borderId="34" xfId="23" applyFont="1" applyBorder="1" applyAlignment="1" applyProtection="1">
      <alignment horizontal="left" shrinkToFit="1"/>
    </xf>
    <xf numFmtId="4" fontId="9" fillId="0" borderId="34" xfId="23" applyNumberFormat="1" applyFont="1" applyBorder="1" applyAlignment="1" applyProtection="1">
      <alignment shrinkToFit="1"/>
    </xf>
    <xf numFmtId="4" fontId="9" fillId="0" borderId="34" xfId="23" applyNumberFormat="1" applyFont="1" applyBorder="1" applyAlignment="1">
      <alignment horizontal="right"/>
      <protection locked="0"/>
    </xf>
    <xf numFmtId="39" fontId="9" fillId="0" borderId="34" xfId="23" applyNumberFormat="1" applyFont="1" applyBorder="1" applyAlignment="1">
      <alignment horizontal="center"/>
      <protection locked="0"/>
    </xf>
    <xf numFmtId="39" fontId="9" fillId="0" borderId="0" xfId="181" applyNumberFormat="1" applyFont="1" applyAlignment="1" applyProtection="1">
      <alignment horizontal="center"/>
      <protection locked="0"/>
    </xf>
    <xf numFmtId="0" fontId="13" fillId="0" borderId="0" xfId="181" applyFont="1" applyAlignment="1">
      <alignment vertical="top" wrapText="1"/>
    </xf>
    <xf numFmtId="0" fontId="2" fillId="0" borderId="0" xfId="181" applyAlignment="1" applyProtection="1">
      <alignment vertical="top" wrapText="1"/>
      <protection locked="0"/>
    </xf>
    <xf numFmtId="0" fontId="28" fillId="0" borderId="0" xfId="21"/>
    <xf numFmtId="0" fontId="30" fillId="0" borderId="0" xfId="146" applyFill="1" applyAlignment="1" applyProtection="1"/>
    <xf numFmtId="0" fontId="68" fillId="0" borderId="34" xfId="21" applyFont="1" applyBorder="1" applyAlignment="1" applyProtection="1">
      <alignment horizontal="left" vertical="center" wrapText="1"/>
      <protection locked="0"/>
    </xf>
    <xf numFmtId="2" fontId="9" fillId="0" borderId="34" xfId="21" applyNumberFormat="1" applyFont="1" applyBorder="1" applyProtection="1">
      <protection locked="0"/>
    </xf>
    <xf numFmtId="39" fontId="54" fillId="0" borderId="34" xfId="21" applyNumberFormat="1" applyFont="1" applyBorder="1" applyAlignment="1" applyProtection="1">
      <alignment horizontal="right"/>
      <protection locked="0"/>
    </xf>
    <xf numFmtId="39" fontId="9" fillId="0" borderId="34" xfId="21" applyNumberFormat="1" applyFont="1" applyBorder="1" applyAlignment="1" applyProtection="1">
      <alignment horizontal="right"/>
      <protection locked="0"/>
    </xf>
    <xf numFmtId="5" fontId="38" fillId="0" borderId="34" xfId="21" applyNumberFormat="1" applyFont="1" applyBorder="1" applyAlignment="1" applyProtection="1">
      <alignment horizontal="right"/>
      <protection locked="0"/>
    </xf>
    <xf numFmtId="39" fontId="9" fillId="0" borderId="0" xfId="181" applyNumberFormat="1" applyFont="1" applyAlignment="1" applyProtection="1">
      <alignment horizontal="center" wrapText="1"/>
      <protection locked="0"/>
    </xf>
    <xf numFmtId="0" fontId="13" fillId="0" borderId="0" xfId="181" applyFont="1" applyAlignment="1">
      <alignment vertical="center"/>
    </xf>
    <xf numFmtId="0" fontId="28" fillId="0" borderId="0" xfId="21" applyAlignment="1">
      <alignment vertical="center"/>
    </xf>
    <xf numFmtId="49" fontId="9" fillId="0" borderId="34" xfId="21" applyNumberFormat="1" applyFont="1" applyBorder="1" applyAlignment="1" applyProtection="1">
      <alignment horizontal="right" wrapText="1"/>
      <protection locked="0"/>
    </xf>
    <xf numFmtId="0" fontId="54" fillId="0" borderId="34" xfId="21" applyFont="1" applyBorder="1" applyAlignment="1" applyProtection="1">
      <alignment horizontal="left" wrapText="1"/>
      <protection locked="0"/>
    </xf>
    <xf numFmtId="4" fontId="54" fillId="0" borderId="34" xfId="21" applyNumberFormat="1" applyFont="1" applyBorder="1" applyAlignment="1" applyProtection="1">
      <alignment horizontal="right"/>
      <protection locked="0"/>
    </xf>
    <xf numFmtId="0" fontId="13" fillId="0" borderId="0" xfId="181" applyFont="1" applyAlignment="1">
      <alignment horizontal="left" vertical="center"/>
    </xf>
    <xf numFmtId="0" fontId="2" fillId="0" borderId="0" xfId="181" applyAlignment="1">
      <alignment horizontal="right" vertical="center"/>
    </xf>
    <xf numFmtId="0" fontId="2" fillId="0" borderId="0" xfId="181" applyAlignment="1">
      <alignment vertical="center"/>
    </xf>
    <xf numFmtId="0" fontId="28" fillId="0" borderId="0" xfId="21" applyAlignment="1" applyProtection="1">
      <alignment vertical="top"/>
      <protection locked="0"/>
    </xf>
    <xf numFmtId="0" fontId="28" fillId="0" borderId="0" xfId="21" applyAlignment="1" applyProtection="1">
      <alignment horizontal="right" vertical="center"/>
      <protection locked="0"/>
    </xf>
    <xf numFmtId="39" fontId="9" fillId="0" borderId="0" xfId="21" applyNumberFormat="1" applyFont="1" applyAlignment="1" applyProtection="1">
      <alignment horizontal="center"/>
      <protection locked="0"/>
    </xf>
    <xf numFmtId="0" fontId="28" fillId="0" borderId="0" xfId="21" applyAlignment="1" applyProtection="1">
      <alignment horizontal="left" vertical="top"/>
      <protection locked="0"/>
    </xf>
    <xf numFmtId="0" fontId="88" fillId="0" borderId="34" xfId="21" applyFont="1" applyBorder="1" applyAlignment="1" applyProtection="1">
      <alignment vertical="top" wrapText="1"/>
      <protection locked="0"/>
    </xf>
    <xf numFmtId="0" fontId="30" fillId="0" borderId="0" xfId="146" applyFill="1" applyBorder="1" applyAlignment="1" applyProtection="1">
      <alignment vertical="center"/>
    </xf>
    <xf numFmtId="39" fontId="81" fillId="0" borderId="0" xfId="181" applyNumberFormat="1" applyFont="1" applyAlignment="1" applyProtection="1">
      <alignment horizontal="right" vertical="center"/>
      <protection locked="0"/>
    </xf>
    <xf numFmtId="0" fontId="30" fillId="0" borderId="0" xfId="146" applyFill="1" applyAlignment="1" applyProtection="1">
      <alignment vertical="center"/>
    </xf>
    <xf numFmtId="0" fontId="18" fillId="0" borderId="0" xfId="89" applyFont="1" applyAlignment="1">
      <alignment horizontal="left" vertical="center"/>
    </xf>
    <xf numFmtId="0" fontId="163" fillId="0" borderId="0" xfId="89" applyFont="1" applyAlignment="1">
      <alignment horizontal="left" vertical="center"/>
    </xf>
    <xf numFmtId="0" fontId="161" fillId="0" borderId="52" xfId="89" applyFont="1" applyBorder="1" applyAlignment="1">
      <alignment horizontal="left" vertical="center"/>
    </xf>
    <xf numFmtId="0" fontId="112" fillId="0" borderId="0" xfId="21" applyFont="1" applyAlignment="1">
      <alignment vertical="center"/>
    </xf>
    <xf numFmtId="9" fontId="164" fillId="0" borderId="34" xfId="21" applyNumberFormat="1" applyFont="1" applyBorder="1" applyAlignment="1" applyProtection="1">
      <alignment horizontal="right"/>
      <protection locked="0"/>
    </xf>
    <xf numFmtId="37" fontId="111" fillId="0" borderId="34" xfId="89" applyNumberFormat="1" applyFont="1" applyBorder="1" applyAlignment="1" applyProtection="1">
      <alignment horizontal="right"/>
      <protection locked="0"/>
    </xf>
    <xf numFmtId="0" fontId="9" fillId="0" borderId="34" xfId="25" applyFont="1" applyBorder="1" applyAlignment="1" applyProtection="1">
      <alignment horizontal="left" shrinkToFit="1"/>
    </xf>
    <xf numFmtId="4" fontId="9" fillId="0" borderId="34" xfId="25" applyNumberFormat="1" applyFont="1" applyBorder="1" applyAlignment="1" applyProtection="1">
      <alignment shrinkToFit="1"/>
    </xf>
    <xf numFmtId="4" fontId="9" fillId="0" borderId="34" xfId="25" applyNumberFormat="1" applyFont="1" applyBorder="1" applyAlignment="1">
      <alignment horizontal="right"/>
      <protection locked="0"/>
    </xf>
    <xf numFmtId="2" fontId="9" fillId="0" borderId="34" xfId="89" applyNumberFormat="1" applyFont="1" applyBorder="1" applyProtection="1">
      <protection locked="0"/>
    </xf>
    <xf numFmtId="39" fontId="54" fillId="0" borderId="34" xfId="89" applyNumberFormat="1" applyFont="1" applyBorder="1" applyAlignment="1" applyProtection="1">
      <alignment horizontal="right"/>
      <protection locked="0"/>
    </xf>
    <xf numFmtId="39" fontId="9" fillId="0" borderId="34" xfId="89" applyNumberFormat="1" applyFont="1" applyBorder="1" applyAlignment="1" applyProtection="1">
      <alignment horizontal="right"/>
      <protection locked="0"/>
    </xf>
    <xf numFmtId="0" fontId="28" fillId="0" borderId="0" xfId="89"/>
    <xf numFmtId="49" fontId="9" fillId="0" borderId="34" xfId="89" applyNumberFormat="1" applyFont="1" applyBorder="1" applyAlignment="1" applyProtection="1">
      <alignment horizontal="right" wrapText="1"/>
      <protection locked="0"/>
    </xf>
    <xf numFmtId="0" fontId="28" fillId="0" borderId="0" xfId="89" applyAlignment="1" applyProtection="1">
      <alignment vertical="top"/>
      <protection locked="0"/>
    </xf>
    <xf numFmtId="0" fontId="28" fillId="0" borderId="0" xfId="89" applyAlignment="1" applyProtection="1">
      <alignment horizontal="right" vertical="center"/>
      <protection locked="0"/>
    </xf>
    <xf numFmtId="39" fontId="9" fillId="0" borderId="0" xfId="89" applyNumberFormat="1" applyFont="1" applyAlignment="1" applyProtection="1">
      <alignment horizontal="center"/>
      <protection locked="0"/>
    </xf>
    <xf numFmtId="0" fontId="165" fillId="0" borderId="0" xfId="89" applyFont="1" applyAlignment="1">
      <alignment horizontal="left" vertical="center"/>
    </xf>
    <xf numFmtId="0" fontId="161" fillId="0" borderId="0" xfId="89" applyFont="1" applyAlignment="1">
      <alignment vertical="center"/>
    </xf>
    <xf numFmtId="5" fontId="61" fillId="0" borderId="34" xfId="89" applyNumberFormat="1" applyFont="1" applyBorder="1" applyAlignment="1" applyProtection="1">
      <alignment horizontal="right"/>
      <protection locked="0"/>
    </xf>
    <xf numFmtId="39" fontId="9" fillId="0" borderId="34" xfId="25" applyNumberFormat="1" applyFont="1" applyBorder="1" applyAlignment="1">
      <alignment horizontal="center"/>
      <protection locked="0"/>
    </xf>
    <xf numFmtId="0" fontId="142" fillId="0" borderId="34" xfId="89" applyFont="1" applyBorder="1" applyAlignment="1" applyProtection="1">
      <alignment horizontal="right" vertical="top" wrapText="1"/>
      <protection locked="0"/>
    </xf>
    <xf numFmtId="0" fontId="111" fillId="0" borderId="34" xfId="21" applyFont="1" applyBorder="1" applyAlignment="1" applyProtection="1">
      <alignment horizontal="left" wrapText="1"/>
      <protection locked="0"/>
    </xf>
    <xf numFmtId="2" fontId="111" fillId="0" borderId="34" xfId="21" applyNumberFormat="1" applyFont="1" applyBorder="1" applyAlignment="1" applyProtection="1">
      <alignment horizontal="right"/>
      <protection locked="0"/>
    </xf>
    <xf numFmtId="172" fontId="29" fillId="0" borderId="0" xfId="23" applyNumberFormat="1" applyFont="1" applyAlignment="1">
      <alignment horizontal="left" vertical="top"/>
      <protection locked="0"/>
    </xf>
    <xf numFmtId="0" fontId="77" fillId="0" borderId="0" xfId="23" applyFont="1" applyAlignment="1">
      <alignment horizontal="right" vertical="center"/>
      <protection locked="0"/>
    </xf>
    <xf numFmtId="1" fontId="28" fillId="0" borderId="0" xfId="89" applyNumberFormat="1" applyAlignment="1" applyProtection="1">
      <alignment horizontal="right"/>
      <protection locked="0"/>
    </xf>
    <xf numFmtId="1" fontId="28" fillId="0" borderId="0" xfId="89" applyNumberFormat="1" applyAlignment="1" applyProtection="1">
      <alignment horizontal="left"/>
      <protection locked="0"/>
    </xf>
    <xf numFmtId="4" fontId="88" fillId="0" borderId="0" xfId="21" applyNumberFormat="1" applyFont="1" applyAlignment="1" applyProtection="1">
      <alignment vertical="top"/>
      <protection locked="0"/>
    </xf>
    <xf numFmtId="39" fontId="166" fillId="0" borderId="0" xfId="23" applyNumberFormat="1" applyFont="1" applyAlignment="1">
      <alignment horizontal="left" vertical="center"/>
      <protection locked="0"/>
    </xf>
    <xf numFmtId="0" fontId="166" fillId="0" borderId="0" xfId="23" applyFont="1" applyAlignment="1">
      <alignment horizontal="left" vertical="center"/>
      <protection locked="0"/>
    </xf>
    <xf numFmtId="0" fontId="106" fillId="0" borderId="0" xfId="25" applyFont="1" applyAlignment="1">
      <alignment horizontal="right" vertical="center"/>
      <protection locked="0"/>
    </xf>
    <xf numFmtId="0" fontId="71" fillId="0" borderId="0" xfId="23" applyFont="1" applyAlignment="1">
      <alignment horizontal="left" vertical="top"/>
      <protection locked="0"/>
    </xf>
    <xf numFmtId="37" fontId="153" fillId="0" borderId="0" xfId="89" applyNumberFormat="1" applyFont="1" applyAlignment="1" applyProtection="1">
      <alignment horizontal="right"/>
      <protection locked="0"/>
    </xf>
    <xf numFmtId="0" fontId="153" fillId="0" borderId="0" xfId="89" applyFont="1" applyAlignment="1" applyProtection="1">
      <alignment horizontal="left" wrapText="1"/>
      <protection locked="0"/>
    </xf>
    <xf numFmtId="176" fontId="153" fillId="0" borderId="0" xfId="89" applyNumberFormat="1" applyFont="1" applyAlignment="1" applyProtection="1">
      <alignment horizontal="right"/>
      <protection locked="0"/>
    </xf>
    <xf numFmtId="39" fontId="153" fillId="0" borderId="0" xfId="89" applyNumberFormat="1" applyFont="1" applyAlignment="1" applyProtection="1">
      <alignment horizontal="right"/>
      <protection locked="0"/>
    </xf>
    <xf numFmtId="0" fontId="167" fillId="0" borderId="0" xfId="89" applyFont="1" applyAlignment="1" applyProtection="1">
      <alignment horizontal="center" vertical="center"/>
      <protection locked="0"/>
    </xf>
    <xf numFmtId="0" fontId="28" fillId="0" borderId="0" xfId="89" applyAlignment="1" applyProtection="1">
      <alignment horizontal="left"/>
      <protection locked="0"/>
    </xf>
    <xf numFmtId="37" fontId="28" fillId="0" borderId="0" xfId="89" applyNumberFormat="1" applyAlignment="1" applyProtection="1">
      <alignment horizontal="right" vertical="top"/>
      <protection locked="0"/>
    </xf>
    <xf numFmtId="0" fontId="28" fillId="0" borderId="0" xfId="89" applyAlignment="1" applyProtection="1">
      <alignment horizontal="left" vertical="top" wrapText="1"/>
      <protection locked="0"/>
    </xf>
    <xf numFmtId="176" fontId="28" fillId="0" borderId="0" xfId="89" applyNumberFormat="1" applyAlignment="1" applyProtection="1">
      <alignment horizontal="right" vertical="top"/>
      <protection locked="0"/>
    </xf>
    <xf numFmtId="39" fontId="28" fillId="0" borderId="0" xfId="89" applyNumberFormat="1" applyAlignment="1" applyProtection="1">
      <alignment horizontal="right" vertical="top"/>
      <protection locked="0"/>
    </xf>
    <xf numFmtId="0" fontId="28" fillId="0" borderId="0" xfId="89" applyAlignment="1" applyProtection="1">
      <alignment horizontal="left" vertical="center"/>
      <protection locked="0"/>
    </xf>
    <xf numFmtId="0" fontId="61" fillId="0" borderId="39" xfId="89" applyFont="1" applyBorder="1" applyAlignment="1" applyProtection="1">
      <alignment horizontal="left"/>
      <protection locked="0"/>
    </xf>
    <xf numFmtId="0" fontId="80" fillId="0" borderId="40" xfId="89" applyFont="1" applyBorder="1" applyAlignment="1" applyProtection="1">
      <alignment horizontal="center"/>
      <protection locked="0"/>
    </xf>
    <xf numFmtId="176" fontId="80" fillId="0" borderId="40" xfId="89" applyNumberFormat="1" applyFont="1" applyBorder="1" applyAlignment="1" applyProtection="1">
      <alignment horizontal="right"/>
      <protection locked="0"/>
    </xf>
    <xf numFmtId="39" fontId="80" fillId="0" borderId="40" xfId="89" applyNumberFormat="1" applyFont="1" applyBorder="1" applyAlignment="1" applyProtection="1">
      <alignment horizontal="right"/>
      <protection locked="0"/>
    </xf>
    <xf numFmtId="39" fontId="61" fillId="0" borderId="33" xfId="89" applyNumberFormat="1" applyFont="1" applyBorder="1" applyAlignment="1" applyProtection="1">
      <alignment horizontal="right"/>
      <protection locked="0"/>
    </xf>
    <xf numFmtId="177" fontId="28" fillId="0" borderId="0" xfId="89" applyNumberFormat="1" applyAlignment="1" applyProtection="1">
      <alignment horizontal="right" vertical="top"/>
      <protection locked="0"/>
    </xf>
    <xf numFmtId="177" fontId="28" fillId="0" borderId="0" xfId="89" applyNumberFormat="1" applyAlignment="1" applyProtection="1">
      <alignment horizontal="center" vertical="top"/>
      <protection locked="0"/>
    </xf>
    <xf numFmtId="4" fontId="113" fillId="0" borderId="0" xfId="89" applyNumberFormat="1" applyFont="1" applyAlignment="1" applyProtection="1">
      <alignment horizontal="right" vertical="top"/>
      <protection locked="0"/>
    </xf>
    <xf numFmtId="37" fontId="80" fillId="0" borderId="0" xfId="89" applyNumberFormat="1" applyFont="1" applyAlignment="1" applyProtection="1">
      <alignment horizontal="right"/>
      <protection locked="0"/>
    </xf>
    <xf numFmtId="0" fontId="80" fillId="0" borderId="0" xfId="89" applyFont="1" applyAlignment="1" applyProtection="1">
      <alignment horizontal="left" wrapText="1"/>
      <protection locked="0"/>
    </xf>
    <xf numFmtId="0" fontId="9" fillId="0" borderId="0" xfId="89" applyFont="1" applyAlignment="1" applyProtection="1">
      <alignment horizontal="left" wrapText="1"/>
      <protection locked="0"/>
    </xf>
    <xf numFmtId="0" fontId="80" fillId="0" borderId="0" xfId="89" applyFont="1" applyAlignment="1" applyProtection="1">
      <alignment horizontal="center" wrapText="1"/>
      <protection locked="0"/>
    </xf>
    <xf numFmtId="176" fontId="80" fillId="0" borderId="0" xfId="89" applyNumberFormat="1" applyFont="1" applyAlignment="1" applyProtection="1">
      <alignment horizontal="right"/>
      <protection locked="0"/>
    </xf>
    <xf numFmtId="39" fontId="80" fillId="0" borderId="0" xfId="89" applyNumberFormat="1" applyFont="1" applyAlignment="1" applyProtection="1">
      <alignment horizontal="right"/>
      <protection locked="0"/>
    </xf>
    <xf numFmtId="39" fontId="9" fillId="0" borderId="0" xfId="89" applyNumberFormat="1" applyFont="1" applyAlignment="1" applyProtection="1">
      <alignment horizontal="right"/>
      <protection locked="0"/>
    </xf>
    <xf numFmtId="173" fontId="112" fillId="0" borderId="0" xfId="176" applyNumberFormat="1" applyFont="1" applyAlignment="1">
      <alignment vertical="center"/>
    </xf>
    <xf numFmtId="0" fontId="168" fillId="0" borderId="0" xfId="176" applyFont="1" applyAlignment="1">
      <alignment vertical="center"/>
    </xf>
    <xf numFmtId="173" fontId="168" fillId="0" borderId="0" xfId="176" applyNumberFormat="1" applyFont="1" applyAlignment="1">
      <alignment vertical="center"/>
    </xf>
    <xf numFmtId="0" fontId="15" fillId="0" borderId="0" xfId="176" applyFont="1" applyAlignment="1">
      <alignment vertical="center"/>
    </xf>
    <xf numFmtId="0" fontId="12" fillId="0" borderId="0" xfId="89" applyFont="1" applyAlignment="1" applyProtection="1">
      <alignment vertical="center" wrapText="1"/>
      <protection locked="0"/>
    </xf>
    <xf numFmtId="0" fontId="2" fillId="0" borderId="0" xfId="181" applyAlignment="1" applyProtection="1">
      <alignment vertical="top"/>
      <protection locked="0"/>
    </xf>
    <xf numFmtId="0" fontId="169" fillId="0" borderId="0" xfId="181" applyFont="1" applyAlignment="1" applyProtection="1">
      <alignment horizontal="left" vertical="top"/>
      <protection locked="0"/>
    </xf>
    <xf numFmtId="0" fontId="2" fillId="0" borderId="0" xfId="181"/>
    <xf numFmtId="0" fontId="88" fillId="0" borderId="0" xfId="181" applyFont="1"/>
    <xf numFmtId="172" fontId="59" fillId="0" borderId="0" xfId="154" applyNumberFormat="1" applyFont="1" applyAlignment="1">
      <alignment horizontal="left"/>
    </xf>
    <xf numFmtId="0" fontId="88" fillId="0" borderId="0" xfId="154" applyFont="1"/>
    <xf numFmtId="4" fontId="28" fillId="0" borderId="0" xfId="154" applyNumberFormat="1" applyAlignment="1" applyProtection="1">
      <alignment horizontal="center" vertical="center"/>
      <protection locked="0"/>
    </xf>
    <xf numFmtId="0" fontId="112" fillId="0" borderId="0" xfId="154" applyFont="1"/>
    <xf numFmtId="0" fontId="28" fillId="0" borderId="0" xfId="154" applyAlignment="1">
      <alignment horizontal="right"/>
    </xf>
    <xf numFmtId="49" fontId="9" fillId="0" borderId="0" xfId="154" applyNumberFormat="1" applyFont="1" applyAlignment="1">
      <alignment horizontal="left"/>
    </xf>
    <xf numFmtId="0" fontId="142" fillId="0" borderId="0" xfId="154" applyFont="1"/>
    <xf numFmtId="0" fontId="170" fillId="0" borderId="0" xfId="146" applyFont="1" applyFill="1" applyAlignment="1" applyProtection="1"/>
    <xf numFmtId="172" fontId="63" fillId="0" borderId="33" xfId="154" applyNumberFormat="1" applyFont="1" applyBorder="1" applyAlignment="1">
      <alignment horizontal="center" vertical="center" wrapText="1"/>
    </xf>
    <xf numFmtId="0" fontId="63" fillId="0" borderId="0" xfId="154" applyFont="1" applyAlignment="1">
      <alignment horizontal="left" vertical="center" wrapText="1"/>
    </xf>
    <xf numFmtId="172" fontId="61" fillId="0" borderId="0" xfId="154" applyNumberFormat="1" applyFont="1" applyAlignment="1" applyProtection="1">
      <alignment horizontal="right"/>
      <protection locked="0"/>
    </xf>
    <xf numFmtId="39" fontId="61" fillId="0" borderId="0" xfId="154" applyNumberFormat="1" applyFont="1" applyAlignment="1" applyProtection="1">
      <alignment horizontal="right"/>
      <protection locked="0"/>
    </xf>
    <xf numFmtId="0" fontId="88" fillId="0" borderId="0" xfId="154" applyFont="1" applyAlignment="1">
      <alignment vertical="center"/>
    </xf>
    <xf numFmtId="2" fontId="61" fillId="0" borderId="34" xfId="154" applyNumberFormat="1" applyFont="1" applyBorder="1" applyAlignment="1" applyProtection="1">
      <alignment horizontal="right"/>
      <protection locked="0"/>
    </xf>
    <xf numFmtId="39" fontId="61" fillId="0" borderId="34" xfId="154" applyNumberFormat="1" applyFont="1" applyBorder="1" applyAlignment="1" applyProtection="1">
      <alignment horizontal="right"/>
      <protection locked="0"/>
    </xf>
    <xf numFmtId="1" fontId="9" fillId="0" borderId="34" xfId="178" applyNumberFormat="1" applyFont="1" applyBorder="1" applyAlignment="1">
      <alignment horizontal="right"/>
      <protection locked="0"/>
    </xf>
    <xf numFmtId="172" fontId="9" fillId="0" borderId="34" xfId="154" applyNumberFormat="1" applyFont="1" applyBorder="1" applyAlignment="1" applyProtection="1">
      <alignment horizontal="right"/>
      <protection locked="0"/>
    </xf>
    <xf numFmtId="4" fontId="9" fillId="0" borderId="34" xfId="129" applyNumberFormat="1" applyFont="1" applyBorder="1" applyAlignment="1" applyProtection="1">
      <alignment horizontal="right"/>
      <protection locked="0"/>
    </xf>
    <xf numFmtId="172" fontId="54" fillId="0" borderId="34" xfId="154" applyNumberFormat="1" applyFont="1" applyBorder="1" applyAlignment="1" applyProtection="1">
      <alignment horizontal="right"/>
      <protection locked="0"/>
    </xf>
    <xf numFmtId="2" fontId="60" fillId="0" borderId="34" xfId="154" applyNumberFormat="1" applyFont="1" applyBorder="1" applyAlignment="1" applyProtection="1">
      <alignment horizontal="center"/>
      <protection locked="0"/>
    </xf>
    <xf numFmtId="2" fontId="9" fillId="0" borderId="0" xfId="154" applyNumberFormat="1" applyFont="1" applyAlignment="1" applyProtection="1">
      <alignment horizontal="left" vertical="top"/>
      <protection locked="0"/>
    </xf>
    <xf numFmtId="2" fontId="60" fillId="0" borderId="0" xfId="154" applyNumberFormat="1" applyFont="1" applyAlignment="1" applyProtection="1">
      <alignment horizontal="left" vertical="top"/>
      <protection locked="0"/>
    </xf>
    <xf numFmtId="49" fontId="9" fillId="0" borderId="34" xfId="178" applyNumberFormat="1" applyFont="1" applyBorder="1" applyAlignment="1">
      <alignment horizontal="right"/>
      <protection locked="0"/>
    </xf>
    <xf numFmtId="39" fontId="60" fillId="0" borderId="0" xfId="154" applyNumberFormat="1" applyFont="1"/>
    <xf numFmtId="39" fontId="28" fillId="0" borderId="0" xfId="154" applyNumberFormat="1"/>
    <xf numFmtId="0" fontId="60" fillId="0" borderId="0" xfId="154" applyFont="1" applyAlignment="1" applyProtection="1">
      <alignment horizontal="left" vertical="center"/>
      <protection locked="0"/>
    </xf>
    <xf numFmtId="0" fontId="60" fillId="0" borderId="0" xfId="154" applyFont="1" applyAlignment="1" applyProtection="1">
      <alignment horizontal="left" vertical="top"/>
      <protection locked="0"/>
    </xf>
    <xf numFmtId="37" fontId="61" fillId="0" borderId="34" xfId="25" applyNumberFormat="1" applyFont="1" applyBorder="1" applyAlignment="1">
      <alignment horizontal="right"/>
      <protection locked="0"/>
    </xf>
    <xf numFmtId="0" fontId="61" fillId="0" borderId="34" xfId="25" applyFont="1" applyBorder="1" applyAlignment="1">
      <alignment horizontal="left" wrapText="1"/>
      <protection locked="0"/>
    </xf>
    <xf numFmtId="4" fontId="61" fillId="0" borderId="34" xfId="25" applyNumberFormat="1" applyFont="1" applyBorder="1" applyAlignment="1">
      <alignment horizontal="right"/>
      <protection locked="0"/>
    </xf>
    <xf numFmtId="0" fontId="12" fillId="5" borderId="34" xfId="25" applyFill="1" applyBorder="1" applyAlignment="1">
      <alignment vertical="top"/>
      <protection locked="0"/>
    </xf>
    <xf numFmtId="0" fontId="171" fillId="0" borderId="0" xfId="25" applyFont="1" applyAlignment="1">
      <alignment horizontal="left" vertical="center"/>
      <protection locked="0"/>
    </xf>
    <xf numFmtId="0" fontId="99" fillId="0" borderId="0" xfId="25" applyFont="1" applyAlignment="1">
      <alignment horizontal="left" vertical="center"/>
      <protection locked="0"/>
    </xf>
    <xf numFmtId="0" fontId="9" fillId="0" borderId="34" xfId="25" applyFont="1" applyBorder="1" applyAlignment="1" applyProtection="1">
      <alignment horizontal="left" wrapText="1"/>
    </xf>
    <xf numFmtId="0" fontId="166" fillId="0" borderId="0" xfId="25" applyFont="1" applyAlignment="1">
      <alignment horizontal="left" vertical="center"/>
      <protection locked="0"/>
    </xf>
    <xf numFmtId="0" fontId="172" fillId="0" borderId="0" xfId="25" applyFont="1" applyAlignment="1">
      <alignment horizontal="left" vertical="center"/>
      <protection locked="0"/>
    </xf>
    <xf numFmtId="172" fontId="29" fillId="0" borderId="0" xfId="25" applyNumberFormat="1" applyFont="1" applyAlignment="1">
      <alignment horizontal="left" vertical="center"/>
      <protection locked="0"/>
    </xf>
    <xf numFmtId="0" fontId="77" fillId="0" borderId="0" xfId="25" applyFont="1" applyAlignment="1">
      <alignment horizontal="right" vertical="center"/>
      <protection locked="0"/>
    </xf>
    <xf numFmtId="0" fontId="12" fillId="0" borderId="0" xfId="25" applyAlignment="1">
      <alignment horizontal="left" vertical="center"/>
      <protection locked="0"/>
    </xf>
    <xf numFmtId="0" fontId="67" fillId="0" borderId="0" xfId="25" applyFont="1" applyAlignment="1">
      <alignment horizontal="left" vertical="center"/>
      <protection locked="0"/>
    </xf>
    <xf numFmtId="0" fontId="160" fillId="0" borderId="34" xfId="154" applyFont="1" applyBorder="1" applyAlignment="1" applyProtection="1">
      <alignment horizontal="right" vertical="center" wrapText="1"/>
      <protection locked="0"/>
    </xf>
    <xf numFmtId="0" fontId="160" fillId="0" borderId="34" xfId="154" applyFont="1" applyBorder="1" applyAlignment="1" applyProtection="1">
      <alignment vertical="top" wrapText="1"/>
      <protection locked="0"/>
    </xf>
    <xf numFmtId="0" fontId="173" fillId="0" borderId="0" xfId="25" applyFont="1" applyAlignment="1">
      <alignment horizontal="left" vertical="center"/>
      <protection locked="0"/>
    </xf>
    <xf numFmtId="37" fontId="60" fillId="0" borderId="0" xfId="25" applyNumberFormat="1" applyFont="1" applyAlignment="1">
      <alignment horizontal="left" vertical="center"/>
      <protection locked="0"/>
    </xf>
    <xf numFmtId="172" fontId="111" fillId="0" borderId="34" xfId="154" applyNumberFormat="1" applyFont="1" applyBorder="1" applyAlignment="1" applyProtection="1">
      <alignment horizontal="right"/>
      <protection locked="0"/>
    </xf>
    <xf numFmtId="39" fontId="166" fillId="0" borderId="0" xfId="25" applyNumberFormat="1" applyFont="1" applyAlignment="1">
      <alignment horizontal="left" vertical="center"/>
      <protection locked="0"/>
    </xf>
    <xf numFmtId="0" fontId="99" fillId="0" borderId="0" xfId="25" applyFont="1" applyAlignment="1">
      <alignment horizontal="left" vertical="top"/>
      <protection locked="0"/>
    </xf>
    <xf numFmtId="172" fontId="29" fillId="0" borderId="0" xfId="25" applyNumberFormat="1" applyFont="1" applyAlignment="1">
      <alignment horizontal="left" vertical="top"/>
      <protection locked="0"/>
    </xf>
    <xf numFmtId="172" fontId="61" fillId="0" borderId="34" xfId="154" applyNumberFormat="1" applyFont="1" applyBorder="1" applyAlignment="1" applyProtection="1">
      <alignment horizontal="right"/>
      <protection locked="0"/>
    </xf>
    <xf numFmtId="172" fontId="9" fillId="0" borderId="34" xfId="31" applyNumberFormat="1" applyFont="1" applyBorder="1" applyAlignment="1">
      <alignment horizontal="right"/>
      <protection locked="0"/>
    </xf>
    <xf numFmtId="0" fontId="172" fillId="0" borderId="0" xfId="25" applyFont="1" applyAlignment="1">
      <alignment horizontal="left" vertical="top"/>
      <protection locked="0"/>
    </xf>
    <xf numFmtId="0" fontId="174" fillId="0" borderId="0" xfId="146" applyFont="1" applyFill="1" applyAlignment="1" applyProtection="1"/>
    <xf numFmtId="0" fontId="75" fillId="0" borderId="34" xfId="154" applyFont="1" applyBorder="1" applyAlignment="1" applyProtection="1">
      <alignment horizontal="left" wrapText="1"/>
      <protection locked="0"/>
    </xf>
    <xf numFmtId="39" fontId="88" fillId="0" borderId="0" xfId="154" applyNumberFormat="1" applyFont="1"/>
    <xf numFmtId="1" fontId="80" fillId="0" borderId="0" xfId="154" applyNumberFormat="1" applyFont="1" applyAlignment="1" applyProtection="1">
      <alignment horizontal="right"/>
      <protection locked="0"/>
    </xf>
    <xf numFmtId="172" fontId="54" fillId="0" borderId="0" xfId="154" applyNumberFormat="1" applyFont="1" applyAlignment="1" applyProtection="1">
      <alignment horizontal="right"/>
      <protection locked="0"/>
    </xf>
    <xf numFmtId="172" fontId="153" fillId="0" borderId="0" xfId="154" applyNumberFormat="1" applyFont="1" applyAlignment="1" applyProtection="1">
      <alignment horizontal="right"/>
      <protection locked="0"/>
    </xf>
    <xf numFmtId="39" fontId="153" fillId="0" borderId="0" xfId="154" applyNumberFormat="1" applyFont="1" applyAlignment="1" applyProtection="1">
      <alignment horizontal="right"/>
      <protection locked="0"/>
    </xf>
    <xf numFmtId="172" fontId="28" fillId="0" borderId="0" xfId="154" applyNumberFormat="1" applyAlignment="1" applyProtection="1">
      <alignment horizontal="right" vertical="top"/>
      <protection locked="0"/>
    </xf>
    <xf numFmtId="39" fontId="28" fillId="0" borderId="0" xfId="154" applyNumberFormat="1" applyAlignment="1" applyProtection="1">
      <alignment horizontal="right" vertical="top"/>
      <protection locked="0"/>
    </xf>
    <xf numFmtId="172" fontId="80" fillId="0" borderId="40" xfId="154" applyNumberFormat="1" applyFont="1" applyBorder="1" applyAlignment="1" applyProtection="1">
      <alignment horizontal="right"/>
      <protection locked="0"/>
    </xf>
    <xf numFmtId="39" fontId="80" fillId="0" borderId="40" xfId="154" applyNumberFormat="1" applyFont="1" applyBorder="1" applyAlignment="1" applyProtection="1">
      <alignment horizontal="right"/>
      <protection locked="0"/>
    </xf>
    <xf numFmtId="39" fontId="61" fillId="0" borderId="33" xfId="154" applyNumberFormat="1" applyFont="1" applyBorder="1" applyAlignment="1" applyProtection="1">
      <alignment horizontal="right"/>
      <protection locked="0"/>
    </xf>
    <xf numFmtId="37" fontId="60" fillId="0" borderId="0" xfId="154" applyNumberFormat="1" applyFont="1" applyAlignment="1" applyProtection="1">
      <alignment horizontal="right"/>
      <protection locked="0"/>
    </xf>
    <xf numFmtId="37" fontId="170" fillId="0" borderId="0" xfId="146" applyNumberFormat="1" applyFont="1" applyFill="1" applyBorder="1" applyAlignment="1" applyProtection="1">
      <alignment horizontal="left" vertical="center"/>
      <protection locked="0"/>
    </xf>
    <xf numFmtId="0" fontId="139" fillId="0" borderId="0" xfId="154" applyFont="1" applyAlignment="1" applyProtection="1">
      <alignment horizontal="center" vertical="center" wrapText="1"/>
      <protection locked="0"/>
    </xf>
    <xf numFmtId="0" fontId="60" fillId="0" borderId="0" xfId="26" applyFont="1" applyAlignment="1">
      <alignment horizontal="left" vertical="center" wrapText="1"/>
      <protection locked="0"/>
    </xf>
    <xf numFmtId="0" fontId="61" fillId="0" borderId="0" xfId="154" applyFont="1" applyAlignment="1" applyProtection="1">
      <alignment horizontal="left" vertical="center"/>
      <protection locked="0"/>
    </xf>
    <xf numFmtId="2" fontId="61" fillId="0" borderId="0" xfId="154" applyNumberFormat="1" applyFont="1" applyAlignment="1" applyProtection="1">
      <alignment horizontal="right"/>
      <protection locked="0"/>
    </xf>
    <xf numFmtId="172" fontId="10" fillId="0" borderId="0" xfId="176" applyNumberFormat="1" applyFont="1" applyAlignment="1">
      <alignment vertical="center"/>
    </xf>
    <xf numFmtId="37" fontId="60" fillId="0" borderId="0" xfId="154" applyNumberFormat="1" applyFont="1" applyAlignment="1" applyProtection="1">
      <alignment horizontal="left" vertical="center"/>
      <protection locked="0"/>
    </xf>
    <xf numFmtId="39" fontId="9" fillId="0" borderId="0" xfId="154" applyNumberFormat="1" applyFont="1" applyAlignment="1" applyProtection="1">
      <alignment horizontal="right"/>
      <protection locked="0"/>
    </xf>
    <xf numFmtId="0" fontId="170" fillId="0" borderId="0" xfId="146" applyFont="1" applyFill="1" applyBorder="1" applyAlignment="1" applyProtection="1"/>
    <xf numFmtId="0" fontId="169" fillId="0" borderId="0" xfId="154" applyFont="1" applyAlignment="1" applyProtection="1">
      <alignment horizontal="left" vertical="top"/>
      <protection locked="0"/>
    </xf>
    <xf numFmtId="0" fontId="2" fillId="0" borderId="0" xfId="182"/>
    <xf numFmtId="0" fontId="2" fillId="0" borderId="0" xfId="182" applyAlignment="1">
      <alignment horizontal="left" vertical="top"/>
    </xf>
    <xf numFmtId="39" fontId="28" fillId="8" borderId="0" xfId="154" applyNumberFormat="1" applyFill="1" applyAlignment="1" applyProtection="1">
      <alignment horizontal="right" vertical="top"/>
      <protection locked="0"/>
    </xf>
    <xf numFmtId="0" fontId="11" fillId="0" borderId="0" xfId="154" applyFont="1" applyAlignment="1" applyProtection="1">
      <alignment horizontal="left" vertical="top"/>
      <protection locked="0"/>
    </xf>
    <xf numFmtId="0" fontId="11" fillId="0" borderId="0" xfId="154" applyFont="1" applyAlignment="1">
      <alignment horizontal="left" wrapText="1"/>
    </xf>
    <xf numFmtId="0" fontId="9" fillId="0" borderId="0" xfId="24" applyFont="1" applyAlignment="1" applyProtection="1">
      <alignment horizontal="left"/>
    </xf>
    <xf numFmtId="172" fontId="9" fillId="0" borderId="0" xfId="24" applyNumberFormat="1" applyFont="1" applyAlignment="1" applyProtection="1">
      <alignment horizontal="left"/>
    </xf>
    <xf numFmtId="0" fontId="59" fillId="0" borderId="0" xfId="24" applyFont="1" applyAlignment="1" applyProtection="1">
      <alignment horizontal="left"/>
    </xf>
    <xf numFmtId="0" fontId="12" fillId="0" borderId="0" xfId="24" applyFont="1" applyAlignment="1">
      <alignment horizontal="left" vertical="top"/>
      <protection locked="0"/>
    </xf>
    <xf numFmtId="0" fontId="11" fillId="0" borderId="0" xfId="24" applyFont="1" applyAlignment="1">
      <alignment horizontal="left" vertical="top"/>
      <protection locked="0"/>
    </xf>
    <xf numFmtId="0" fontId="63" fillId="0" borderId="33" xfId="154" applyFont="1" applyBorder="1" applyAlignment="1">
      <alignment horizontal="left" vertical="center" wrapText="1"/>
    </xf>
    <xf numFmtId="0" fontId="11" fillId="0" borderId="0" xfId="154" applyFont="1" applyAlignment="1">
      <alignment horizontal="center" vertical="center" wrapText="1"/>
    </xf>
    <xf numFmtId="0" fontId="113" fillId="0" borderId="0" xfId="154" applyFont="1"/>
    <xf numFmtId="39" fontId="61" fillId="5" borderId="0" xfId="154" applyNumberFormat="1" applyFont="1" applyFill="1" applyAlignment="1" applyProtection="1">
      <alignment horizontal="right"/>
      <protection locked="0"/>
    </xf>
    <xf numFmtId="0" fontId="175" fillId="0" borderId="0" xfId="154" applyFont="1" applyAlignment="1">
      <alignment vertical="center"/>
    </xf>
    <xf numFmtId="0" fontId="61" fillId="5" borderId="34" xfId="154" applyFont="1" applyFill="1" applyBorder="1" applyAlignment="1" applyProtection="1">
      <alignment horizontal="left" wrapText="1"/>
      <protection locked="0"/>
    </xf>
    <xf numFmtId="4" fontId="9" fillId="0" borderId="34" xfId="183" applyNumberFormat="1" applyFont="1" applyBorder="1" applyAlignment="1" applyProtection="1">
      <alignment horizontal="right"/>
      <protection locked="0"/>
    </xf>
    <xf numFmtId="39" fontId="11" fillId="0" borderId="0" xfId="154" applyNumberFormat="1" applyFont="1" applyAlignment="1" applyProtection="1">
      <alignment horizontal="center"/>
      <protection locked="0"/>
    </xf>
    <xf numFmtId="39" fontId="105" fillId="0" borderId="0" xfId="154" applyNumberFormat="1" applyFont="1" applyAlignment="1" applyProtection="1">
      <alignment horizontal="left" vertical="center"/>
      <protection locked="0"/>
    </xf>
    <xf numFmtId="49" fontId="54" fillId="0" borderId="34" xfId="154" applyNumberFormat="1" applyFont="1" applyBorder="1" applyAlignment="1" applyProtection="1">
      <alignment horizontal="right"/>
      <protection locked="0"/>
    </xf>
    <xf numFmtId="39" fontId="54" fillId="0" borderId="34" xfId="154" applyNumberFormat="1" applyFont="1" applyBorder="1" applyAlignment="1" applyProtection="1">
      <alignment horizontal="right"/>
      <protection locked="0"/>
    </xf>
    <xf numFmtId="49" fontId="54" fillId="0" borderId="34" xfId="154" applyNumberFormat="1" applyFont="1" applyBorder="1" applyAlignment="1" applyProtection="1">
      <alignment horizontal="left"/>
      <protection locked="0"/>
    </xf>
    <xf numFmtId="39" fontId="54" fillId="9" borderId="34" xfId="154" applyNumberFormat="1" applyFont="1" applyFill="1" applyBorder="1" applyAlignment="1" applyProtection="1">
      <alignment horizontal="right"/>
      <protection locked="0"/>
    </xf>
    <xf numFmtId="4" fontId="68" fillId="0" borderId="34" xfId="183" applyNumberFormat="1" applyFont="1" applyBorder="1" applyAlignment="1" applyProtection="1">
      <alignment horizontal="right"/>
      <protection locked="0"/>
    </xf>
    <xf numFmtId="49" fontId="9" fillId="0" borderId="34" xfId="154" applyNumberFormat="1" applyFont="1" applyBorder="1" applyAlignment="1" applyProtection="1">
      <alignment horizontal="right"/>
      <protection locked="0"/>
    </xf>
    <xf numFmtId="0" fontId="11" fillId="0" borderId="0" xfId="154" applyFont="1" applyAlignment="1" applyProtection="1">
      <alignment horizontal="right" vertical="top"/>
      <protection locked="0"/>
    </xf>
    <xf numFmtId="0" fontId="176" fillId="0" borderId="0" xfId="154" applyFont="1"/>
    <xf numFmtId="0" fontId="30" fillId="0" borderId="0" xfId="146" applyFill="1" applyBorder="1" applyAlignment="1" applyProtection="1"/>
    <xf numFmtId="0" fontId="87" fillId="0" borderId="0" xfId="154" applyFont="1"/>
    <xf numFmtId="0" fontId="28" fillId="0" borderId="0" xfId="154" applyAlignment="1">
      <alignment horizontal="right" vertical="center"/>
    </xf>
    <xf numFmtId="172" fontId="75" fillId="0" borderId="34" xfId="154" applyNumberFormat="1" applyFont="1" applyBorder="1" applyAlignment="1" applyProtection="1">
      <alignment horizontal="right"/>
      <protection locked="0"/>
    </xf>
    <xf numFmtId="39" fontId="75" fillId="9" borderId="34" xfId="154" applyNumberFormat="1" applyFont="1" applyFill="1" applyBorder="1" applyAlignment="1" applyProtection="1">
      <alignment horizontal="right"/>
      <protection locked="0"/>
    </xf>
    <xf numFmtId="39" fontId="74" fillId="0" borderId="34" xfId="154" applyNumberFormat="1" applyFont="1" applyBorder="1" applyAlignment="1" applyProtection="1">
      <alignment horizontal="center"/>
      <protection locked="0"/>
    </xf>
    <xf numFmtId="39" fontId="177" fillId="0" borderId="0" xfId="154" applyNumberFormat="1" applyFont="1" applyAlignment="1" applyProtection="1">
      <alignment horizontal="center"/>
      <protection locked="0"/>
    </xf>
    <xf numFmtId="0" fontId="178" fillId="0" borderId="0" xfId="154" applyFont="1" applyAlignment="1" applyProtection="1">
      <alignment horizontal="left" vertical="top"/>
      <protection locked="0"/>
    </xf>
    <xf numFmtId="6" fontId="122" fillId="0" borderId="0" xfId="154" applyNumberFormat="1" applyFont="1"/>
    <xf numFmtId="0" fontId="122" fillId="0" borderId="0" xfId="154" applyFont="1"/>
    <xf numFmtId="0" fontId="122" fillId="0" borderId="0" xfId="154" applyFont="1" applyAlignment="1">
      <alignment horizontal="right" vertical="center"/>
    </xf>
    <xf numFmtId="0" fontId="87" fillId="0" borderId="0" xfId="154" applyFont="1" applyAlignment="1" applyProtection="1">
      <alignment horizontal="right" vertical="top"/>
      <protection locked="0"/>
    </xf>
    <xf numFmtId="0" fontId="29" fillId="0" borderId="35" xfId="154" applyFont="1" applyBorder="1" applyAlignment="1" applyProtection="1">
      <alignment horizontal="left" vertical="top"/>
      <protection locked="0"/>
    </xf>
    <xf numFmtId="0" fontId="179" fillId="0" borderId="0" xfId="154" applyFont="1" applyAlignment="1" applyProtection="1">
      <alignment horizontal="right" vertical="center"/>
      <protection locked="0"/>
    </xf>
    <xf numFmtId="0" fontId="122" fillId="0" borderId="0" xfId="154" applyFont="1" applyAlignment="1" applyProtection="1">
      <alignment vertical="top"/>
      <protection locked="0"/>
    </xf>
    <xf numFmtId="173" fontId="180" fillId="0" borderId="0" xfId="154" applyNumberFormat="1" applyFont="1" applyAlignment="1" applyProtection="1">
      <alignment vertical="center"/>
      <protection locked="0"/>
    </xf>
    <xf numFmtId="0" fontId="181" fillId="0" borderId="0" xfId="154" applyFont="1" applyAlignment="1" applyProtection="1">
      <alignment vertical="center"/>
      <protection locked="0"/>
    </xf>
    <xf numFmtId="4" fontId="179" fillId="0" borderId="0" xfId="154" applyNumberFormat="1" applyFont="1" applyAlignment="1" applyProtection="1">
      <alignment horizontal="center" vertical="center"/>
      <protection locked="0"/>
    </xf>
    <xf numFmtId="0" fontId="57" fillId="0" borderId="0" xfId="154" applyFont="1"/>
    <xf numFmtId="0" fontId="182" fillId="0" borderId="0" xfId="146" applyFont="1" applyFill="1" applyAlignment="1" applyProtection="1">
      <alignment horizontal="left" vertical="top"/>
      <protection locked="0"/>
    </xf>
    <xf numFmtId="172" fontId="9" fillId="0" borderId="34" xfId="154" applyNumberFormat="1" applyFont="1" applyBorder="1" applyProtection="1">
      <protection locked="0"/>
    </xf>
    <xf numFmtId="0" fontId="183" fillId="0" borderId="0" xfId="154" applyFont="1" applyAlignment="1" applyProtection="1">
      <alignment horizontal="right" vertical="center"/>
      <protection locked="0"/>
    </xf>
    <xf numFmtId="173" fontId="184" fillId="0" borderId="0" xfId="154" applyNumberFormat="1" applyFont="1" applyAlignment="1" applyProtection="1">
      <alignment vertical="center"/>
      <protection locked="0"/>
    </xf>
    <xf numFmtId="0" fontId="185" fillId="0" borderId="0" xfId="154" applyFont="1" applyAlignment="1" applyProtection="1">
      <alignment vertical="center"/>
      <protection locked="0"/>
    </xf>
    <xf numFmtId="4" fontId="183" fillId="0" borderId="0" xfId="154" applyNumberFormat="1" applyFont="1" applyAlignment="1" applyProtection="1">
      <alignment horizontal="center" vertical="center"/>
      <protection locked="0"/>
    </xf>
    <xf numFmtId="0" fontId="29" fillId="0" borderId="34" xfId="154" applyFont="1" applyBorder="1" applyAlignment="1" applyProtection="1">
      <alignment horizontal="left" vertical="center"/>
      <protection locked="0"/>
    </xf>
    <xf numFmtId="0" fontId="11" fillId="0" borderId="0" xfId="154" applyFont="1" applyAlignment="1" applyProtection="1">
      <alignment horizontal="left" vertical="center"/>
      <protection locked="0"/>
    </xf>
    <xf numFmtId="0" fontId="31" fillId="0" borderId="0" xfId="27" applyFill="1" applyAlignment="1" applyProtection="1">
      <alignment horizontal="left" vertical="top"/>
      <protection locked="0"/>
    </xf>
    <xf numFmtId="0" fontId="28" fillId="0" borderId="0" xfId="154" applyAlignment="1">
      <alignment horizontal="center"/>
    </xf>
    <xf numFmtId="1" fontId="9" fillId="0" borderId="34" xfId="32" applyNumberFormat="1" applyFont="1" applyBorder="1" applyAlignment="1">
      <alignment horizontal="right"/>
    </xf>
    <xf numFmtId="0" fontId="11" fillId="0" borderId="0" xfId="154" applyFont="1"/>
    <xf numFmtId="0" fontId="49" fillId="0" borderId="0" xfId="146" applyFont="1" applyFill="1" applyAlignment="1" applyProtection="1"/>
    <xf numFmtId="6" fontId="28" fillId="0" borderId="0" xfId="154" applyNumberFormat="1"/>
    <xf numFmtId="0" fontId="11" fillId="0" borderId="0" xfId="146" applyFont="1" applyFill="1" applyAlignment="1" applyProtection="1">
      <alignment horizontal="right"/>
    </xf>
    <xf numFmtId="0" fontId="160" fillId="0" borderId="34" xfId="154" applyFont="1" applyBorder="1" applyAlignment="1" applyProtection="1">
      <alignment horizontal="right" vertical="center"/>
      <protection locked="0"/>
    </xf>
    <xf numFmtId="39" fontId="11" fillId="0" borderId="0" xfId="154" applyNumberFormat="1" applyFont="1" applyAlignment="1" applyProtection="1">
      <alignment horizontal="left" vertical="center"/>
      <protection locked="0"/>
    </xf>
    <xf numFmtId="0" fontId="17" fillId="0" borderId="0" xfId="154" applyFont="1"/>
    <xf numFmtId="39" fontId="105" fillId="0" borderId="0" xfId="154" applyNumberFormat="1" applyFont="1" applyAlignment="1" applyProtection="1">
      <alignment horizontal="left"/>
      <protection locked="0"/>
    </xf>
    <xf numFmtId="0" fontId="50" fillId="0" borderId="0" xfId="154" applyFont="1"/>
    <xf numFmtId="39" fontId="186" fillId="0" borderId="0" xfId="154" applyNumberFormat="1" applyFont="1" applyAlignment="1" applyProtection="1">
      <alignment horizontal="left"/>
      <protection locked="0"/>
    </xf>
    <xf numFmtId="0" fontId="11" fillId="0" borderId="0" xfId="146" applyFont="1" applyFill="1" applyAlignment="1" applyProtection="1"/>
    <xf numFmtId="0" fontId="54" fillId="5" borderId="34" xfId="154" applyFont="1" applyFill="1" applyBorder="1" applyAlignment="1" applyProtection="1">
      <alignment horizontal="left" wrapText="1"/>
      <protection locked="0"/>
    </xf>
    <xf numFmtId="0" fontId="88" fillId="0" borderId="34" xfId="154" applyFont="1" applyBorder="1" applyAlignment="1" applyProtection="1">
      <alignment vertical="top" wrapText="1"/>
      <protection locked="0"/>
    </xf>
    <xf numFmtId="0" fontId="17" fillId="0" borderId="0" xfId="154" applyFont="1" applyAlignment="1" applyProtection="1">
      <alignment horizontal="right"/>
      <protection locked="0"/>
    </xf>
    <xf numFmtId="39" fontId="11" fillId="0" borderId="0" xfId="154" applyNumberFormat="1" applyFont="1" applyAlignment="1" applyProtection="1">
      <alignment horizontal="left"/>
      <protection locked="0"/>
    </xf>
    <xf numFmtId="0" fontId="17" fillId="0" borderId="0" xfId="154" applyFont="1" applyAlignment="1" applyProtection="1">
      <alignment horizontal="right" vertical="top"/>
      <protection locked="0"/>
    </xf>
    <xf numFmtId="0" fontId="187" fillId="0" borderId="0" xfId="146" applyFont="1" applyFill="1" applyAlignment="1" applyProtection="1">
      <alignment vertical="top"/>
    </xf>
    <xf numFmtId="0" fontId="11" fillId="0" borderId="0" xfId="154" applyFont="1" applyAlignment="1" applyProtection="1">
      <alignment horizontal="center"/>
      <protection locked="0"/>
    </xf>
    <xf numFmtId="0" fontId="101" fillId="0" borderId="0" xfId="154" applyFont="1"/>
    <xf numFmtId="8" fontId="11" fillId="0" borderId="0" xfId="154" applyNumberFormat="1" applyFont="1"/>
    <xf numFmtId="0" fontId="11" fillId="0" borderId="0" xfId="154" applyFont="1" applyAlignment="1" applyProtection="1">
      <alignment horizontal="center" vertical="center"/>
      <protection locked="0"/>
    </xf>
    <xf numFmtId="0" fontId="11" fillId="0" borderId="0" xfId="154" applyFont="1" applyAlignment="1" applyProtection="1">
      <alignment vertical="top"/>
      <protection locked="0"/>
    </xf>
    <xf numFmtId="0" fontId="11" fillId="0" borderId="0" xfId="146" applyFont="1" applyFill="1" applyAlignment="1" applyProtection="1">
      <alignment horizontal="center"/>
    </xf>
    <xf numFmtId="0" fontId="11" fillId="0" borderId="0" xfId="154" applyFont="1" applyAlignment="1">
      <alignment vertical="top"/>
    </xf>
    <xf numFmtId="39" fontId="11" fillId="0" borderId="0" xfId="154" applyNumberFormat="1" applyFont="1" applyAlignment="1" applyProtection="1">
      <alignment horizontal="center" vertical="center"/>
      <protection locked="0"/>
    </xf>
    <xf numFmtId="39" fontId="188" fillId="0" borderId="0" xfId="154" applyNumberFormat="1" applyFont="1" applyAlignment="1" applyProtection="1">
      <alignment horizontal="left"/>
      <protection locked="0"/>
    </xf>
    <xf numFmtId="0" fontId="11" fillId="0" borderId="0" xfId="154" applyFont="1" applyAlignment="1" applyProtection="1">
      <alignment horizontal="center" vertical="top"/>
      <protection locked="0"/>
    </xf>
    <xf numFmtId="0" fontId="186" fillId="0" borderId="0" xfId="154" applyFont="1" applyAlignment="1" applyProtection="1">
      <alignment horizontal="left"/>
      <protection locked="0"/>
    </xf>
    <xf numFmtId="0" fontId="28" fillId="0" borderId="0" xfId="154" applyAlignment="1">
      <alignment vertical="top"/>
    </xf>
    <xf numFmtId="39" fontId="186" fillId="0" borderId="0" xfId="154" applyNumberFormat="1" applyFont="1" applyAlignment="1" applyProtection="1">
      <alignment horizontal="left" vertical="center"/>
      <protection locked="0"/>
    </xf>
    <xf numFmtId="0" fontId="90" fillId="0" borderId="0" xfId="154" applyFont="1" applyAlignment="1">
      <alignment vertical="center"/>
    </xf>
    <xf numFmtId="0" fontId="28" fillId="0" borderId="0" xfId="154" applyAlignment="1">
      <alignment vertical="center"/>
    </xf>
    <xf numFmtId="0" fontId="186" fillId="0" borderId="0" xfId="154" applyFont="1"/>
    <xf numFmtId="0" fontId="57" fillId="0" borderId="0" xfId="154" applyFont="1" applyAlignment="1">
      <alignment horizontal="right" vertical="center"/>
    </xf>
    <xf numFmtId="0" fontId="57" fillId="0" borderId="0" xfId="154" applyFont="1" applyAlignment="1">
      <alignment vertical="top"/>
    </xf>
    <xf numFmtId="0" fontId="11" fillId="0" borderId="0" xfId="154" applyFont="1" applyAlignment="1" applyProtection="1">
      <alignment horizontal="left"/>
      <protection locked="0"/>
    </xf>
    <xf numFmtId="49" fontId="61" fillId="0" borderId="34" xfId="154" applyNumberFormat="1" applyFont="1" applyBorder="1" applyAlignment="1" applyProtection="1">
      <alignment horizontal="right"/>
      <protection locked="0"/>
    </xf>
    <xf numFmtId="3" fontId="28" fillId="0" borderId="0" xfId="154" applyNumberFormat="1"/>
    <xf numFmtId="39" fontId="147" fillId="0" borderId="0" xfId="154" applyNumberFormat="1" applyFont="1"/>
    <xf numFmtId="49" fontId="80" fillId="0" borderId="34" xfId="154" applyNumberFormat="1" applyFont="1" applyBorder="1" applyAlignment="1" applyProtection="1">
      <alignment horizontal="right"/>
      <protection locked="0"/>
    </xf>
    <xf numFmtId="172" fontId="68" fillId="0" borderId="34" xfId="154" applyNumberFormat="1" applyFont="1" applyBorder="1" applyAlignment="1" applyProtection="1">
      <alignment horizontal="right"/>
      <protection locked="0"/>
    </xf>
    <xf numFmtId="39" fontId="80" fillId="0" borderId="34" xfId="154" applyNumberFormat="1" applyFont="1" applyBorder="1" applyAlignment="1" applyProtection="1">
      <alignment horizontal="right"/>
      <protection locked="0"/>
    </xf>
    <xf numFmtId="37" fontId="30" fillId="0" borderId="0" xfId="146" applyNumberFormat="1" applyFill="1" applyBorder="1" applyAlignment="1" applyProtection="1">
      <alignment horizontal="left" vertical="center"/>
      <protection locked="0"/>
    </xf>
    <xf numFmtId="0" fontId="10" fillId="0" borderId="0" xfId="176" applyFont="1" applyAlignment="1">
      <alignment horizontal="left" vertical="center"/>
    </xf>
    <xf numFmtId="37" fontId="17" fillId="0" borderId="0" xfId="154" applyNumberFormat="1" applyFont="1" applyAlignment="1" applyProtection="1">
      <alignment horizontal="left" vertical="center"/>
      <protection locked="0"/>
    </xf>
    <xf numFmtId="39" fontId="11" fillId="0" borderId="0" xfId="154" applyNumberFormat="1" applyFont="1" applyAlignment="1" applyProtection="1">
      <alignment horizontal="right"/>
      <protection locked="0"/>
    </xf>
    <xf numFmtId="0" fontId="11" fillId="0" borderId="0" xfId="176" applyAlignment="1">
      <alignment vertical="center"/>
    </xf>
    <xf numFmtId="0" fontId="11" fillId="0" borderId="0" xfId="176" applyAlignment="1">
      <alignment horizontal="center" vertical="center" wrapText="1"/>
    </xf>
    <xf numFmtId="0" fontId="12" fillId="0" borderId="0" xfId="154" applyFont="1" applyAlignment="1" applyProtection="1">
      <alignment horizontal="left" vertical="center" wrapText="1"/>
      <protection locked="0"/>
    </xf>
    <xf numFmtId="172" fontId="12" fillId="0" borderId="0" xfId="154" applyNumberFormat="1" applyFont="1" applyAlignment="1" applyProtection="1">
      <alignment vertical="center" wrapText="1"/>
      <protection locked="0"/>
    </xf>
    <xf numFmtId="0" fontId="104" fillId="0" borderId="0" xfId="154" applyFont="1" applyAlignment="1">
      <alignment horizontal="left"/>
    </xf>
    <xf numFmtId="0" fontId="63" fillId="0" borderId="33" xfId="156" applyFont="1" applyBorder="1" applyAlignment="1">
      <alignment horizontal="center" vertical="center" wrapText="1"/>
    </xf>
    <xf numFmtId="0" fontId="189" fillId="0" borderId="53" xfId="154" applyFont="1" applyBorder="1" applyAlignment="1">
      <alignment horizontal="left" vertical="center"/>
    </xf>
    <xf numFmtId="0" fontId="190" fillId="0" borderId="0" xfId="122" applyFont="1" applyFill="1" applyBorder="1" applyAlignment="1" applyProtection="1">
      <alignment horizontal="left" vertical="center"/>
    </xf>
    <xf numFmtId="176" fontId="61" fillId="0" borderId="0" xfId="154" applyNumberFormat="1" applyFont="1" applyAlignment="1" applyProtection="1">
      <alignment horizontal="right"/>
      <protection locked="0"/>
    </xf>
    <xf numFmtId="0" fontId="175" fillId="0" borderId="0" xfId="154" applyFont="1" applyAlignment="1">
      <alignment horizontal="left" vertical="center"/>
    </xf>
    <xf numFmtId="37" fontId="61" fillId="5" borderId="34" xfId="25" applyNumberFormat="1" applyFont="1" applyFill="1" applyBorder="1" applyAlignment="1">
      <alignment horizontal="right"/>
      <protection locked="0"/>
    </xf>
    <xf numFmtId="0" fontId="61" fillId="5" borderId="34" xfId="25" applyFont="1" applyFill="1" applyBorder="1" applyAlignment="1">
      <alignment horizontal="left" wrapText="1"/>
      <protection locked="0"/>
    </xf>
    <xf numFmtId="4" fontId="61" fillId="5" borderId="34" xfId="25" applyNumberFormat="1" applyFont="1" applyFill="1" applyBorder="1" applyAlignment="1">
      <alignment horizontal="right"/>
      <protection locked="0"/>
    </xf>
    <xf numFmtId="0" fontId="30" fillId="0" borderId="0" xfId="146" applyFill="1" applyAlignment="1">
      <alignment horizontal="left" vertical="center"/>
      <protection locked="0"/>
    </xf>
    <xf numFmtId="0" fontId="191" fillId="0" borderId="0" xfId="146" applyFont="1" applyFill="1" applyAlignment="1" applyProtection="1">
      <alignment horizontal="left"/>
    </xf>
    <xf numFmtId="0" fontId="77" fillId="0" borderId="0" xfId="25" applyFont="1" applyAlignment="1">
      <alignment horizontal="left" vertical="center"/>
      <protection locked="0"/>
    </xf>
    <xf numFmtId="0" fontId="192" fillId="0" borderId="0" xfId="146" applyFont="1" applyFill="1" applyAlignment="1" applyProtection="1">
      <alignment horizontal="left"/>
    </xf>
    <xf numFmtId="0" fontId="193" fillId="0" borderId="0" xfId="154" applyFont="1" applyAlignment="1" applyProtection="1">
      <alignment horizontal="left" vertical="center"/>
      <protection locked="0"/>
    </xf>
    <xf numFmtId="0" fontId="12" fillId="0" borderId="0" xfId="25" applyAlignment="1">
      <alignment horizontal="right" vertical="center"/>
      <protection locked="0"/>
    </xf>
    <xf numFmtId="39" fontId="116" fillId="0" borderId="34" xfId="154" applyNumberFormat="1" applyFont="1" applyBorder="1" applyAlignment="1" applyProtection="1">
      <alignment horizontal="right"/>
      <protection locked="0"/>
    </xf>
    <xf numFmtId="0" fontId="192" fillId="0" borderId="0" xfId="146" applyFont="1" applyFill="1" applyAlignment="1" applyProtection="1">
      <alignment horizontal="left" vertical="top"/>
      <protection locked="0"/>
    </xf>
    <xf numFmtId="0" fontId="80" fillId="0" borderId="0" xfId="154" applyFont="1" applyAlignment="1" applyProtection="1">
      <alignment horizontal="left" vertical="center" wrapText="1"/>
      <protection locked="0"/>
    </xf>
    <xf numFmtId="0" fontId="54" fillId="0" borderId="0" xfId="154" applyFont="1" applyAlignment="1" applyProtection="1">
      <alignment horizontal="left" vertical="center" wrapText="1"/>
      <protection locked="0"/>
    </xf>
    <xf numFmtId="2" fontId="54" fillId="0" borderId="0" xfId="154" applyNumberFormat="1" applyFont="1" applyAlignment="1" applyProtection="1">
      <alignment horizontal="left" vertical="center"/>
      <protection locked="0"/>
    </xf>
    <xf numFmtId="2" fontId="54" fillId="0" borderId="0" xfId="154" applyNumberFormat="1" applyFont="1" applyAlignment="1" applyProtection="1">
      <alignment horizontal="right" vertical="center"/>
      <protection locked="0"/>
    </xf>
    <xf numFmtId="39" fontId="9" fillId="0" borderId="0" xfId="154" applyNumberFormat="1" applyFont="1" applyAlignment="1" applyProtection="1">
      <alignment horizontal="right" vertical="center"/>
      <protection locked="0"/>
    </xf>
    <xf numFmtId="37" fontId="9" fillId="0" borderId="0" xfId="154" applyNumberFormat="1" applyFont="1" applyAlignment="1" applyProtection="1">
      <alignment horizontal="right"/>
      <protection locked="0"/>
    </xf>
    <xf numFmtId="0" fontId="54" fillId="0" borderId="0" xfId="154" applyFont="1" applyAlignment="1">
      <alignment horizontal="left" wrapText="1"/>
    </xf>
    <xf numFmtId="2" fontId="9" fillId="0" borderId="0" xfId="154" applyNumberFormat="1" applyFont="1" applyAlignment="1" applyProtection="1">
      <alignment horizontal="right"/>
      <protection locked="0"/>
    </xf>
    <xf numFmtId="39" fontId="116" fillId="0" borderId="0" xfId="154" applyNumberFormat="1" applyFont="1" applyAlignment="1" applyProtection="1">
      <alignment horizontal="right"/>
      <protection locked="0"/>
    </xf>
    <xf numFmtId="2" fontId="54" fillId="0" borderId="34" xfId="154" applyNumberFormat="1" applyFont="1" applyBorder="1" applyAlignment="1" applyProtection="1">
      <alignment horizontal="left"/>
      <protection locked="0"/>
    </xf>
    <xf numFmtId="39" fontId="68" fillId="9" borderId="34" xfId="154" applyNumberFormat="1" applyFont="1" applyFill="1" applyBorder="1" applyAlignment="1" applyProtection="1">
      <alignment horizontal="right"/>
      <protection locked="0"/>
    </xf>
    <xf numFmtId="4" fontId="54" fillId="0" borderId="34" xfId="184" applyNumberFormat="1" applyFont="1" applyBorder="1" applyAlignment="1" applyProtection="1">
      <alignment horizontal="right"/>
      <protection locked="0"/>
    </xf>
    <xf numFmtId="0" fontId="71" fillId="0" borderId="0" xfId="154" applyFont="1" applyAlignment="1" applyProtection="1">
      <alignment horizontal="left" vertical="center"/>
      <protection locked="0"/>
    </xf>
    <xf numFmtId="0" fontId="57" fillId="0" borderId="0" xfId="154" applyFont="1" applyAlignment="1">
      <alignment vertical="center"/>
    </xf>
    <xf numFmtId="2" fontId="54" fillId="0" borderId="0" xfId="154" applyNumberFormat="1" applyFont="1" applyAlignment="1" applyProtection="1">
      <alignment horizontal="right"/>
      <protection locked="0"/>
    </xf>
    <xf numFmtId="39" fontId="80" fillId="0" borderId="0" xfId="154" applyNumberFormat="1" applyFont="1" applyAlignment="1" applyProtection="1">
      <alignment horizontal="right"/>
      <protection locked="0"/>
    </xf>
    <xf numFmtId="0" fontId="194" fillId="0" borderId="0" xfId="154" applyFont="1" applyAlignment="1" applyProtection="1">
      <alignment horizontal="left" vertical="center"/>
      <protection locked="0"/>
    </xf>
    <xf numFmtId="0" fontId="30" fillId="0" borderId="0" xfId="146" applyFill="1" applyAlignment="1" applyProtection="1">
      <alignment horizontal="left" vertical="center"/>
      <protection locked="0"/>
    </xf>
    <xf numFmtId="39" fontId="54" fillId="0" borderId="0" xfId="154" applyNumberFormat="1" applyFont="1" applyAlignment="1" applyProtection="1">
      <alignment horizontal="right"/>
      <protection locked="0"/>
    </xf>
    <xf numFmtId="2" fontId="54" fillId="0" borderId="0" xfId="154" applyNumberFormat="1" applyFont="1" applyAlignment="1" applyProtection="1">
      <alignment horizontal="left"/>
      <protection locked="0"/>
    </xf>
    <xf numFmtId="37" fontId="80" fillId="0" borderId="0" xfId="154" applyNumberFormat="1" applyFont="1" applyAlignment="1" applyProtection="1">
      <alignment horizontal="right" vertical="center"/>
      <protection locked="0"/>
    </xf>
    <xf numFmtId="39" fontId="54" fillId="0" borderId="0" xfId="154" applyNumberFormat="1" applyFont="1" applyAlignment="1" applyProtection="1">
      <alignment horizontal="right" vertical="center"/>
      <protection locked="0"/>
    </xf>
    <xf numFmtId="0" fontId="195" fillId="0" borderId="0" xfId="146" applyFont="1" applyFill="1" applyAlignment="1" applyProtection="1"/>
    <xf numFmtId="0" fontId="54" fillId="0" borderId="34" xfId="154" applyFont="1" applyBorder="1" applyAlignment="1" applyProtection="1">
      <alignment horizontal="left" vertical="center" wrapText="1"/>
      <protection locked="0"/>
    </xf>
    <xf numFmtId="0" fontId="160" fillId="0" borderId="34" xfId="154" applyFont="1" applyBorder="1" applyAlignment="1" applyProtection="1">
      <alignment horizontal="right" wrapText="1"/>
      <protection locked="0"/>
    </xf>
    <xf numFmtId="0" fontId="196" fillId="0" borderId="0" xfId="25" applyFont="1" applyAlignment="1">
      <alignment horizontal="left" vertical="center"/>
      <protection locked="0"/>
    </xf>
    <xf numFmtId="176" fontId="153" fillId="0" borderId="0" xfId="154" applyNumberFormat="1" applyFont="1" applyAlignment="1" applyProtection="1">
      <alignment horizontal="right"/>
      <protection locked="0"/>
    </xf>
    <xf numFmtId="176" fontId="28" fillId="0" borderId="0" xfId="154" applyNumberFormat="1" applyAlignment="1" applyProtection="1">
      <alignment horizontal="right" vertical="top"/>
      <protection locked="0"/>
    </xf>
    <xf numFmtId="176" fontId="80" fillId="0" borderId="40" xfId="154" applyNumberFormat="1" applyFont="1" applyBorder="1" applyAlignment="1" applyProtection="1">
      <alignment horizontal="right"/>
      <protection locked="0"/>
    </xf>
    <xf numFmtId="37" fontId="137" fillId="0" borderId="0" xfId="154" applyNumberFormat="1" applyFont="1" applyAlignment="1" applyProtection="1">
      <alignment horizontal="left"/>
      <protection locked="0"/>
    </xf>
    <xf numFmtId="37" fontId="192" fillId="0" borderId="0" xfId="146" applyNumberFormat="1" applyFont="1" applyFill="1" applyBorder="1" applyAlignment="1" applyProtection="1">
      <alignment horizontal="left" vertical="center"/>
      <protection locked="0"/>
    </xf>
    <xf numFmtId="37" fontId="81" fillId="0" borderId="0" xfId="154" applyNumberFormat="1" applyFont="1" applyAlignment="1" applyProtection="1">
      <alignment horizontal="left" vertical="center"/>
      <protection locked="0"/>
    </xf>
    <xf numFmtId="0" fontId="192" fillId="0" borderId="0" xfId="146" applyFont="1" applyFill="1" applyBorder="1" applyAlignment="1" applyProtection="1">
      <alignment horizontal="left"/>
    </xf>
    <xf numFmtId="0" fontId="197" fillId="0" borderId="0" xfId="184" applyFont="1" applyAlignment="1">
      <alignment vertical="center"/>
    </xf>
    <xf numFmtId="0" fontId="197" fillId="0" borderId="0" xfId="184" applyFont="1" applyAlignment="1">
      <alignment horizontal="center" vertical="center"/>
    </xf>
    <xf numFmtId="178" fontId="197" fillId="0" borderId="0" xfId="184" applyNumberFormat="1" applyFont="1" applyAlignment="1">
      <alignment vertical="center"/>
    </xf>
    <xf numFmtId="0" fontId="197" fillId="0" borderId="0" xfId="184" applyFont="1" applyAlignment="1">
      <alignment horizontal="left" vertical="center" wrapText="1"/>
    </xf>
    <xf numFmtId="14" fontId="197" fillId="0" borderId="0" xfId="184" applyNumberFormat="1" applyFont="1" applyAlignment="1">
      <alignment horizontal="left" vertical="center"/>
    </xf>
    <xf numFmtId="0" fontId="197" fillId="0" borderId="0" xfId="184" applyFont="1" applyAlignment="1">
      <alignment vertical="center" wrapText="1"/>
    </xf>
    <xf numFmtId="49" fontId="198" fillId="10" borderId="0" xfId="184" applyNumberFormat="1" applyFont="1" applyFill="1" applyAlignment="1">
      <alignment vertical="center"/>
    </xf>
    <xf numFmtId="0" fontId="198" fillId="10" borderId="0" xfId="184" applyFont="1" applyFill="1" applyAlignment="1">
      <alignment vertical="center" wrapText="1"/>
    </xf>
    <xf numFmtId="0" fontId="198" fillId="10" borderId="0" xfId="184" applyFont="1" applyFill="1" applyAlignment="1">
      <alignment horizontal="center" vertical="center"/>
    </xf>
    <xf numFmtId="178" fontId="198" fillId="10" borderId="0" xfId="184" applyNumberFormat="1" applyFont="1" applyFill="1" applyAlignment="1">
      <alignment vertical="center" wrapText="1"/>
    </xf>
    <xf numFmtId="49" fontId="197" fillId="11" borderId="0" xfId="184" applyNumberFormat="1" applyFont="1" applyFill="1" applyAlignment="1">
      <alignment vertical="center"/>
    </xf>
    <xf numFmtId="0" fontId="197" fillId="11" borderId="0" xfId="184" applyFont="1" applyFill="1" applyAlignment="1">
      <alignment vertical="center" wrapText="1"/>
    </xf>
    <xf numFmtId="0" fontId="197" fillId="11" borderId="0" xfId="184" applyFont="1" applyFill="1" applyAlignment="1">
      <alignment horizontal="center" vertical="center"/>
    </xf>
    <xf numFmtId="179" fontId="197" fillId="11" borderId="0" xfId="184" applyNumberFormat="1" applyFont="1" applyFill="1" applyAlignment="1">
      <alignment horizontal="center" vertical="center"/>
    </xf>
    <xf numFmtId="178" fontId="197" fillId="11" borderId="0" xfId="184" applyNumberFormat="1" applyFont="1" applyFill="1" applyAlignment="1">
      <alignment vertical="center" wrapText="1"/>
    </xf>
    <xf numFmtId="178" fontId="197" fillId="11" borderId="0" xfId="184" applyNumberFormat="1" applyFont="1" applyFill="1" applyAlignment="1">
      <alignment vertical="center"/>
    </xf>
    <xf numFmtId="49" fontId="197" fillId="0" borderId="0" xfId="184" applyNumberFormat="1" applyFont="1" applyAlignment="1">
      <alignment vertical="center"/>
    </xf>
    <xf numFmtId="179" fontId="197" fillId="0" borderId="0" xfId="184" applyNumberFormat="1" applyFont="1" applyAlignment="1">
      <alignment horizontal="center" vertical="center"/>
    </xf>
    <xf numFmtId="178" fontId="197" fillId="0" borderId="0" xfId="184" applyNumberFormat="1" applyFont="1" applyAlignment="1">
      <alignment vertical="center" wrapText="1"/>
    </xf>
    <xf numFmtId="49" fontId="197" fillId="11" borderId="2" xfId="184" applyNumberFormat="1" applyFont="1" applyFill="1" applyBorder="1" applyAlignment="1">
      <alignment vertical="center"/>
    </xf>
    <xf numFmtId="0" fontId="197" fillId="11" borderId="2" xfId="184" applyFont="1" applyFill="1" applyBorder="1" applyAlignment="1">
      <alignment vertical="center" wrapText="1"/>
    </xf>
    <xf numFmtId="0" fontId="197" fillId="11" borderId="2" xfId="184" applyFont="1" applyFill="1" applyBorder="1" applyAlignment="1">
      <alignment horizontal="center" vertical="center"/>
    </xf>
    <xf numFmtId="179" fontId="197" fillId="11" borderId="2" xfId="184" applyNumberFormat="1" applyFont="1" applyFill="1" applyBorder="1" applyAlignment="1">
      <alignment horizontal="center" vertical="center"/>
    </xf>
    <xf numFmtId="178" fontId="197" fillId="11" borderId="2" xfId="184" applyNumberFormat="1" applyFont="1" applyFill="1" applyBorder="1" applyAlignment="1">
      <alignment vertical="center" wrapText="1"/>
    </xf>
    <xf numFmtId="178" fontId="197" fillId="11" borderId="2" xfId="184" applyNumberFormat="1" applyFont="1" applyFill="1" applyBorder="1" applyAlignment="1">
      <alignment vertical="center"/>
    </xf>
    <xf numFmtId="0" fontId="197" fillId="0" borderId="54" xfId="184" applyFont="1" applyBorder="1" applyAlignment="1">
      <alignment vertical="center"/>
    </xf>
    <xf numFmtId="0" fontId="200" fillId="0" borderId="0" xfId="184" applyFont="1" applyAlignment="1">
      <alignment horizontal="center"/>
    </xf>
    <xf numFmtId="0" fontId="59" fillId="0" borderId="0" xfId="23" applyFont="1" applyAlignment="1" applyProtection="1">
      <alignment horizontal="left"/>
    </xf>
    <xf numFmtId="0" fontId="12" fillId="0" borderId="0" xfId="23" applyAlignment="1">
      <alignment vertical="top"/>
      <protection locked="0"/>
    </xf>
    <xf numFmtId="0" fontId="12" fillId="0" borderId="0" xfId="23" applyAlignment="1" applyProtection="1">
      <alignment vertical="top"/>
    </xf>
    <xf numFmtId="0" fontId="2" fillId="0" borderId="0" xfId="185"/>
    <xf numFmtId="0" fontId="62" fillId="0" borderId="0" xfId="3" applyFont="1" applyAlignment="1" applyProtection="1">
      <alignment horizontal="left" vertical="center"/>
      <protection locked="0"/>
    </xf>
    <xf numFmtId="0" fontId="88" fillId="0" borderId="0" xfId="185" applyFont="1"/>
    <xf numFmtId="0" fontId="160" fillId="0" borderId="0" xfId="185" applyFont="1"/>
    <xf numFmtId="0" fontId="27" fillId="0" borderId="0" xfId="130" applyAlignment="1">
      <alignment vertical="top"/>
      <protection locked="0"/>
    </xf>
    <xf numFmtId="0" fontId="201" fillId="0" borderId="0" xfId="3" applyFont="1" applyAlignment="1" applyProtection="1">
      <alignment horizontal="left" vertical="center"/>
      <protection locked="0"/>
    </xf>
    <xf numFmtId="0" fontId="202" fillId="0" borderId="0" xfId="130" applyFont="1" applyAlignment="1">
      <alignment vertical="top"/>
      <protection locked="0"/>
    </xf>
    <xf numFmtId="0" fontId="59" fillId="0" borderId="0" xfId="185" applyFont="1" applyAlignment="1">
      <alignment horizontal="left"/>
    </xf>
    <xf numFmtId="0" fontId="60" fillId="0" borderId="0" xfId="185" applyFont="1" applyAlignment="1">
      <alignment horizontal="left"/>
    </xf>
    <xf numFmtId="0" fontId="59" fillId="0" borderId="0" xfId="185" applyFont="1" applyAlignment="1">
      <alignment horizontal="center"/>
    </xf>
    <xf numFmtId="0" fontId="203" fillId="0" borderId="0" xfId="185" applyFont="1" applyAlignment="1">
      <alignment horizontal="right" vertical="top"/>
    </xf>
    <xf numFmtId="0" fontId="63" fillId="0" borderId="33" xfId="185" applyFont="1" applyBorder="1" applyAlignment="1">
      <alignment horizontal="center" vertical="center" wrapText="1"/>
    </xf>
    <xf numFmtId="0" fontId="63" fillId="0" borderId="39" xfId="185" applyFont="1" applyBorder="1" applyAlignment="1">
      <alignment horizontal="center" vertical="center" wrapText="1"/>
    </xf>
    <xf numFmtId="0" fontId="63" fillId="0" borderId="15" xfId="185" applyFont="1" applyBorder="1" applyAlignment="1">
      <alignment horizontal="center" vertical="center" wrapText="1"/>
    </xf>
    <xf numFmtId="37" fontId="9" fillId="5" borderId="55" xfId="185" applyNumberFormat="1" applyFont="1" applyFill="1" applyBorder="1" applyAlignment="1" applyProtection="1">
      <alignment horizontal="right"/>
      <protection locked="0"/>
    </xf>
    <xf numFmtId="0" fontId="61" fillId="0" borderId="0" xfId="3" applyFont="1" applyAlignment="1" applyProtection="1">
      <alignment horizontal="left" wrapText="1"/>
      <protection locked="0"/>
    </xf>
    <xf numFmtId="0" fontId="61" fillId="5" borderId="55" xfId="185" applyFont="1" applyFill="1" applyBorder="1" applyAlignment="1" applyProtection="1">
      <alignment horizontal="left" wrapText="1"/>
      <protection locked="0"/>
    </xf>
    <xf numFmtId="2" fontId="61" fillId="5" borderId="55" xfId="185" applyNumberFormat="1" applyFont="1" applyFill="1" applyBorder="1" applyAlignment="1" applyProtection="1">
      <alignment horizontal="right"/>
      <protection locked="0"/>
    </xf>
    <xf numFmtId="39" fontId="61" fillId="5" borderId="55" xfId="185" applyNumberFormat="1" applyFont="1" applyFill="1" applyBorder="1" applyAlignment="1" applyProtection="1">
      <alignment horizontal="right"/>
      <protection locked="0"/>
    </xf>
    <xf numFmtId="39" fontId="204" fillId="5" borderId="55" xfId="185" applyNumberFormat="1" applyFont="1" applyFill="1" applyBorder="1" applyAlignment="1" applyProtection="1">
      <alignment horizontal="center"/>
      <protection locked="0"/>
    </xf>
    <xf numFmtId="37" fontId="9" fillId="0" borderId="34" xfId="3" applyNumberFormat="1" applyFont="1" applyBorder="1" applyAlignment="1" applyProtection="1">
      <alignment horizontal="right"/>
      <protection locked="0"/>
    </xf>
    <xf numFmtId="2" fontId="61" fillId="0" borderId="34" xfId="3" applyNumberFormat="1" applyFont="1" applyBorder="1" applyAlignment="1" applyProtection="1">
      <alignment horizontal="right"/>
      <protection locked="0"/>
    </xf>
    <xf numFmtId="39" fontId="61" fillId="0" borderId="34" xfId="3" applyNumberFormat="1" applyFont="1" applyBorder="1" applyAlignment="1" applyProtection="1">
      <alignment horizontal="right"/>
      <protection locked="0"/>
    </xf>
    <xf numFmtId="173" fontId="11" fillId="0" borderId="0" xfId="3" applyNumberFormat="1" applyAlignment="1" applyProtection="1">
      <alignment horizontal="left" vertical="top"/>
      <protection locked="0"/>
    </xf>
    <xf numFmtId="0" fontId="205" fillId="0" borderId="0" xfId="3" applyFont="1" applyAlignment="1" applyProtection="1">
      <alignment vertical="top"/>
      <protection locked="0"/>
    </xf>
    <xf numFmtId="2" fontId="9" fillId="0" borderId="34" xfId="3" applyNumberFormat="1" applyFont="1" applyBorder="1" applyAlignment="1" applyProtection="1">
      <alignment horizontal="right"/>
      <protection locked="0"/>
    </xf>
    <xf numFmtId="39" fontId="9" fillId="0" borderId="34" xfId="3" applyNumberFormat="1" applyFont="1" applyBorder="1" applyAlignment="1" applyProtection="1">
      <alignment horizontal="right"/>
      <protection locked="0"/>
    </xf>
    <xf numFmtId="0" fontId="206" fillId="0" borderId="0" xfId="3" applyFont="1" applyAlignment="1" applyProtection="1">
      <alignment horizontal="left" vertical="center"/>
      <protection locked="0"/>
    </xf>
    <xf numFmtId="173" fontId="2" fillId="0" borderId="0" xfId="3" applyNumberFormat="1" applyFont="1" applyAlignment="1" applyProtection="1">
      <alignment horizontal="left" vertical="top"/>
      <protection locked="0"/>
    </xf>
    <xf numFmtId="0" fontId="205" fillId="0" borderId="0" xfId="3" applyFont="1" applyAlignment="1" applyProtection="1">
      <alignment horizontal="left" vertical="top"/>
      <protection locked="0"/>
    </xf>
    <xf numFmtId="37" fontId="9" fillId="0" borderId="34" xfId="131" applyNumberFormat="1" applyFont="1" applyBorder="1" applyAlignment="1">
      <alignment horizontal="right"/>
      <protection locked="0"/>
    </xf>
    <xf numFmtId="0" fontId="9" fillId="0" borderId="34" xfId="131" applyFont="1" applyBorder="1" applyAlignment="1">
      <alignment horizontal="left" wrapText="1"/>
      <protection locked="0"/>
    </xf>
    <xf numFmtId="2" fontId="54" fillId="0" borderId="34" xfId="12" applyNumberFormat="1" applyFont="1" applyBorder="1" applyAlignment="1">
      <alignment horizontal="right"/>
      <protection locked="0"/>
    </xf>
    <xf numFmtId="39" fontId="9" fillId="0" borderId="34" xfId="131" applyNumberFormat="1" applyFont="1" applyBorder="1" applyAlignment="1">
      <alignment horizontal="right"/>
      <protection locked="0"/>
    </xf>
    <xf numFmtId="39" fontId="9" fillId="0" borderId="37" xfId="131" applyNumberFormat="1" applyFont="1" applyBorder="1" applyAlignment="1">
      <alignment horizontal="right"/>
      <protection locked="0"/>
    </xf>
    <xf numFmtId="0" fontId="12" fillId="0" borderId="18" xfId="131" applyBorder="1" applyAlignment="1">
      <alignment horizontal="left" vertical="top"/>
      <protection locked="0"/>
    </xf>
    <xf numFmtId="0" fontId="207" fillId="0" borderId="0" xfId="131" applyFont="1" applyAlignment="1">
      <alignment horizontal="left" vertical="top"/>
      <protection locked="0"/>
    </xf>
    <xf numFmtId="0" fontId="207" fillId="0" borderId="0" xfId="131" applyFont="1" applyAlignment="1">
      <alignment horizontal="left" vertical="center"/>
      <protection locked="0"/>
    </xf>
    <xf numFmtId="0" fontId="207" fillId="0" borderId="0" xfId="131" applyFont="1" applyAlignment="1">
      <alignment horizontal="center" vertical="center"/>
      <protection locked="0"/>
    </xf>
    <xf numFmtId="0" fontId="12" fillId="0" borderId="0" xfId="131" applyAlignment="1">
      <alignment horizontal="left" vertical="top"/>
      <protection locked="0"/>
    </xf>
    <xf numFmtId="0" fontId="150" fillId="0" borderId="0" xfId="131" applyFont="1" applyAlignment="1">
      <alignment horizontal="left" vertical="top"/>
      <protection locked="0"/>
    </xf>
    <xf numFmtId="37" fontId="61" fillId="0" borderId="34" xfId="3" applyNumberFormat="1" applyFont="1" applyBorder="1" applyAlignment="1" applyProtection="1">
      <alignment horizontal="right"/>
      <protection locked="0"/>
    </xf>
    <xf numFmtId="2" fontId="54" fillId="0" borderId="34" xfId="3" applyNumberFormat="1" applyFont="1" applyBorder="1" applyAlignment="1" applyProtection="1">
      <alignment horizontal="right"/>
      <protection locked="0"/>
    </xf>
    <xf numFmtId="39" fontId="9" fillId="0" borderId="34" xfId="131" applyNumberFormat="1" applyFont="1" applyBorder="1" applyAlignment="1">
      <alignment horizontal="center"/>
      <protection locked="0"/>
    </xf>
    <xf numFmtId="0" fontId="17" fillId="0" borderId="0" xfId="3" applyFont="1" applyAlignment="1" applyProtection="1">
      <alignment horizontal="left" vertical="top"/>
      <protection locked="0"/>
    </xf>
    <xf numFmtId="49" fontId="9" fillId="0" borderId="34" xfId="3" applyNumberFormat="1" applyFont="1" applyBorder="1" applyAlignment="1" applyProtection="1">
      <alignment horizontal="right" wrapText="1"/>
      <protection locked="0"/>
    </xf>
    <xf numFmtId="0" fontId="80" fillId="0" borderId="34" xfId="3" applyFont="1" applyBorder="1" applyAlignment="1" applyProtection="1">
      <alignment horizontal="left" vertical="center" wrapText="1"/>
      <protection locked="0"/>
    </xf>
    <xf numFmtId="39" fontId="80" fillId="0" borderId="34" xfId="3" applyNumberFormat="1" applyFont="1" applyBorder="1" applyAlignment="1" applyProtection="1">
      <alignment horizontal="right" vertical="center"/>
      <protection locked="0"/>
    </xf>
    <xf numFmtId="0" fontId="11" fillId="5" borderId="0" xfId="3" applyFill="1" applyAlignment="1" applyProtection="1">
      <alignment vertical="top"/>
      <protection locked="0"/>
    </xf>
    <xf numFmtId="173" fontId="66" fillId="0" borderId="0" xfId="3" applyNumberFormat="1" applyFont="1" applyAlignment="1" applyProtection="1">
      <alignment horizontal="right" vertical="top"/>
      <protection locked="0"/>
    </xf>
    <xf numFmtId="173" fontId="66" fillId="0" borderId="0" xfId="3" applyNumberFormat="1" applyFont="1" applyAlignment="1" applyProtection="1">
      <alignment horizontal="left" vertical="top"/>
      <protection locked="0"/>
    </xf>
    <xf numFmtId="0" fontId="60" fillId="0" borderId="0" xfId="3" applyFont="1" applyAlignment="1" applyProtection="1">
      <alignment horizontal="left" vertical="center"/>
      <protection locked="0"/>
    </xf>
    <xf numFmtId="0" fontId="81" fillId="0" borderId="0" xfId="3" applyFont="1" applyAlignment="1" applyProtection="1">
      <alignment horizontal="left" vertical="center"/>
      <protection locked="0"/>
    </xf>
    <xf numFmtId="37" fontId="153" fillId="0" borderId="0" xfId="185" applyNumberFormat="1" applyFont="1" applyAlignment="1">
      <alignment horizontal="right"/>
    </xf>
    <xf numFmtId="0" fontId="153" fillId="0" borderId="0" xfId="185" applyFont="1" applyAlignment="1">
      <alignment horizontal="left" wrapText="1"/>
    </xf>
    <xf numFmtId="176" fontId="153" fillId="0" borderId="0" xfId="185" applyNumberFormat="1" applyFont="1" applyAlignment="1">
      <alignment horizontal="right"/>
    </xf>
    <xf numFmtId="39" fontId="153" fillId="0" borderId="0" xfId="185" applyNumberFormat="1" applyFont="1" applyAlignment="1">
      <alignment horizontal="right"/>
    </xf>
    <xf numFmtId="0" fontId="2" fillId="0" borderId="0" xfId="185" applyAlignment="1">
      <alignment horizontal="left" vertical="top"/>
    </xf>
    <xf numFmtId="37" fontId="9" fillId="0" borderId="51" xfId="185" applyNumberFormat="1" applyFont="1" applyBorder="1" applyAlignment="1">
      <alignment horizontal="right"/>
    </xf>
    <xf numFmtId="0" fontId="9" fillId="0" borderId="51" xfId="185" applyFont="1" applyBorder="1" applyAlignment="1">
      <alignment horizontal="left" wrapText="1"/>
    </xf>
    <xf numFmtId="0" fontId="9" fillId="0" borderId="51" xfId="185" applyFont="1" applyBorder="1" applyAlignment="1">
      <alignment horizontal="center" wrapText="1"/>
    </xf>
    <xf numFmtId="176" fontId="9" fillId="0" borderId="51" xfId="185" applyNumberFormat="1" applyFont="1" applyBorder="1" applyAlignment="1">
      <alignment horizontal="right"/>
    </xf>
    <xf numFmtId="39" fontId="9" fillId="0" borderId="51" xfId="185" applyNumberFormat="1" applyFont="1" applyBorder="1" applyAlignment="1">
      <alignment horizontal="right"/>
    </xf>
    <xf numFmtId="0" fontId="169" fillId="0" borderId="0" xfId="185" applyFont="1" applyAlignment="1">
      <alignment horizontal="left" vertical="top"/>
    </xf>
    <xf numFmtId="0" fontId="61" fillId="0" borderId="39" xfId="3" applyFont="1" applyBorder="1" applyAlignment="1" applyProtection="1">
      <alignment horizontal="left"/>
      <protection locked="0"/>
    </xf>
    <xf numFmtId="0" fontId="80" fillId="0" borderId="40" xfId="185" applyFont="1" applyBorder="1" applyAlignment="1">
      <alignment horizontal="center"/>
    </xf>
    <xf numFmtId="176" fontId="80" fillId="0" borderId="40" xfId="185" applyNumberFormat="1" applyFont="1" applyBorder="1" applyAlignment="1">
      <alignment horizontal="right"/>
    </xf>
    <xf numFmtId="39" fontId="9" fillId="0" borderId="40" xfId="185" applyNumberFormat="1" applyFont="1" applyBorder="1" applyAlignment="1">
      <alignment horizontal="right"/>
    </xf>
    <xf numFmtId="39" fontId="61" fillId="0" borderId="33" xfId="185" applyNumberFormat="1" applyFont="1" applyBorder="1" applyAlignment="1">
      <alignment horizontal="right"/>
    </xf>
    <xf numFmtId="39" fontId="204" fillId="0" borderId="0" xfId="185" applyNumberFormat="1" applyFont="1" applyAlignment="1">
      <alignment horizontal="center"/>
    </xf>
    <xf numFmtId="37" fontId="80" fillId="0" borderId="0" xfId="185" applyNumberFormat="1" applyFont="1" applyAlignment="1">
      <alignment horizontal="right"/>
    </xf>
    <xf numFmtId="0" fontId="80" fillId="0" borderId="0" xfId="185" applyFont="1" applyAlignment="1">
      <alignment horizontal="left" wrapText="1"/>
    </xf>
    <xf numFmtId="0" fontId="9" fillId="0" borderId="0" xfId="185" applyFont="1" applyAlignment="1">
      <alignment horizontal="left" wrapText="1"/>
    </xf>
    <xf numFmtId="0" fontId="80" fillId="0" borderId="0" xfId="185" applyFont="1" applyAlignment="1">
      <alignment horizontal="center" wrapText="1"/>
    </xf>
    <xf numFmtId="176" fontId="80" fillId="0" borderId="0" xfId="185" applyNumberFormat="1" applyFont="1" applyAlignment="1">
      <alignment horizontal="right"/>
    </xf>
    <xf numFmtId="39" fontId="80" fillId="0" borderId="0" xfId="185" applyNumberFormat="1" applyFont="1" applyAlignment="1">
      <alignment horizontal="right"/>
    </xf>
    <xf numFmtId="39" fontId="9" fillId="0" borderId="0" xfId="185" applyNumberFormat="1" applyFont="1" applyAlignment="1">
      <alignment horizontal="right"/>
    </xf>
    <xf numFmtId="0" fontId="10" fillId="0" borderId="0" xfId="16" applyFont="1" applyAlignment="1">
      <alignment vertical="center"/>
    </xf>
    <xf numFmtId="0" fontId="10" fillId="0" borderId="0" xfId="16" applyFont="1" applyAlignment="1">
      <alignment horizontal="center" vertical="center" wrapText="1"/>
    </xf>
    <xf numFmtId="0" fontId="9" fillId="0" borderId="0" xfId="3" applyFont="1" applyAlignment="1">
      <alignment horizontal="left"/>
    </xf>
    <xf numFmtId="0" fontId="9" fillId="0" borderId="0" xfId="185" applyFont="1" applyAlignment="1">
      <alignment horizontal="left"/>
    </xf>
    <xf numFmtId="37" fontId="9" fillId="5" borderId="55" xfId="186" applyNumberFormat="1" applyFont="1" applyFill="1" applyBorder="1" applyAlignment="1" applyProtection="1">
      <alignment horizontal="right"/>
      <protection locked="0"/>
    </xf>
    <xf numFmtId="0" fontId="61" fillId="5" borderId="55" xfId="186" applyFont="1" applyFill="1" applyBorder="1" applyAlignment="1" applyProtection="1">
      <alignment horizontal="left" wrapText="1"/>
      <protection locked="0"/>
    </xf>
    <xf numFmtId="2" fontId="61" fillId="0" borderId="55" xfId="186" applyNumberFormat="1" applyFont="1" applyBorder="1" applyAlignment="1" applyProtection="1">
      <alignment horizontal="right"/>
      <protection locked="0"/>
    </xf>
    <xf numFmtId="39" fontId="61" fillId="0" borderId="55" xfId="186" applyNumberFormat="1" applyFont="1" applyBorder="1" applyAlignment="1" applyProtection="1">
      <alignment horizontal="right"/>
      <protection locked="0"/>
    </xf>
    <xf numFmtId="39" fontId="61" fillId="5" borderId="55" xfId="186" applyNumberFormat="1" applyFont="1" applyFill="1" applyBorder="1" applyAlignment="1" applyProtection="1">
      <alignment horizontal="right"/>
      <protection locked="0"/>
    </xf>
    <xf numFmtId="39" fontId="204" fillId="5" borderId="55" xfId="186" applyNumberFormat="1" applyFont="1" applyFill="1" applyBorder="1" applyAlignment="1" applyProtection="1">
      <alignment horizontal="center"/>
      <protection locked="0"/>
    </xf>
    <xf numFmtId="0" fontId="2" fillId="0" borderId="0" xfId="186"/>
    <xf numFmtId="0" fontId="208" fillId="0" borderId="18" xfId="3" applyFont="1" applyBorder="1"/>
    <xf numFmtId="2" fontId="9" fillId="0" borderId="34" xfId="131" applyNumberFormat="1" applyFont="1" applyBorder="1" applyAlignment="1">
      <alignment horizontal="right"/>
      <protection locked="0"/>
    </xf>
    <xf numFmtId="0" fontId="12" fillId="0" borderId="18" xfId="131" applyBorder="1" applyAlignment="1">
      <alignment horizontal="right" vertical="top"/>
      <protection locked="0"/>
    </xf>
    <xf numFmtId="49" fontId="9" fillId="0" borderId="34" xfId="3" applyNumberFormat="1" applyFont="1" applyBorder="1" applyAlignment="1" applyProtection="1">
      <alignment horizontal="left" vertical="center" wrapText="1"/>
      <protection locked="0"/>
    </xf>
    <xf numFmtId="0" fontId="9" fillId="0" borderId="34" xfId="3" applyFont="1" applyBorder="1" applyAlignment="1" applyProtection="1">
      <alignment horizontal="left" vertical="center" wrapText="1"/>
      <protection locked="0"/>
    </xf>
    <xf numFmtId="0" fontId="61" fillId="0" borderId="39" xfId="187" applyFont="1" applyBorder="1" applyAlignment="1">
      <alignment horizontal="left"/>
    </xf>
    <xf numFmtId="0" fontId="209" fillId="0" borderId="56" xfId="154" applyFont="1" applyBorder="1" applyAlignment="1">
      <alignment horizontal="left" vertical="center"/>
    </xf>
    <xf numFmtId="0" fontId="104" fillId="0" borderId="0" xfId="154" applyFont="1"/>
    <xf numFmtId="0" fontId="147" fillId="0" borderId="0" xfId="154" applyFont="1"/>
    <xf numFmtId="0" fontId="103" fillId="0" borderId="0" xfId="154" applyFont="1"/>
    <xf numFmtId="0" fontId="210" fillId="0" borderId="0" xfId="154" applyFont="1"/>
    <xf numFmtId="0" fontId="63" fillId="0" borderId="0" xfId="154" applyFont="1" applyAlignment="1">
      <alignment horizontal="center" vertical="center" wrapText="1"/>
    </xf>
    <xf numFmtId="0" fontId="11" fillId="0" borderId="0" xfId="154" applyFont="1" applyAlignment="1" applyProtection="1">
      <alignment horizontal="right"/>
      <protection locked="0"/>
    </xf>
    <xf numFmtId="0" fontId="94" fillId="0" borderId="0" xfId="154" applyFont="1" applyAlignment="1" applyProtection="1">
      <alignment horizontal="right" vertical="center"/>
      <protection locked="0"/>
    </xf>
    <xf numFmtId="0" fontId="11" fillId="0" borderId="0" xfId="154" applyFont="1" applyAlignment="1">
      <alignment horizontal="left" vertical="center"/>
    </xf>
    <xf numFmtId="0" fontId="94" fillId="0" borderId="34" xfId="154" applyFont="1" applyBorder="1" applyAlignment="1" applyProtection="1">
      <alignment horizontal="right" vertical="center"/>
      <protection locked="0"/>
    </xf>
    <xf numFmtId="0" fontId="92" fillId="0" borderId="0" xfId="154" applyFont="1" applyAlignment="1" applyProtection="1">
      <alignment horizontal="left" vertical="center"/>
      <protection locked="0"/>
    </xf>
    <xf numFmtId="49" fontId="68" fillId="0" borderId="34" xfId="154" applyNumberFormat="1" applyFont="1" applyBorder="1" applyAlignment="1" applyProtection="1">
      <alignment horizontal="right"/>
      <protection locked="0"/>
    </xf>
    <xf numFmtId="4" fontId="54" fillId="9" borderId="34" xfId="154" applyNumberFormat="1" applyFont="1" applyFill="1" applyBorder="1" applyAlignment="1" applyProtection="1">
      <alignment horizontal="right"/>
      <protection locked="0"/>
    </xf>
    <xf numFmtId="0" fontId="30" fillId="0" borderId="0" xfId="146" applyFill="1" applyBorder="1" applyAlignment="1" applyProtection="1">
      <alignment horizontal="left"/>
      <protection locked="0"/>
    </xf>
    <xf numFmtId="0" fontId="211" fillId="0" borderId="37" xfId="154" applyFont="1" applyBorder="1" applyAlignment="1" applyProtection="1">
      <alignment horizontal="center" vertical="top" wrapText="1"/>
      <protection locked="0"/>
    </xf>
    <xf numFmtId="0" fontId="11" fillId="0" borderId="0" xfId="154" applyFont="1" applyAlignment="1">
      <alignment vertical="top" wrapText="1"/>
    </xf>
    <xf numFmtId="0" fontId="30" fillId="0" borderId="0" xfId="146" applyFill="1" applyBorder="1" applyAlignment="1" applyProtection="1">
      <alignment horizontal="left" vertical="top"/>
      <protection locked="0"/>
    </xf>
    <xf numFmtId="0" fontId="11" fillId="0" borderId="0" xfId="154" applyFont="1" applyAlignment="1">
      <alignment vertical="center"/>
    </xf>
    <xf numFmtId="0" fontId="30" fillId="0" borderId="0" xfId="146" applyFill="1" applyBorder="1" applyAlignment="1" applyProtection="1">
      <alignment horizontal="left" vertical="center"/>
      <protection locked="0"/>
    </xf>
    <xf numFmtId="6" fontId="61" fillId="0" borderId="0" xfId="154" applyNumberFormat="1" applyFont="1" applyAlignment="1" applyProtection="1">
      <alignment horizontal="left" vertical="center"/>
      <protection locked="0"/>
    </xf>
    <xf numFmtId="173" fontId="11" fillId="0" borderId="0" xfId="154" applyNumberFormat="1" applyFont="1" applyAlignment="1">
      <alignment horizontal="left" vertical="center"/>
    </xf>
    <xf numFmtId="37" fontId="68" fillId="0" borderId="34" xfId="21" applyNumberFormat="1" applyFont="1" applyBorder="1" applyAlignment="1" applyProtection="1">
      <alignment horizontal="right"/>
      <protection locked="0"/>
    </xf>
    <xf numFmtId="0" fontId="68" fillId="0" borderId="34" xfId="21" applyFont="1" applyBorder="1" applyAlignment="1" applyProtection="1">
      <alignment horizontal="left" wrapText="1"/>
      <protection locked="0"/>
    </xf>
    <xf numFmtId="172" fontId="54" fillId="0" borderId="34" xfId="21" applyNumberFormat="1" applyFont="1" applyBorder="1" applyAlignment="1" applyProtection="1">
      <alignment horizontal="right"/>
      <protection locked="0"/>
    </xf>
    <xf numFmtId="4" fontId="68" fillId="9" borderId="34" xfId="21" applyNumberFormat="1" applyFont="1" applyFill="1" applyBorder="1" applyAlignment="1" applyProtection="1">
      <alignment horizontal="right"/>
      <protection locked="0"/>
    </xf>
    <xf numFmtId="0" fontId="67" fillId="0" borderId="0" xfId="154" applyFont="1" applyAlignment="1" applyProtection="1">
      <alignment vertical="center"/>
      <protection locked="0"/>
    </xf>
    <xf numFmtId="37" fontId="137" fillId="0" borderId="0" xfId="154" applyNumberFormat="1" applyFont="1" applyAlignment="1" applyProtection="1">
      <alignment horizontal="left" vertical="center"/>
      <protection locked="0"/>
    </xf>
    <xf numFmtId="0" fontId="9" fillId="0" borderId="0" xfId="154" applyFont="1" applyAlignment="1" applyProtection="1">
      <alignment horizontal="left" vertical="center" wrapText="1"/>
      <protection locked="0"/>
    </xf>
    <xf numFmtId="0" fontId="12" fillId="0" borderId="0" xfId="154" applyFont="1" applyAlignment="1" applyProtection="1">
      <alignment horizontal="right" vertical="center"/>
      <protection locked="0"/>
    </xf>
    <xf numFmtId="39" fontId="73" fillId="0" borderId="0" xfId="154" applyNumberFormat="1" applyFont="1" applyAlignment="1" applyProtection="1">
      <alignment horizontal="right" vertical="center"/>
      <protection locked="0"/>
    </xf>
    <xf numFmtId="39" fontId="212" fillId="0" borderId="0" xfId="154" applyNumberFormat="1" applyFont="1" applyAlignment="1" applyProtection="1">
      <alignment horizontal="center"/>
      <protection locked="0"/>
    </xf>
    <xf numFmtId="0" fontId="211" fillId="0" borderId="37" xfId="154" applyFont="1" applyBorder="1" applyAlignment="1" applyProtection="1">
      <alignment horizontal="left" vertical="top"/>
      <protection locked="0"/>
    </xf>
    <xf numFmtId="39" fontId="11" fillId="0" borderId="0" xfId="154" applyNumberFormat="1" applyFont="1"/>
    <xf numFmtId="37" fontId="11" fillId="0" borderId="0" xfId="154" applyNumberFormat="1" applyFont="1" applyAlignment="1" applyProtection="1">
      <alignment horizontal="right"/>
      <protection locked="0"/>
    </xf>
    <xf numFmtId="37" fontId="49" fillId="0" borderId="0" xfId="146" applyNumberFormat="1" applyFont="1" applyFill="1" applyBorder="1" applyAlignment="1" applyProtection="1">
      <alignment horizontal="left" vertical="center"/>
      <protection locked="0"/>
    </xf>
    <xf numFmtId="37" fontId="11" fillId="0" borderId="0" xfId="154" applyNumberFormat="1" applyFont="1" applyAlignment="1" applyProtection="1">
      <alignment horizontal="left" vertical="center"/>
      <protection locked="0"/>
    </xf>
    <xf numFmtId="0" fontId="49" fillId="0" borderId="0" xfId="146" applyFont="1" applyFill="1" applyBorder="1" applyAlignment="1" applyProtection="1"/>
    <xf numFmtId="0" fontId="2" fillId="0" borderId="0" xfId="187"/>
    <xf numFmtId="0" fontId="2" fillId="0" borderId="0" xfId="187" applyAlignment="1">
      <alignment horizontal="left" vertical="top"/>
    </xf>
    <xf numFmtId="4" fontId="16" fillId="0" borderId="0" xfId="8" applyNumberFormat="1" applyFont="1" applyAlignment="1">
      <alignment vertical="top"/>
    </xf>
    <xf numFmtId="0" fontId="11" fillId="0" borderId="0" xfId="154" applyFont="1" applyAlignment="1">
      <alignment horizontal="left" vertical="top"/>
    </xf>
    <xf numFmtId="0" fontId="2" fillId="0" borderId="0" xfId="154" applyFont="1"/>
    <xf numFmtId="49" fontId="28" fillId="0" borderId="0" xfId="154" applyNumberFormat="1" applyAlignment="1">
      <alignment horizontal="left"/>
    </xf>
    <xf numFmtId="0" fontId="28" fillId="0" borderId="0" xfId="154" applyAlignment="1">
      <alignment horizontal="left"/>
    </xf>
    <xf numFmtId="172" fontId="28" fillId="0" borderId="0" xfId="154" applyNumberFormat="1" applyAlignment="1">
      <alignment horizontal="left"/>
    </xf>
    <xf numFmtId="0" fontId="11" fillId="0" borderId="0" xfId="154" applyFont="1" applyAlignment="1">
      <alignment horizontal="right"/>
    </xf>
    <xf numFmtId="1" fontId="9" fillId="0" borderId="0" xfId="154" applyNumberFormat="1" applyFont="1" applyAlignment="1">
      <alignment horizontal="left"/>
    </xf>
    <xf numFmtId="0" fontId="81" fillId="0" borderId="0" xfId="154" applyFont="1" applyAlignment="1">
      <alignment horizontal="center"/>
    </xf>
    <xf numFmtId="172" fontId="9" fillId="0" borderId="0" xfId="154" applyNumberFormat="1" applyFont="1" applyAlignment="1">
      <alignment horizontal="left"/>
    </xf>
    <xf numFmtId="1" fontId="63" fillId="0" borderId="33" xfId="154" applyNumberFormat="1" applyFont="1" applyBorder="1" applyAlignment="1">
      <alignment horizontal="center" vertical="center" wrapText="1"/>
    </xf>
    <xf numFmtId="1" fontId="61" fillId="0" borderId="0" xfId="25" applyNumberFormat="1" applyFont="1" applyAlignment="1">
      <alignment horizontal="right"/>
      <protection locked="0"/>
    </xf>
    <xf numFmtId="0" fontId="61" fillId="0" borderId="0" xfId="25" applyFont="1" applyAlignment="1">
      <alignment horizontal="left" wrapText="1"/>
      <protection locked="0"/>
    </xf>
    <xf numFmtId="172" fontId="61" fillId="0" borderId="0" xfId="25" applyNumberFormat="1" applyFont="1" applyAlignment="1">
      <alignment horizontal="right"/>
      <protection locked="0"/>
    </xf>
    <xf numFmtId="4" fontId="61" fillId="0" borderId="0" xfId="25" applyNumberFormat="1" applyFont="1" applyAlignment="1">
      <alignment horizontal="right"/>
      <protection locked="0"/>
    </xf>
    <xf numFmtId="0" fontId="61" fillId="0" borderId="34" xfId="154" applyFont="1" applyBorder="1" applyAlignment="1">
      <alignment horizontal="left" wrapText="1"/>
    </xf>
    <xf numFmtId="0" fontId="2" fillId="0" borderId="0" xfId="154" applyFont="1" applyAlignment="1" applyProtection="1">
      <alignment horizontal="left" vertical="top"/>
      <protection locked="0"/>
    </xf>
    <xf numFmtId="0" fontId="11" fillId="0" borderId="34" xfId="154" applyFont="1" applyBorder="1" applyAlignment="1" applyProtection="1">
      <alignment horizontal="left" vertical="top" wrapText="1"/>
      <protection locked="0"/>
    </xf>
    <xf numFmtId="2" fontId="54" fillId="0" borderId="34" xfId="154" applyNumberFormat="1" applyFont="1" applyBorder="1" applyAlignment="1" applyProtection="1">
      <alignment horizontal="right"/>
      <protection locked="0"/>
    </xf>
    <xf numFmtId="2" fontId="9" fillId="0" borderId="34" xfId="154" applyNumberFormat="1" applyFont="1" applyBorder="1" applyAlignment="1" applyProtection="1">
      <alignment horizontal="center"/>
      <protection locked="0"/>
    </xf>
    <xf numFmtId="172" fontId="11" fillId="0" borderId="0" xfId="146" applyNumberFormat="1" applyFont="1" applyFill="1" applyAlignment="1" applyProtection="1">
      <alignment horizontal="left" vertical="top"/>
    </xf>
    <xf numFmtId="0" fontId="11" fillId="0" borderId="0" xfId="12" applyFont="1" applyAlignment="1">
      <alignment horizontal="left" vertical="top" wrapText="1"/>
      <protection locked="0"/>
    </xf>
    <xf numFmtId="0" fontId="11" fillId="0" borderId="0" xfId="12" applyFont="1" applyAlignment="1">
      <alignment horizontal="left" vertical="top"/>
      <protection locked="0"/>
    </xf>
    <xf numFmtId="4" fontId="11" fillId="0" borderId="0" xfId="154" applyNumberFormat="1" applyFont="1" applyAlignment="1" applyProtection="1">
      <alignment horizontal="center" vertical="center"/>
      <protection locked="0"/>
    </xf>
    <xf numFmtId="0" fontId="67" fillId="0" borderId="0" xfId="12" applyFont="1" applyAlignment="1">
      <alignment horizontal="right" vertical="top"/>
      <protection locked="0"/>
    </xf>
    <xf numFmtId="0" fontId="67" fillId="0" borderId="0" xfId="12" applyFont="1" applyAlignment="1">
      <alignment horizontal="left" vertical="top"/>
      <protection locked="0"/>
    </xf>
    <xf numFmtId="0" fontId="49" fillId="0" borderId="0" xfId="146" applyFont="1" applyFill="1" applyAlignment="1" applyProtection="1">
      <alignment horizontal="left" vertical="top"/>
    </xf>
    <xf numFmtId="1" fontId="9" fillId="0" borderId="34" xfId="12" applyNumberFormat="1" applyFont="1" applyBorder="1" applyAlignment="1">
      <alignment horizontal="right" wrapText="1"/>
      <protection locked="0"/>
    </xf>
    <xf numFmtId="4" fontId="68" fillId="0" borderId="34" xfId="130" applyNumberFormat="1" applyFont="1" applyBorder="1" applyAlignment="1">
      <alignment horizontal="right"/>
      <protection locked="0"/>
    </xf>
    <xf numFmtId="0" fontId="30" fillId="0" borderId="0" xfId="146" applyFill="1" applyAlignment="1">
      <alignment horizontal="left" vertical="top"/>
      <protection locked="0"/>
    </xf>
    <xf numFmtId="0" fontId="161" fillId="0" borderId="0" xfId="154" applyFont="1" applyAlignment="1">
      <alignment horizontal="left" vertical="top"/>
    </xf>
    <xf numFmtId="0" fontId="11" fillId="0" borderId="0" xfId="12" applyFont="1" applyAlignment="1">
      <alignment horizontal="right"/>
      <protection locked="0"/>
    </xf>
    <xf numFmtId="172" fontId="9" fillId="0" borderId="34" xfId="12" applyNumberFormat="1" applyFont="1" applyBorder="1" applyAlignment="1">
      <alignment horizontal="right"/>
      <protection locked="0"/>
    </xf>
    <xf numFmtId="172" fontId="54" fillId="0" borderId="34" xfId="12" applyNumberFormat="1" applyFont="1" applyBorder="1" applyAlignment="1">
      <alignment horizontal="right"/>
      <protection locked="0"/>
    </xf>
    <xf numFmtId="0" fontId="68" fillId="0" borderId="34" xfId="12" applyFont="1" applyBorder="1" applyAlignment="1">
      <alignment horizontal="left" wrapText="1"/>
      <protection locked="0"/>
    </xf>
    <xf numFmtId="2" fontId="9" fillId="0" borderId="34" xfId="154" applyNumberFormat="1" applyFont="1" applyBorder="1" applyAlignment="1" applyProtection="1">
      <alignment horizontal="center" vertical="center" wrapText="1"/>
      <protection locked="0"/>
    </xf>
    <xf numFmtId="0" fontId="86" fillId="0" borderId="0" xfId="146" applyFont="1" applyFill="1" applyAlignment="1" applyProtection="1">
      <alignment horizontal="right" vertical="center"/>
      <protection locked="0"/>
    </xf>
    <xf numFmtId="0" fontId="130" fillId="0" borderId="0" xfId="154" applyFont="1" applyAlignment="1" applyProtection="1">
      <alignment horizontal="left" vertical="center"/>
      <protection locked="0"/>
    </xf>
    <xf numFmtId="0" fontId="11" fillId="0" borderId="0" xfId="12" applyFont="1" applyAlignment="1">
      <alignment horizontal="left"/>
      <protection locked="0"/>
    </xf>
    <xf numFmtId="8" fontId="161" fillId="0" borderId="0" xfId="154" applyNumberFormat="1" applyFont="1" applyAlignment="1">
      <alignment horizontal="left" vertical="top"/>
    </xf>
    <xf numFmtId="39" fontId="11" fillId="0" borderId="0" xfId="12" applyNumberFormat="1" applyFont="1" applyAlignment="1">
      <alignment horizontal="left" vertical="top"/>
      <protection locked="0"/>
    </xf>
    <xf numFmtId="39" fontId="80" fillId="0" borderId="0" xfId="154" applyNumberFormat="1" applyFont="1" applyAlignment="1" applyProtection="1">
      <alignment horizontal="right" vertical="center"/>
      <protection locked="0"/>
    </xf>
    <xf numFmtId="39" fontId="76" fillId="0" borderId="34" xfId="12" applyNumberFormat="1" applyFont="1" applyBorder="1" applyAlignment="1">
      <alignment horizontal="right" vertical="center"/>
      <protection locked="0"/>
    </xf>
    <xf numFmtId="0" fontId="86" fillId="0" borderId="0" xfId="146" applyFont="1" applyFill="1" applyAlignment="1" applyProtection="1">
      <alignment horizontal="left" vertical="center"/>
      <protection locked="0"/>
    </xf>
    <xf numFmtId="39" fontId="11" fillId="0" borderId="0" xfId="154" applyNumberFormat="1" applyFont="1" applyAlignment="1">
      <alignment horizontal="left" vertical="top"/>
    </xf>
    <xf numFmtId="1" fontId="9" fillId="0" borderId="34" xfId="154" applyNumberFormat="1" applyFont="1" applyBorder="1" applyProtection="1">
      <protection locked="0"/>
    </xf>
    <xf numFmtId="49" fontId="9" fillId="0" borderId="34" xfId="154" applyNumberFormat="1" applyFont="1" applyBorder="1" applyProtection="1">
      <protection locked="0"/>
    </xf>
    <xf numFmtId="0" fontId="9" fillId="0" borderId="34" xfId="154" applyFont="1" applyBorder="1" applyProtection="1">
      <protection locked="0"/>
    </xf>
    <xf numFmtId="0" fontId="12" fillId="0" borderId="34" xfId="154" applyFont="1" applyBorder="1" applyAlignment="1" applyProtection="1">
      <alignment horizontal="left" vertical="top"/>
      <protection locked="0"/>
    </xf>
    <xf numFmtId="1" fontId="153" fillId="0" borderId="0" xfId="154" applyNumberFormat="1" applyFont="1" applyAlignment="1" applyProtection="1">
      <alignment horizontal="right"/>
      <protection locked="0"/>
    </xf>
    <xf numFmtId="1" fontId="28" fillId="0" borderId="0" xfId="154" applyNumberFormat="1" applyAlignment="1" applyProtection="1">
      <alignment horizontal="right" vertical="top"/>
      <protection locked="0"/>
    </xf>
    <xf numFmtId="4" fontId="11" fillId="0" borderId="0" xfId="154" applyNumberFormat="1" applyFont="1" applyAlignment="1" applyProtection="1">
      <alignment horizontal="left" vertical="top"/>
      <protection locked="0"/>
    </xf>
    <xf numFmtId="172" fontId="80" fillId="0" borderId="0" xfId="154" applyNumberFormat="1" applyFont="1" applyAlignment="1" applyProtection="1">
      <alignment horizontal="right"/>
      <protection locked="0"/>
    </xf>
    <xf numFmtId="1" fontId="10" fillId="0" borderId="0" xfId="176" applyNumberFormat="1" applyFont="1" applyAlignment="1">
      <alignment vertical="center"/>
    </xf>
    <xf numFmtId="0" fontId="11" fillId="0" borderId="0" xfId="176" applyAlignment="1">
      <alignment horizontal="left" vertical="top"/>
    </xf>
    <xf numFmtId="0" fontId="2" fillId="0" borderId="0" xfId="154" applyFont="1" applyAlignment="1" applyProtection="1">
      <alignment vertical="top"/>
      <protection locked="0"/>
    </xf>
    <xf numFmtId="0" fontId="161" fillId="0" borderId="0" xfId="187" applyFont="1" applyAlignment="1">
      <alignment horizontal="left" vertical="top"/>
    </xf>
    <xf numFmtId="1" fontId="28" fillId="0" borderId="0" xfId="154" applyNumberFormat="1"/>
    <xf numFmtId="172" fontId="28" fillId="0" borderId="0" xfId="154" applyNumberFormat="1" applyAlignment="1" applyProtection="1">
      <alignment horizontal="left" vertical="center"/>
      <protection locked="0"/>
    </xf>
    <xf numFmtId="4" fontId="28" fillId="0" borderId="0" xfId="154" applyNumberFormat="1" applyAlignment="1" applyProtection="1">
      <alignment horizontal="right" vertical="center"/>
      <protection locked="0"/>
    </xf>
    <xf numFmtId="4" fontId="94" fillId="0" borderId="0" xfId="154" applyNumberFormat="1" applyFont="1" applyAlignment="1" applyProtection="1">
      <alignment horizontal="left" vertical="center"/>
      <protection locked="0"/>
    </xf>
    <xf numFmtId="0" fontId="94" fillId="0" borderId="0" xfId="154" applyFont="1" applyAlignment="1" applyProtection="1">
      <alignment horizontal="left" vertical="center"/>
      <protection locked="0"/>
    </xf>
    <xf numFmtId="0" fontId="120" fillId="0" borderId="0" xfId="154" applyFont="1" applyAlignment="1" applyProtection="1">
      <alignment horizontal="right" vertical="center"/>
      <protection locked="0"/>
    </xf>
    <xf numFmtId="0" fontId="120" fillId="0" borderId="0" xfId="154" applyFont="1" applyAlignment="1" applyProtection="1">
      <alignment horizontal="left" vertical="center"/>
      <protection locked="0"/>
    </xf>
    <xf numFmtId="0" fontId="120" fillId="0" borderId="0" xfId="154" applyFont="1" applyAlignment="1">
      <alignment vertical="center"/>
    </xf>
    <xf numFmtId="172" fontId="120" fillId="0" borderId="0" xfId="154" applyNumberFormat="1" applyFont="1" applyAlignment="1" applyProtection="1">
      <alignment horizontal="left" vertical="center"/>
      <protection locked="0"/>
    </xf>
    <xf numFmtId="4" fontId="120" fillId="0" borderId="0" xfId="154" applyNumberFormat="1" applyFont="1" applyAlignment="1" applyProtection="1">
      <alignment horizontal="right" vertical="center"/>
      <protection locked="0"/>
    </xf>
    <xf numFmtId="0" fontId="214" fillId="0" borderId="0" xfId="154" applyFont="1" applyAlignment="1" applyProtection="1">
      <alignment horizontal="left" vertical="center"/>
      <protection locked="0"/>
    </xf>
    <xf numFmtId="172" fontId="28" fillId="0" borderId="0" xfId="154" applyNumberFormat="1"/>
    <xf numFmtId="0" fontId="12" fillId="0" borderId="0" xfId="25" applyAlignment="1" applyProtection="1">
      <alignment vertical="top"/>
    </xf>
    <xf numFmtId="0" fontId="6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59" fillId="0" borderId="0" xfId="0" applyFont="1" applyAlignment="1" applyProtection="1">
      <alignment horizontal="left"/>
    </xf>
    <xf numFmtId="0" fontId="0" fillId="0" borderId="0" xfId="0" applyAlignment="1">
      <alignment horizontal="left" vertical="top"/>
      <protection locked="0"/>
    </xf>
    <xf numFmtId="0" fontId="101" fillId="0" borderId="0" xfId="0" applyFont="1" applyAlignment="1">
      <alignment horizontal="right" vertical="top"/>
      <protection locked="0"/>
    </xf>
    <xf numFmtId="0" fontId="63" fillId="0" borderId="33" xfId="0" applyFont="1" applyBorder="1" applyAlignment="1" applyProtection="1">
      <alignment horizontal="center" vertical="center" wrapText="1"/>
    </xf>
    <xf numFmtId="49" fontId="63" fillId="0" borderId="33" xfId="0" applyNumberFormat="1" applyFont="1" applyBorder="1" applyAlignment="1" applyProtection="1">
      <alignment horizontal="center" vertical="center" wrapText="1"/>
    </xf>
    <xf numFmtId="2" fontId="63" fillId="0" borderId="33" xfId="0" applyNumberFormat="1" applyFont="1" applyBorder="1" applyAlignment="1" applyProtection="1">
      <alignment horizontal="center" vertical="center" wrapText="1"/>
    </xf>
    <xf numFmtId="39" fontId="88" fillId="0" borderId="0" xfId="0" applyNumberFormat="1" applyFont="1" applyAlignment="1">
      <alignment horizontal="left" vertical="top"/>
      <protection locked="0"/>
    </xf>
    <xf numFmtId="0" fontId="95" fillId="0" borderId="0" xfId="0" applyFont="1" applyAlignment="1">
      <alignment horizontal="left" vertical="center"/>
      <protection locked="0"/>
    </xf>
    <xf numFmtId="37" fontId="61" fillId="0" borderId="49" xfId="0" applyNumberFormat="1" applyFont="1" applyBorder="1" applyAlignment="1">
      <alignment horizontal="right"/>
      <protection locked="0"/>
    </xf>
    <xf numFmtId="49" fontId="61" fillId="0" borderId="49" xfId="0" applyNumberFormat="1" applyFont="1" applyBorder="1" applyAlignment="1">
      <alignment horizontal="left" wrapText="1"/>
      <protection locked="0"/>
    </xf>
    <xf numFmtId="0" fontId="61" fillId="0" borderId="49" xfId="0" applyFont="1" applyBorder="1" applyAlignment="1">
      <alignment horizontal="left" wrapText="1"/>
      <protection locked="0"/>
    </xf>
    <xf numFmtId="0" fontId="61" fillId="0" borderId="0" xfId="0" applyFont="1" applyAlignment="1">
      <alignment horizontal="left" wrapText="1"/>
      <protection locked="0"/>
    </xf>
    <xf numFmtId="2" fontId="61" fillId="0" borderId="49" xfId="0" applyNumberFormat="1" applyFont="1" applyBorder="1" applyAlignment="1">
      <alignment horizontal="right"/>
      <protection locked="0"/>
    </xf>
    <xf numFmtId="173" fontId="61" fillId="0" borderId="49" xfId="0" applyNumberFormat="1" applyFont="1" applyBorder="1" applyAlignment="1">
      <alignment horizontal="right"/>
      <protection locked="0"/>
    </xf>
    <xf numFmtId="4" fontId="61" fillId="0" borderId="18" xfId="0" applyNumberFormat="1" applyFont="1" applyBorder="1" applyAlignment="1">
      <alignment horizontal="right"/>
      <protection locked="0"/>
    </xf>
    <xf numFmtId="37" fontId="61" fillId="0" borderId="18" xfId="0" applyNumberFormat="1" applyFont="1" applyBorder="1" applyAlignment="1">
      <alignment horizontal="right"/>
      <protection locked="0"/>
    </xf>
    <xf numFmtId="0" fontId="61" fillId="0" borderId="18" xfId="0" applyFont="1" applyBorder="1" applyAlignment="1">
      <alignment horizontal="left" wrapText="1"/>
      <protection locked="0"/>
    </xf>
    <xf numFmtId="0" fontId="0" fillId="0" borderId="18" xfId="0" applyBorder="1" applyAlignment="1">
      <alignment horizontal="left" vertical="top"/>
      <protection locked="0"/>
    </xf>
    <xf numFmtId="49" fontId="9" fillId="0" borderId="18" xfId="0" applyNumberFormat="1" applyFont="1" applyBorder="1" applyAlignment="1">
      <alignment horizontal="right"/>
      <protection locked="0"/>
    </xf>
    <xf numFmtId="0" fontId="9" fillId="0" borderId="18" xfId="155" applyFont="1" applyBorder="1" applyAlignment="1">
      <alignment horizontal="left" wrapText="1"/>
      <protection locked="0"/>
    </xf>
    <xf numFmtId="4" fontId="9" fillId="0" borderId="18" xfId="155" applyNumberFormat="1" applyFont="1" applyBorder="1" applyAlignment="1">
      <alignment horizontal="right"/>
      <protection locked="0"/>
    </xf>
    <xf numFmtId="39" fontId="9" fillId="0" borderId="18" xfId="155" applyNumberFormat="1" applyFont="1" applyBorder="1" applyAlignment="1">
      <alignment horizontal="center"/>
      <protection locked="0"/>
    </xf>
    <xf numFmtId="0" fontId="85" fillId="0" borderId="0" xfId="155" applyFont="1" applyAlignment="1">
      <alignment horizontal="left" vertical="center"/>
      <protection locked="0"/>
    </xf>
    <xf numFmtId="0" fontId="12" fillId="0" borderId="0" xfId="155" applyAlignment="1">
      <alignment horizontal="left" vertical="top"/>
      <protection locked="0"/>
    </xf>
    <xf numFmtId="0" fontId="85" fillId="0" borderId="0" xfId="155" applyFont="1" applyAlignment="1">
      <alignment horizontal="center" vertical="center"/>
      <protection locked="0"/>
    </xf>
    <xf numFmtId="49" fontId="9" fillId="0" borderId="18" xfId="155" applyNumberFormat="1" applyFont="1" applyBorder="1" applyAlignment="1">
      <alignment horizontal="right"/>
      <protection locked="0"/>
    </xf>
    <xf numFmtId="0" fontId="215" fillId="0" borderId="18" xfId="155" applyFont="1" applyBorder="1" applyAlignment="1" applyProtection="1">
      <alignment wrapText="1"/>
    </xf>
    <xf numFmtId="0" fontId="89" fillId="0" borderId="0" xfId="155" applyFont="1" applyAlignment="1">
      <alignment horizontal="left" vertical="top"/>
      <protection locked="0"/>
    </xf>
    <xf numFmtId="0" fontId="9" fillId="0" borderId="18" xfId="0" applyFont="1" applyBorder="1" applyAlignment="1">
      <alignment horizontal="left" wrapText="1"/>
      <protection locked="0"/>
    </xf>
    <xf numFmtId="172" fontId="9" fillId="0" borderId="18" xfId="0" applyNumberFormat="1" applyFont="1" applyBorder="1" applyAlignment="1">
      <alignment horizontal="right"/>
      <protection locked="0"/>
    </xf>
    <xf numFmtId="4" fontId="9" fillId="0" borderId="18" xfId="0" applyNumberFormat="1" applyFont="1" applyBorder="1" applyAlignment="1">
      <alignment horizontal="right"/>
      <protection locked="0"/>
    </xf>
    <xf numFmtId="39" fontId="9" fillId="0" borderId="18" xfId="0" applyNumberFormat="1" applyFont="1" applyBorder="1" applyAlignment="1">
      <alignment horizontal="center"/>
      <protection locked="0"/>
    </xf>
    <xf numFmtId="39" fontId="142" fillId="0" borderId="0" xfId="0" applyNumberFormat="1" applyFont="1" applyAlignment="1">
      <alignment horizontal="right" vertical="center"/>
      <protection locked="0"/>
    </xf>
    <xf numFmtId="39" fontId="9" fillId="0" borderId="0" xfId="0" applyNumberFormat="1" applyFont="1" applyAlignment="1">
      <alignment horizontal="left" vertical="top"/>
      <protection locked="0"/>
    </xf>
    <xf numFmtId="0" fontId="9" fillId="0" borderId="0" xfId="0" applyFont="1" applyAlignment="1">
      <alignment horizontal="left" vertical="top"/>
      <protection locked="0"/>
    </xf>
    <xf numFmtId="0" fontId="0" fillId="5" borderId="0" xfId="0" applyFill="1" applyAlignment="1">
      <alignment horizontal="left" vertical="top"/>
      <protection locked="0"/>
    </xf>
    <xf numFmtId="0" fontId="12" fillId="0" borderId="0" xfId="0" applyFont="1" applyAlignment="1">
      <alignment horizontal="left" vertical="top"/>
      <protection locked="0"/>
    </xf>
    <xf numFmtId="0" fontId="12" fillId="5" borderId="0" xfId="0" applyFont="1" applyFill="1" applyAlignment="1">
      <alignment horizontal="left" vertical="top"/>
      <protection locked="0"/>
    </xf>
    <xf numFmtId="0" fontId="54" fillId="0" borderId="18" xfId="0" applyFont="1" applyBorder="1" applyAlignment="1">
      <alignment horizontal="left" wrapText="1"/>
      <protection locked="0"/>
    </xf>
    <xf numFmtId="172" fontId="54" fillId="0" borderId="18" xfId="0" applyNumberFormat="1" applyFont="1" applyBorder="1" applyAlignment="1">
      <alignment horizontal="right"/>
      <protection locked="0"/>
    </xf>
    <xf numFmtId="4" fontId="9" fillId="0" borderId="0" xfId="0" applyNumberFormat="1" applyFont="1" applyAlignment="1">
      <alignment horizontal="left" vertical="top"/>
      <protection locked="0"/>
    </xf>
    <xf numFmtId="172" fontId="61" fillId="0" borderId="18" xfId="0" applyNumberFormat="1" applyFont="1" applyBorder="1" applyAlignment="1">
      <alignment horizontal="right"/>
      <protection locked="0"/>
    </xf>
    <xf numFmtId="0" fontId="97" fillId="0" borderId="18" xfId="0" applyFont="1" applyBorder="1" applyAlignment="1">
      <alignment horizontal="left" wrapText="1"/>
      <protection locked="0"/>
    </xf>
    <xf numFmtId="0" fontId="208" fillId="0" borderId="18" xfId="0" applyFont="1" applyBorder="1" applyAlignment="1" applyProtection="1"/>
    <xf numFmtId="0" fontId="89" fillId="0" borderId="0" xfId="0" applyFont="1" applyAlignment="1">
      <alignment horizontal="left" vertical="top"/>
      <protection locked="0"/>
    </xf>
    <xf numFmtId="0" fontId="216" fillId="0" borderId="0" xfId="0" applyFont="1" applyAlignment="1">
      <alignment horizontal="right" vertical="center"/>
      <protection locked="0"/>
    </xf>
    <xf numFmtId="172" fontId="89" fillId="0" borderId="0" xfId="0" applyNumberFormat="1" applyFont="1" applyAlignment="1">
      <alignment horizontal="left" vertical="top"/>
      <protection locked="0"/>
    </xf>
    <xf numFmtId="0" fontId="217" fillId="0" borderId="0" xfId="0" applyFont="1" applyAlignment="1">
      <alignment horizontal="left" vertical="center"/>
      <protection locked="0"/>
    </xf>
    <xf numFmtId="0" fontId="54" fillId="0" borderId="0" xfId="0" applyFont="1" applyAlignment="1">
      <alignment horizontal="left" vertical="top"/>
      <protection locked="0"/>
    </xf>
    <xf numFmtId="0" fontId="10" fillId="0" borderId="18" xfId="155" applyFont="1" applyBorder="1" applyAlignment="1" applyProtection="1"/>
    <xf numFmtId="0" fontId="122" fillId="0" borderId="0" xfId="36" applyFont="1" applyAlignment="1">
      <alignment vertical="center"/>
    </xf>
    <xf numFmtId="172" fontId="68" fillId="0" borderId="18" xfId="155" applyNumberFormat="1" applyFont="1" applyBorder="1" applyAlignment="1">
      <alignment horizontal="right" wrapText="1"/>
      <protection locked="0"/>
    </xf>
    <xf numFmtId="0" fontId="218" fillId="0" borderId="0" xfId="155" applyFont="1" applyAlignment="1">
      <alignment horizontal="left" vertical="center"/>
      <protection locked="0"/>
    </xf>
    <xf numFmtId="0" fontId="95" fillId="0" borderId="0" xfId="155" applyFont="1" applyAlignment="1">
      <alignment horizontal="left" vertical="top"/>
      <protection locked="0"/>
    </xf>
    <xf numFmtId="0" fontId="10" fillId="0" borderId="18" xfId="176" applyFont="1" applyBorder="1"/>
    <xf numFmtId="0" fontId="10" fillId="0" borderId="18" xfId="155" applyFont="1" applyBorder="1" applyAlignment="1" applyProtection="1">
      <alignment wrapText="1"/>
    </xf>
    <xf numFmtId="0" fontId="98" fillId="0" borderId="0" xfId="155" applyFont="1" applyAlignment="1">
      <alignment horizontal="left" vertical="center"/>
      <protection locked="0"/>
    </xf>
    <xf numFmtId="0" fontId="95" fillId="0" borderId="0" xfId="155" applyFont="1" applyAlignment="1">
      <alignment horizontal="left" vertical="center"/>
      <protection locked="0"/>
    </xf>
    <xf numFmtId="0" fontId="12" fillId="0" borderId="34" xfId="25" applyBorder="1" applyAlignment="1">
      <alignment horizontal="left" vertical="top"/>
      <protection locked="0"/>
    </xf>
    <xf numFmtId="2" fontId="219" fillId="0" borderId="0" xfId="25" applyNumberFormat="1" applyFont="1" applyAlignment="1">
      <alignment vertical="center"/>
      <protection locked="0"/>
    </xf>
    <xf numFmtId="2" fontId="12" fillId="0" borderId="0" xfId="25" applyNumberFormat="1" applyAlignment="1">
      <alignment horizontal="left" vertical="center"/>
      <protection locked="0"/>
    </xf>
    <xf numFmtId="0" fontId="220" fillId="0" borderId="0" xfId="25" applyFont="1" applyAlignment="1">
      <alignment horizontal="left" vertical="center"/>
      <protection locked="0"/>
    </xf>
    <xf numFmtId="0" fontId="54" fillId="0" borderId="0" xfId="0" applyFont="1" applyAlignment="1">
      <alignment horizontal="left" wrapText="1"/>
      <protection locked="0"/>
    </xf>
    <xf numFmtId="0" fontId="85" fillId="0" borderId="0" xfId="0" applyFont="1" applyAlignment="1">
      <alignment horizontal="left"/>
      <protection locked="0"/>
    </xf>
    <xf numFmtId="37" fontId="153" fillId="5" borderId="0" xfId="0" applyNumberFormat="1" applyFont="1" applyFill="1" applyAlignment="1">
      <alignment horizontal="right"/>
      <protection locked="0"/>
    </xf>
    <xf numFmtId="0" fontId="153" fillId="5" borderId="0" xfId="0" applyFont="1" applyFill="1" applyAlignment="1">
      <alignment horizontal="left" wrapText="1"/>
      <protection locked="0"/>
    </xf>
    <xf numFmtId="176" fontId="153" fillId="5" borderId="0" xfId="0" applyNumberFormat="1" applyFont="1" applyFill="1" applyAlignment="1">
      <alignment horizontal="right"/>
      <protection locked="0"/>
    </xf>
    <xf numFmtId="173" fontId="153" fillId="5" borderId="0" xfId="0" applyNumberFormat="1" applyFont="1" applyFill="1" applyAlignment="1">
      <alignment horizontal="right"/>
      <protection locked="0"/>
    </xf>
    <xf numFmtId="173" fontId="153" fillId="0" borderId="0" xfId="0" applyNumberFormat="1" applyFont="1" applyAlignment="1">
      <alignment horizontal="right"/>
      <protection locked="0"/>
    </xf>
    <xf numFmtId="0" fontId="0" fillId="0" borderId="0" xfId="0" applyAlignment="1" applyProtection="1"/>
    <xf numFmtId="173" fontId="0" fillId="0" borderId="0" xfId="0" applyNumberFormat="1" applyAlignment="1">
      <alignment horizontal="right" vertical="top"/>
      <protection locked="0"/>
    </xf>
    <xf numFmtId="0" fontId="61" fillId="0" borderId="39" xfId="0" applyFont="1" applyBorder="1" applyAlignment="1">
      <alignment horizontal="left"/>
      <protection locked="0"/>
    </xf>
    <xf numFmtId="0" fontId="80" fillId="0" borderId="40" xfId="0" applyFont="1" applyBorder="1" applyAlignment="1">
      <alignment horizontal="center"/>
      <protection locked="0"/>
    </xf>
    <xf numFmtId="176" fontId="80" fillId="0" borderId="40" xfId="0" applyNumberFormat="1" applyFont="1" applyBorder="1" applyAlignment="1">
      <alignment horizontal="right"/>
      <protection locked="0"/>
    </xf>
    <xf numFmtId="173" fontId="9" fillId="0" borderId="40" xfId="0" applyNumberFormat="1" applyFont="1" applyBorder="1" applyAlignment="1">
      <alignment horizontal="right"/>
      <protection locked="0"/>
    </xf>
    <xf numFmtId="173" fontId="61" fillId="0" borderId="33" xfId="0" applyNumberFormat="1" applyFont="1" applyBorder="1" applyAlignment="1">
      <alignment horizontal="right"/>
      <protection locked="0"/>
    </xf>
    <xf numFmtId="39" fontId="204" fillId="0" borderId="0" xfId="0" applyNumberFormat="1" applyFont="1" applyAlignment="1">
      <alignment horizontal="center"/>
      <protection locked="0"/>
    </xf>
    <xf numFmtId="0" fontId="83" fillId="0" borderId="0" xfId="0" applyFont="1" applyAlignment="1">
      <alignment horizontal="left" vertical="top"/>
      <protection locked="0"/>
    </xf>
    <xf numFmtId="0" fontId="83" fillId="5" borderId="0" xfId="0" applyFont="1" applyFill="1" applyAlignment="1">
      <alignment horizontal="left" vertical="top"/>
      <protection locked="0"/>
    </xf>
    <xf numFmtId="2" fontId="10" fillId="0" borderId="0" xfId="176" applyNumberFormat="1" applyFont="1" applyAlignment="1">
      <alignment vertical="center"/>
    </xf>
    <xf numFmtId="39" fontId="9" fillId="0" borderId="0" xfId="0" applyNumberFormat="1" applyFont="1" applyAlignment="1">
      <alignment horizontal="right"/>
      <protection locked="0"/>
    </xf>
    <xf numFmtId="39" fontId="9" fillId="0" borderId="0" xfId="0" applyNumberFormat="1" applyFont="1" applyAlignment="1">
      <alignment horizontal="center"/>
      <protection locked="0"/>
    </xf>
    <xf numFmtId="37" fontId="9" fillId="0" borderId="0" xfId="0" applyNumberFormat="1" applyFont="1" applyAlignment="1">
      <alignment horizontal="right"/>
      <protection locked="0"/>
    </xf>
    <xf numFmtId="0" fontId="9" fillId="0" borderId="0" xfId="0" applyFont="1" applyAlignment="1">
      <alignment horizontal="left" wrapText="1"/>
      <protection locked="0"/>
    </xf>
    <xf numFmtId="0" fontId="10" fillId="0" borderId="0" xfId="0" applyFont="1" applyAlignment="1" applyProtection="1">
      <alignment horizontal="justify"/>
    </xf>
    <xf numFmtId="0" fontId="80" fillId="0" borderId="0" xfId="0" applyFont="1" applyAlignment="1">
      <alignment horizontal="left" wrapText="1"/>
      <protection locked="0"/>
    </xf>
    <xf numFmtId="2" fontId="9" fillId="0" borderId="0" xfId="0" applyNumberFormat="1" applyFont="1" applyAlignment="1">
      <alignment horizontal="right"/>
      <protection locked="0"/>
    </xf>
    <xf numFmtId="0" fontId="221" fillId="0" borderId="0" xfId="0" applyFont="1" applyAlignment="1">
      <alignment horizontal="left" wrapText="1"/>
      <protection locked="0"/>
    </xf>
    <xf numFmtId="49" fontId="0" fillId="0" borderId="0" xfId="0" applyNumberFormat="1" applyAlignment="1">
      <alignment vertical="top"/>
      <protection locked="0"/>
    </xf>
    <xf numFmtId="2" fontId="0" fillId="0" borderId="0" xfId="0" applyNumberFormat="1" applyAlignment="1">
      <alignment vertical="top"/>
      <protection locked="0"/>
    </xf>
    <xf numFmtId="0" fontId="142" fillId="0" borderId="0" xfId="185" applyFont="1" applyAlignment="1">
      <alignment vertical="center"/>
    </xf>
    <xf numFmtId="0" fontId="88" fillId="0" borderId="0" xfId="185" applyFont="1" applyAlignment="1">
      <alignment horizontal="center" vertical="center"/>
    </xf>
    <xf numFmtId="0" fontId="222" fillId="0" borderId="0" xfId="131" applyFont="1" applyAlignment="1">
      <alignment horizontal="left" vertical="center"/>
      <protection locked="0"/>
    </xf>
    <xf numFmtId="173" fontId="62" fillId="0" borderId="0" xfId="3" applyNumberFormat="1" applyFont="1" applyAlignment="1" applyProtection="1">
      <alignment horizontal="left" vertical="center"/>
      <protection locked="0"/>
    </xf>
    <xf numFmtId="2" fontId="54" fillId="0" borderId="0" xfId="3" applyNumberFormat="1" applyFont="1" applyAlignment="1" applyProtection="1">
      <alignment horizontal="right"/>
      <protection locked="0"/>
    </xf>
    <xf numFmtId="0" fontId="61" fillId="5" borderId="34" xfId="3" applyFont="1" applyFill="1" applyBorder="1" applyAlignment="1" applyProtection="1">
      <alignment horizontal="left" wrapText="1"/>
      <protection locked="0"/>
    </xf>
    <xf numFmtId="0" fontId="90" fillId="0" borderId="0" xfId="184" applyFont="1"/>
    <xf numFmtId="0" fontId="2" fillId="0" borderId="0" xfId="184"/>
    <xf numFmtId="0" fontId="61" fillId="0" borderId="0" xfId="184" applyFont="1" applyAlignment="1">
      <alignment horizontal="left"/>
    </xf>
    <xf numFmtId="0" fontId="9" fillId="0" borderId="0" xfId="184" applyFont="1" applyAlignment="1">
      <alignment horizontal="left"/>
    </xf>
    <xf numFmtId="0" fontId="59" fillId="0" borderId="0" xfId="184" applyFont="1" applyAlignment="1">
      <alignment horizontal="left"/>
    </xf>
    <xf numFmtId="0" fontId="2" fillId="0" borderId="0" xfId="184" applyAlignment="1" applyProtection="1">
      <alignment horizontal="left" vertical="top"/>
      <protection locked="0"/>
    </xf>
    <xf numFmtId="0" fontId="60" fillId="0" borderId="0" xfId="184" applyFont="1" applyAlignment="1">
      <alignment horizontal="left"/>
    </xf>
    <xf numFmtId="0" fontId="59" fillId="0" borderId="0" xfId="184" applyFont="1" applyAlignment="1">
      <alignment horizontal="center"/>
    </xf>
    <xf numFmtId="0" fontId="203" fillId="0" borderId="0" xfId="184" applyFont="1" applyAlignment="1">
      <alignment horizontal="right" vertical="top"/>
    </xf>
    <xf numFmtId="0" fontId="63" fillId="0" borderId="33" xfId="184" applyFont="1" applyBorder="1" applyAlignment="1">
      <alignment horizontal="center" vertical="center" wrapText="1"/>
    </xf>
    <xf numFmtId="0" fontId="63" fillId="0" borderId="39" xfId="184" applyFont="1" applyBorder="1" applyAlignment="1">
      <alignment horizontal="center" vertical="center" wrapText="1"/>
    </xf>
    <xf numFmtId="0" fontId="63" fillId="0" borderId="15" xfId="184" applyFont="1" applyBorder="1" applyAlignment="1">
      <alignment horizontal="center" vertical="center" wrapText="1"/>
    </xf>
    <xf numFmtId="37" fontId="61" fillId="0" borderId="34" xfId="184" applyNumberFormat="1" applyFont="1" applyBorder="1" applyAlignment="1">
      <alignment horizontal="right"/>
    </xf>
    <xf numFmtId="0" fontId="61" fillId="0" borderId="34" xfId="184" applyFont="1" applyBorder="1" applyAlignment="1">
      <alignment horizontal="left" wrapText="1"/>
    </xf>
    <xf numFmtId="176" fontId="61" fillId="0" borderId="34" xfId="184" applyNumberFormat="1" applyFont="1" applyBorder="1" applyAlignment="1">
      <alignment horizontal="right"/>
    </xf>
    <xf numFmtId="39" fontId="61" fillId="0" borderId="34" xfId="184" applyNumberFormat="1" applyFont="1" applyBorder="1" applyAlignment="1">
      <alignment horizontal="right"/>
    </xf>
    <xf numFmtId="0" fontId="2" fillId="0" borderId="34" xfId="184" applyBorder="1" applyAlignment="1">
      <alignment horizontal="left" vertical="top"/>
    </xf>
    <xf numFmtId="0" fontId="57" fillId="0" borderId="0" xfId="184" applyFont="1"/>
    <xf numFmtId="37" fontId="61" fillId="0" borderId="34" xfId="89" applyNumberFormat="1" applyFont="1" applyBorder="1" applyAlignment="1" applyProtection="1">
      <alignment horizontal="right"/>
      <protection locked="0"/>
    </xf>
    <xf numFmtId="49" fontId="61" fillId="0" borderId="34" xfId="89" applyNumberFormat="1" applyFont="1" applyBorder="1" applyAlignment="1" applyProtection="1">
      <alignment horizontal="left" wrapText="1"/>
      <protection locked="0"/>
    </xf>
    <xf numFmtId="0" fontId="61" fillId="0" borderId="34" xfId="89" applyFont="1" applyBorder="1" applyAlignment="1" applyProtection="1">
      <alignment horizontal="left" wrapText="1"/>
      <protection locked="0"/>
    </xf>
    <xf numFmtId="2" fontId="61" fillId="0" borderId="34" xfId="89" applyNumberFormat="1" applyFont="1" applyBorder="1" applyAlignment="1" applyProtection="1">
      <alignment horizontal="right"/>
      <protection locked="0"/>
    </xf>
    <xf numFmtId="39" fontId="61" fillId="0" borderId="34" xfId="89" applyNumberFormat="1" applyFont="1" applyBorder="1" applyAlignment="1" applyProtection="1">
      <alignment horizontal="right"/>
      <protection locked="0"/>
    </xf>
    <xf numFmtId="0" fontId="83" fillId="0" borderId="34" xfId="89" applyFont="1" applyBorder="1" applyAlignment="1" applyProtection="1">
      <alignment horizontal="right" vertical="center"/>
      <protection locked="0"/>
    </xf>
    <xf numFmtId="173" fontId="90" fillId="0" borderId="0" xfId="89" applyNumberFormat="1" applyFont="1" applyAlignment="1" applyProtection="1">
      <alignment horizontal="left" vertical="center"/>
      <protection locked="0"/>
    </xf>
    <xf numFmtId="172" fontId="9" fillId="0" borderId="34" xfId="3" applyNumberFormat="1" applyFont="1" applyBorder="1" applyAlignment="1" applyProtection="1">
      <alignment horizontal="right"/>
      <protection locked="0"/>
    </xf>
    <xf numFmtId="0" fontId="205" fillId="0" borderId="0" xfId="3" applyFont="1"/>
    <xf numFmtId="0" fontId="134" fillId="0" borderId="34" xfId="33" applyFont="1" applyBorder="1" applyAlignment="1" applyProtection="1">
      <alignment horizontal="left" wrapText="1"/>
      <protection locked="0"/>
    </xf>
    <xf numFmtId="172" fontId="54" fillId="0" borderId="34" xfId="3" applyNumberFormat="1" applyFont="1" applyBorder="1" applyAlignment="1" applyProtection="1">
      <alignment horizontal="right"/>
      <protection locked="0"/>
    </xf>
    <xf numFmtId="0" fontId="66" fillId="0" borderId="0" xfId="33" applyFont="1" applyAlignment="1" applyProtection="1">
      <alignment horizontal="left" vertical="top"/>
      <protection locked="0"/>
    </xf>
    <xf numFmtId="4" fontId="205" fillId="0" borderId="34" xfId="33" applyNumberFormat="1" applyFont="1" applyBorder="1" applyAlignment="1" applyProtection="1">
      <alignment horizontal="right" vertical="center"/>
      <protection locked="0"/>
    </xf>
    <xf numFmtId="0" fontId="67" fillId="0" borderId="0" xfId="33" applyFont="1" applyAlignment="1" applyProtection="1">
      <alignment horizontal="center" vertical="center"/>
      <protection locked="0"/>
    </xf>
    <xf numFmtId="0" fontId="34" fillId="0" borderId="0" xfId="33" applyAlignment="1" applyProtection="1">
      <alignment horizontal="right" vertical="top"/>
      <protection locked="0"/>
    </xf>
    <xf numFmtId="0" fontId="17" fillId="0" borderId="0" xfId="3" applyFont="1"/>
    <xf numFmtId="0" fontId="67" fillId="0" borderId="0" xfId="33" applyFont="1" applyAlignment="1" applyProtection="1">
      <alignment horizontal="left" vertical="center"/>
      <protection locked="0"/>
    </xf>
    <xf numFmtId="0" fontId="223" fillId="0" borderId="0" xfId="33" applyFont="1" applyAlignment="1" applyProtection="1">
      <alignment horizontal="left" vertical="center"/>
      <protection locked="0"/>
    </xf>
    <xf numFmtId="0" fontId="81" fillId="0" borderId="0" xfId="3" applyFont="1"/>
    <xf numFmtId="37" fontId="9" fillId="0" borderId="34" xfId="89" applyNumberFormat="1" applyFont="1" applyBorder="1" applyAlignment="1" applyProtection="1">
      <alignment horizontal="right"/>
      <protection locked="0"/>
    </xf>
    <xf numFmtId="37" fontId="9" fillId="0" borderId="34" xfId="89" applyNumberFormat="1" applyFont="1" applyBorder="1" applyAlignment="1" applyProtection="1">
      <alignment horizontal="left"/>
      <protection locked="0"/>
    </xf>
    <xf numFmtId="49" fontId="10" fillId="0" borderId="34" xfId="176" applyNumberFormat="1" applyFont="1" applyBorder="1" applyAlignment="1">
      <alignment horizontal="left"/>
    </xf>
    <xf numFmtId="0" fontId="10" fillId="0" borderId="34" xfId="176" applyFont="1" applyBorder="1" applyAlignment="1">
      <alignment wrapText="1"/>
    </xf>
    <xf numFmtId="4" fontId="10" fillId="0" borderId="34" xfId="176" applyNumberFormat="1" applyFont="1" applyBorder="1" applyAlignment="1">
      <alignment horizontal="right"/>
    </xf>
    <xf numFmtId="0" fontId="12" fillId="0" borderId="0" xfId="89" applyFont="1" applyAlignment="1" applyProtection="1">
      <alignment horizontal="left"/>
      <protection locked="0"/>
    </xf>
    <xf numFmtId="0" fontId="83" fillId="0" borderId="0" xfId="89" applyFont="1" applyAlignment="1" applyProtection="1">
      <alignment horizontal="left" vertical="top"/>
      <protection locked="0"/>
    </xf>
    <xf numFmtId="2" fontId="54" fillId="0" borderId="34" xfId="89" applyNumberFormat="1" applyFont="1" applyBorder="1" applyAlignment="1" applyProtection="1">
      <alignment horizontal="right"/>
      <protection locked="0"/>
    </xf>
    <xf numFmtId="0" fontId="223" fillId="0" borderId="0" xfId="33" applyFont="1" applyAlignment="1" applyProtection="1">
      <alignment horizontal="right" vertical="center"/>
      <protection locked="0"/>
    </xf>
    <xf numFmtId="0" fontId="81" fillId="0" borderId="0" xfId="3" applyFont="1" applyAlignment="1">
      <alignment horizontal="right"/>
    </xf>
    <xf numFmtId="0" fontId="9" fillId="0" borderId="34" xfId="33" applyFont="1" applyBorder="1" applyAlignment="1" applyProtection="1">
      <alignment horizontal="left" wrapText="1"/>
      <protection locked="0"/>
    </xf>
    <xf numFmtId="0" fontId="224" fillId="0" borderId="0" xfId="146" applyFont="1" applyFill="1" applyAlignment="1" applyProtection="1">
      <alignment horizontal="left" vertical="center"/>
      <protection locked="0"/>
    </xf>
    <xf numFmtId="37" fontId="9" fillId="0" borderId="34" xfId="184" applyNumberFormat="1" applyFont="1" applyBorder="1" applyAlignment="1" applyProtection="1">
      <alignment horizontal="right"/>
      <protection locked="0"/>
    </xf>
    <xf numFmtId="49" fontId="9" fillId="0" borderId="34" xfId="184" applyNumberFormat="1" applyFont="1" applyBorder="1" applyAlignment="1" applyProtection="1">
      <alignment horizontal="left" wrapText="1"/>
      <protection locked="0"/>
    </xf>
    <xf numFmtId="0" fontId="9" fillId="0" borderId="34" xfId="184" applyFont="1" applyBorder="1" applyAlignment="1" applyProtection="1">
      <alignment horizontal="left" wrapText="1"/>
      <protection locked="0"/>
    </xf>
    <xf numFmtId="172" fontId="10" fillId="0" borderId="34" xfId="176" applyNumberFormat="1" applyFont="1" applyBorder="1" applyAlignment="1">
      <alignment horizontal="right"/>
    </xf>
    <xf numFmtId="39" fontId="9" fillId="0" borderId="34" xfId="184" applyNumberFormat="1" applyFont="1" applyBorder="1" applyAlignment="1" applyProtection="1">
      <alignment horizontal="right"/>
      <protection locked="0"/>
    </xf>
    <xf numFmtId="0" fontId="101" fillId="0" borderId="0" xfId="184" applyFont="1" applyAlignment="1" applyProtection="1">
      <alignment horizontal="left" vertical="top"/>
      <protection locked="0"/>
    </xf>
    <xf numFmtId="0" fontId="83" fillId="0" borderId="0" xfId="184" applyFont="1" applyAlignment="1" applyProtection="1">
      <alignment horizontal="left"/>
      <protection locked="0"/>
    </xf>
    <xf numFmtId="0" fontId="83" fillId="5" borderId="0" xfId="184" applyFont="1" applyFill="1" applyAlignment="1" applyProtection="1">
      <alignment horizontal="left"/>
      <protection locked="0"/>
    </xf>
    <xf numFmtId="0" fontId="54" fillId="0" borderId="34" xfId="184" applyFont="1" applyBorder="1" applyAlignment="1" applyProtection="1">
      <alignment horizontal="left" wrapText="1"/>
      <protection locked="0"/>
    </xf>
    <xf numFmtId="172" fontId="54" fillId="0" borderId="34" xfId="184" applyNumberFormat="1" applyFont="1" applyBorder="1" applyAlignment="1" applyProtection="1">
      <alignment horizontal="right"/>
      <protection locked="0"/>
    </xf>
    <xf numFmtId="39" fontId="9" fillId="0" borderId="34" xfId="184" applyNumberFormat="1" applyFont="1" applyBorder="1" applyAlignment="1" applyProtection="1">
      <alignment horizontal="center"/>
      <protection locked="0"/>
    </xf>
    <xf numFmtId="0" fontId="33" fillId="0" borderId="0" xfId="48" applyFill="1" applyAlignment="1" applyProtection="1">
      <alignment horizontal="left" vertical="top"/>
      <protection locked="0"/>
    </xf>
    <xf numFmtId="37" fontId="9" fillId="0" borderId="18" xfId="184" applyNumberFormat="1" applyFont="1" applyBorder="1" applyAlignment="1" applyProtection="1">
      <alignment horizontal="right"/>
      <protection locked="0"/>
    </xf>
    <xf numFmtId="0" fontId="9" fillId="0" borderId="18" xfId="184" applyFont="1" applyBorder="1" applyAlignment="1" applyProtection="1">
      <alignment horizontal="left" wrapText="1"/>
      <protection locked="0"/>
    </xf>
    <xf numFmtId="172" fontId="9" fillId="0" borderId="18" xfId="184" applyNumberFormat="1" applyFont="1" applyBorder="1" applyAlignment="1" applyProtection="1">
      <alignment horizontal="right"/>
      <protection locked="0"/>
    </xf>
    <xf numFmtId="39" fontId="9" fillId="0" borderId="18" xfId="184" applyNumberFormat="1" applyFont="1" applyBorder="1" applyAlignment="1" applyProtection="1">
      <alignment horizontal="right"/>
      <protection locked="0"/>
    </xf>
    <xf numFmtId="37" fontId="80" fillId="0" borderId="0" xfId="184" applyNumberFormat="1" applyFont="1" applyAlignment="1" applyProtection="1">
      <alignment horizontal="right"/>
      <protection locked="0"/>
    </xf>
    <xf numFmtId="0" fontId="80" fillId="0" borderId="34" xfId="184" applyFont="1" applyBorder="1" applyAlignment="1" applyProtection="1">
      <alignment horizontal="left" wrapText="1"/>
      <protection locked="0"/>
    </xf>
    <xf numFmtId="0" fontId="54" fillId="0" borderId="0" xfId="184" applyFont="1" applyAlignment="1" applyProtection="1">
      <alignment horizontal="left" wrapText="1"/>
      <protection locked="0"/>
    </xf>
    <xf numFmtId="172" fontId="9" fillId="0" borderId="34" xfId="184" applyNumberFormat="1" applyFont="1" applyBorder="1" applyAlignment="1" applyProtection="1">
      <alignment horizontal="right"/>
      <protection locked="0"/>
    </xf>
    <xf numFmtId="4" fontId="9" fillId="0" borderId="34" xfId="184" applyNumberFormat="1" applyFont="1" applyBorder="1" applyAlignment="1" applyProtection="1">
      <alignment horizontal="right"/>
      <protection locked="0"/>
    </xf>
    <xf numFmtId="0" fontId="2" fillId="0" borderId="34" xfId="184" applyBorder="1" applyAlignment="1" applyProtection="1">
      <alignment horizontal="left" vertical="top"/>
      <protection locked="0"/>
    </xf>
    <xf numFmtId="0" fontId="12" fillId="0" borderId="0" xfId="184" applyFont="1" applyAlignment="1" applyProtection="1">
      <alignment horizontal="left" vertical="top"/>
      <protection locked="0"/>
    </xf>
    <xf numFmtId="0" fontId="12" fillId="5" borderId="0" xfId="184" applyFont="1" applyFill="1" applyAlignment="1" applyProtection="1">
      <alignment horizontal="left" vertical="top"/>
      <protection locked="0"/>
    </xf>
    <xf numFmtId="37" fontId="80" fillId="0" borderId="34" xfId="184" applyNumberFormat="1" applyFont="1" applyBorder="1" applyAlignment="1" applyProtection="1">
      <alignment horizontal="right"/>
      <protection locked="0"/>
    </xf>
    <xf numFmtId="39" fontId="80" fillId="0" borderId="34" xfId="184" applyNumberFormat="1" applyFont="1" applyBorder="1" applyAlignment="1" applyProtection="1">
      <alignment horizontal="right"/>
      <protection locked="0"/>
    </xf>
    <xf numFmtId="0" fontId="101" fillId="0" borderId="0" xfId="184" applyFont="1" applyAlignment="1" applyProtection="1">
      <alignment horizontal="left" vertical="center"/>
      <protection locked="0"/>
    </xf>
    <xf numFmtId="39" fontId="11" fillId="0" borderId="0" xfId="3" applyNumberFormat="1"/>
    <xf numFmtId="37" fontId="61" fillId="0" borderId="34" xfId="184" applyNumberFormat="1" applyFont="1" applyBorder="1" applyAlignment="1" applyProtection="1">
      <alignment horizontal="right"/>
      <protection locked="0"/>
    </xf>
    <xf numFmtId="0" fontId="61" fillId="0" borderId="34" xfId="184" applyFont="1" applyBorder="1" applyAlignment="1" applyProtection="1">
      <alignment horizontal="left" wrapText="1"/>
      <protection locked="0"/>
    </xf>
    <xf numFmtId="172" fontId="61" fillId="0" borderId="34" xfId="184" applyNumberFormat="1" applyFont="1" applyBorder="1" applyAlignment="1" applyProtection="1">
      <alignment horizontal="right"/>
      <protection locked="0"/>
    </xf>
    <xf numFmtId="4" fontId="61" fillId="0" borderId="34" xfId="184" applyNumberFormat="1" applyFont="1" applyBorder="1" applyAlignment="1" applyProtection="1">
      <alignment horizontal="right"/>
      <protection locked="0"/>
    </xf>
    <xf numFmtId="0" fontId="12" fillId="0" borderId="34" xfId="184" applyFont="1" applyBorder="1" applyAlignment="1" applyProtection="1">
      <alignment horizontal="left" vertical="top"/>
      <protection locked="0"/>
    </xf>
    <xf numFmtId="0" fontId="2" fillId="0" borderId="0" xfId="184" applyAlignment="1" applyProtection="1">
      <alignment vertical="top"/>
      <protection locked="0"/>
    </xf>
    <xf numFmtId="37" fontId="9" fillId="0" borderId="34" xfId="32" applyNumberFormat="1" applyFont="1" applyBorder="1" applyAlignment="1" applyProtection="1">
      <alignment horizontal="right"/>
      <protection locked="0"/>
    </xf>
    <xf numFmtId="0" fontId="9" fillId="0" borderId="34" xfId="32" applyFont="1" applyBorder="1" applyAlignment="1" applyProtection="1">
      <alignment horizontal="left" wrapText="1"/>
      <protection locked="0"/>
    </xf>
    <xf numFmtId="172" fontId="9" fillId="0" borderId="34" xfId="32" applyNumberFormat="1" applyFont="1" applyBorder="1" applyAlignment="1" applyProtection="1">
      <alignment horizontal="right"/>
      <protection locked="0"/>
    </xf>
    <xf numFmtId="39" fontId="9" fillId="0" borderId="34" xfId="32" applyNumberFormat="1" applyFont="1" applyBorder="1" applyAlignment="1" applyProtection="1">
      <alignment horizontal="right"/>
      <protection locked="0"/>
    </xf>
    <xf numFmtId="2" fontId="12" fillId="0" borderId="0" xfId="32" applyNumberFormat="1" applyFont="1" applyAlignment="1" applyProtection="1">
      <alignment horizontal="left" vertical="top"/>
      <protection locked="0"/>
    </xf>
    <xf numFmtId="0" fontId="12" fillId="0" borderId="0" xfId="32" applyFont="1" applyAlignment="1" applyProtection="1">
      <alignment horizontal="left" vertical="top"/>
      <protection locked="0"/>
    </xf>
    <xf numFmtId="4" fontId="12" fillId="0" borderId="0" xfId="32" applyNumberFormat="1" applyFont="1" applyAlignment="1" applyProtection="1">
      <alignment horizontal="left" vertical="top"/>
      <protection locked="0"/>
    </xf>
    <xf numFmtId="172" fontId="54" fillId="0" borderId="34" xfId="32" applyNumberFormat="1" applyFont="1" applyBorder="1" applyAlignment="1" applyProtection="1">
      <alignment horizontal="right"/>
      <protection locked="0"/>
    </xf>
    <xf numFmtId="39" fontId="9" fillId="0" borderId="34" xfId="32" applyNumberFormat="1" applyFont="1" applyBorder="1" applyAlignment="1" applyProtection="1">
      <alignment horizontal="center"/>
      <protection locked="0"/>
    </xf>
    <xf numFmtId="0" fontId="101" fillId="0" borderId="0" xfId="32" applyFont="1" applyAlignment="1" applyProtection="1">
      <alignment horizontal="left" vertical="center"/>
      <protection locked="0"/>
    </xf>
    <xf numFmtId="0" fontId="67" fillId="0" borderId="0" xfId="32" applyFont="1" applyAlignment="1" applyProtection="1">
      <alignment horizontal="left" vertical="top"/>
      <protection locked="0"/>
    </xf>
    <xf numFmtId="4" fontId="80" fillId="0" borderId="34" xfId="184" applyNumberFormat="1" applyFont="1" applyBorder="1" applyAlignment="1" applyProtection="1">
      <alignment horizontal="right"/>
      <protection locked="0"/>
    </xf>
    <xf numFmtId="39" fontId="204" fillId="0" borderId="34" xfId="184" applyNumberFormat="1" applyFont="1" applyBorder="1" applyAlignment="1" applyProtection="1">
      <alignment horizontal="center"/>
      <protection locked="0"/>
    </xf>
    <xf numFmtId="172" fontId="9" fillId="0" borderId="34" xfId="184" applyNumberFormat="1" applyFont="1" applyBorder="1" applyProtection="1">
      <protection locked="0"/>
    </xf>
    <xf numFmtId="0" fontId="89" fillId="0" borderId="34" xfId="184" applyFont="1" applyBorder="1" applyAlignment="1" applyProtection="1">
      <alignment horizontal="left" vertical="top"/>
      <protection locked="0"/>
    </xf>
    <xf numFmtId="0" fontId="89" fillId="0" borderId="0" xfId="184" applyFont="1" applyAlignment="1" applyProtection="1">
      <alignment horizontal="left" vertical="top"/>
      <protection locked="0"/>
    </xf>
    <xf numFmtId="0" fontId="77" fillId="0" borderId="0" xfId="184" applyFont="1" applyAlignment="1" applyProtection="1">
      <alignment horizontal="left" vertical="center"/>
      <protection locked="0"/>
    </xf>
    <xf numFmtId="172" fontId="54" fillId="0" borderId="34" xfId="184" applyNumberFormat="1" applyFont="1" applyBorder="1" applyProtection="1">
      <protection locked="0"/>
    </xf>
    <xf numFmtId="2" fontId="9" fillId="0" borderId="18" xfId="184" applyNumberFormat="1" applyFont="1" applyBorder="1" applyAlignment="1" applyProtection="1">
      <alignment horizontal="right"/>
      <protection locked="0"/>
    </xf>
    <xf numFmtId="39" fontId="9" fillId="0" borderId="18" xfId="184" applyNumberFormat="1" applyFont="1" applyBorder="1" applyAlignment="1" applyProtection="1">
      <alignment horizontal="center"/>
      <protection locked="0"/>
    </xf>
    <xf numFmtId="0" fontId="208" fillId="0" borderId="34" xfId="184" applyFont="1" applyBorder="1"/>
    <xf numFmtId="2" fontId="54" fillId="0" borderId="34" xfId="184" applyNumberFormat="1" applyFont="1" applyBorder="1" applyAlignment="1" applyProtection="1">
      <alignment horizontal="right"/>
      <protection locked="0"/>
    </xf>
    <xf numFmtId="0" fontId="201" fillId="0" borderId="0" xfId="184" applyFont="1" applyAlignment="1" applyProtection="1">
      <alignment horizontal="left" vertical="top"/>
      <protection locked="0"/>
    </xf>
    <xf numFmtId="37" fontId="153" fillId="0" borderId="0" xfId="184" applyNumberFormat="1" applyFont="1" applyAlignment="1">
      <alignment horizontal="right"/>
    </xf>
    <xf numFmtId="0" fontId="153" fillId="0" borderId="0" xfId="184" applyFont="1" applyAlignment="1">
      <alignment horizontal="left" wrapText="1"/>
    </xf>
    <xf numFmtId="176" fontId="153" fillId="0" borderId="0" xfId="184" applyNumberFormat="1" applyFont="1" applyAlignment="1">
      <alignment horizontal="right"/>
    </xf>
    <xf numFmtId="39" fontId="153" fillId="0" borderId="0" xfId="184" applyNumberFormat="1" applyFont="1" applyAlignment="1">
      <alignment horizontal="right"/>
    </xf>
    <xf numFmtId="0" fontId="2" fillId="0" borderId="0" xfId="184" applyAlignment="1">
      <alignment horizontal="left" vertical="top"/>
    </xf>
    <xf numFmtId="37" fontId="9" fillId="0" borderId="51" xfId="184" applyNumberFormat="1" applyFont="1" applyBorder="1" applyAlignment="1">
      <alignment horizontal="right"/>
    </xf>
    <xf numFmtId="0" fontId="9" fillId="0" borderId="51" xfId="184" applyFont="1" applyBorder="1" applyAlignment="1">
      <alignment horizontal="left" wrapText="1"/>
    </xf>
    <xf numFmtId="0" fontId="9" fillId="0" borderId="51" xfId="184" applyFont="1" applyBorder="1" applyAlignment="1">
      <alignment horizontal="center" wrapText="1"/>
    </xf>
    <xf numFmtId="176" fontId="9" fillId="0" borderId="51" xfId="184" applyNumberFormat="1" applyFont="1" applyBorder="1" applyAlignment="1">
      <alignment horizontal="right"/>
    </xf>
    <xf numFmtId="39" fontId="9" fillId="0" borderId="51" xfId="184" applyNumberFormat="1" applyFont="1" applyBorder="1" applyAlignment="1">
      <alignment horizontal="right"/>
    </xf>
    <xf numFmtId="0" fontId="169" fillId="0" borderId="0" xfId="184" applyFont="1" applyAlignment="1">
      <alignment horizontal="left" vertical="top"/>
    </xf>
    <xf numFmtId="0" fontId="61" fillId="0" borderId="39" xfId="184" applyFont="1" applyBorder="1" applyAlignment="1">
      <alignment horizontal="left"/>
    </xf>
    <xf numFmtId="0" fontId="80" fillId="0" borderId="40" xfId="184" applyFont="1" applyBorder="1" applyAlignment="1">
      <alignment horizontal="center"/>
    </xf>
    <xf numFmtId="176" fontId="80" fillId="0" borderId="40" xfId="184" applyNumberFormat="1" applyFont="1" applyBorder="1" applyAlignment="1">
      <alignment horizontal="right"/>
    </xf>
    <xf numFmtId="39" fontId="9" fillId="0" borderId="40" xfId="184" applyNumberFormat="1" applyFont="1" applyBorder="1" applyAlignment="1">
      <alignment horizontal="right"/>
    </xf>
    <xf numFmtId="39" fontId="61" fillId="0" borderId="33" xfId="184" applyNumberFormat="1" applyFont="1" applyBorder="1" applyAlignment="1">
      <alignment horizontal="right"/>
    </xf>
    <xf numFmtId="39" fontId="204" fillId="0" borderId="0" xfId="184" applyNumberFormat="1" applyFont="1" applyAlignment="1">
      <alignment horizontal="center"/>
    </xf>
    <xf numFmtId="37" fontId="80" fillId="0" borderId="0" xfId="184" applyNumberFormat="1" applyFont="1" applyAlignment="1">
      <alignment horizontal="right"/>
    </xf>
    <xf numFmtId="0" fontId="80" fillId="0" borderId="0" xfId="184" applyFont="1" applyAlignment="1">
      <alignment horizontal="left" wrapText="1"/>
    </xf>
    <xf numFmtId="0" fontId="9" fillId="0" borderId="0" xfId="184" applyFont="1" applyAlignment="1">
      <alignment horizontal="left" wrapText="1"/>
    </xf>
    <xf numFmtId="0" fontId="80" fillId="0" borderId="0" xfId="184" applyFont="1" applyAlignment="1">
      <alignment horizontal="center" wrapText="1"/>
    </xf>
    <xf numFmtId="176" fontId="80" fillId="0" borderId="0" xfId="184" applyNumberFormat="1" applyFont="1" applyAlignment="1">
      <alignment horizontal="right"/>
    </xf>
    <xf numFmtId="39" fontId="80" fillId="0" borderId="0" xfId="184" applyNumberFormat="1" applyFont="1" applyAlignment="1">
      <alignment horizontal="right"/>
    </xf>
    <xf numFmtId="39" fontId="9" fillId="0" borderId="0" xfId="184" applyNumberFormat="1" applyFont="1" applyAlignment="1">
      <alignment horizontal="right"/>
    </xf>
    <xf numFmtId="172" fontId="59" fillId="0" borderId="0" xfId="0" applyNumberFormat="1" applyFont="1" applyAlignment="1" applyProtection="1">
      <alignment horizontal="left"/>
    </xf>
    <xf numFmtId="4" fontId="59" fillId="0" borderId="0" xfId="0" applyNumberFormat="1" applyFont="1" applyAlignment="1" applyProtection="1">
      <alignment horizontal="left"/>
    </xf>
    <xf numFmtId="4" fontId="0" fillId="0" borderId="0" xfId="0" applyNumberFormat="1" applyAlignment="1">
      <alignment horizontal="left" vertical="top"/>
      <protection locked="0"/>
    </xf>
    <xf numFmtId="172" fontId="63" fillId="0" borderId="33" xfId="0" applyNumberFormat="1" applyFont="1" applyBorder="1" applyAlignment="1" applyProtection="1">
      <alignment horizontal="center" vertical="center" wrapText="1"/>
    </xf>
    <xf numFmtId="4" fontId="63" fillId="0" borderId="33" xfId="0" applyNumberFormat="1" applyFont="1" applyBorder="1" applyAlignment="1" applyProtection="1">
      <alignment horizontal="center" vertical="center" wrapText="1"/>
    </xf>
    <xf numFmtId="4" fontId="225" fillId="0" borderId="0" xfId="0" applyNumberFormat="1" applyFont="1" applyAlignment="1">
      <alignment horizontal="left" vertical="center"/>
      <protection locked="0"/>
    </xf>
    <xf numFmtId="4" fontId="0" fillId="0" borderId="0" xfId="0" applyNumberFormat="1" applyAlignment="1">
      <alignment vertical="top"/>
      <protection locked="0"/>
    </xf>
    <xf numFmtId="1" fontId="61" fillId="0" borderId="49" xfId="0" applyNumberFormat="1" applyFont="1" applyBorder="1" applyAlignment="1">
      <alignment horizontal="right"/>
      <protection locked="0"/>
    </xf>
    <xf numFmtId="172" fontId="61" fillId="0" borderId="49" xfId="0" applyNumberFormat="1" applyFont="1" applyBorder="1" applyAlignment="1">
      <alignment horizontal="right"/>
      <protection locked="0"/>
    </xf>
    <xf numFmtId="4" fontId="61" fillId="0" borderId="49" xfId="0" applyNumberFormat="1" applyFont="1" applyBorder="1" applyAlignment="1">
      <alignment horizontal="right"/>
      <protection locked="0"/>
    </xf>
    <xf numFmtId="1" fontId="9" fillId="0" borderId="18" xfId="178" applyNumberFormat="1" applyFont="1" applyBorder="1" applyAlignment="1">
      <alignment horizontal="right"/>
      <protection locked="0"/>
    </xf>
    <xf numFmtId="4" fontId="226" fillId="0" borderId="0" xfId="0" applyNumberFormat="1" applyFont="1" applyAlignment="1">
      <alignment horizontal="center" vertical="center"/>
      <protection locked="0"/>
    </xf>
    <xf numFmtId="4" fontId="225" fillId="0" borderId="0" xfId="0" applyNumberFormat="1" applyFont="1" applyAlignment="1">
      <alignment horizontal="center" vertical="center"/>
      <protection locked="0"/>
    </xf>
    <xf numFmtId="4" fontId="54" fillId="0" borderId="0" xfId="0" applyNumberFormat="1" applyFont="1" applyAlignment="1">
      <alignment horizontal="center" vertical="center"/>
      <protection locked="0"/>
    </xf>
    <xf numFmtId="37" fontId="9" fillId="0" borderId="18" xfId="0" applyNumberFormat="1" applyFont="1" applyBorder="1" applyAlignment="1">
      <alignment horizontal="right"/>
      <protection locked="0"/>
    </xf>
    <xf numFmtId="172" fontId="9" fillId="0" borderId="18" xfId="190" applyNumberFormat="1" applyFont="1" applyBorder="1" applyAlignment="1" applyProtection="1">
      <alignment horizontal="right"/>
      <protection locked="0"/>
    </xf>
    <xf numFmtId="4" fontId="103" fillId="0" borderId="0" xfId="124" applyNumberFormat="1" applyFont="1" applyAlignment="1">
      <alignment horizontal="center" vertical="center"/>
      <protection locked="0"/>
    </xf>
    <xf numFmtId="4" fontId="71" fillId="0" borderId="0" xfId="0" applyNumberFormat="1" applyFont="1" applyAlignment="1">
      <alignment horizontal="center" vertical="center"/>
      <protection locked="0"/>
    </xf>
    <xf numFmtId="0" fontId="54" fillId="0" borderId="0" xfId="45" applyFont="1" applyAlignment="1">
      <alignment horizontal="left" wrapText="1"/>
      <protection locked="0"/>
    </xf>
    <xf numFmtId="39" fontId="9" fillId="0" borderId="18" xfId="0" applyNumberFormat="1" applyFont="1" applyBorder="1" applyAlignment="1">
      <alignment horizontal="right"/>
      <protection locked="0"/>
    </xf>
    <xf numFmtId="0" fontId="10" fillId="0" borderId="18" xfId="192" applyFont="1" applyBorder="1" applyAlignment="1" applyProtection="1"/>
    <xf numFmtId="0" fontId="9" fillId="0" borderId="18" xfId="192" applyFont="1" applyBorder="1" applyAlignment="1">
      <alignment horizontal="left" wrapText="1"/>
      <protection locked="0"/>
    </xf>
    <xf numFmtId="4" fontId="9" fillId="0" borderId="18" xfId="192" applyNumberFormat="1" applyFont="1" applyBorder="1" applyAlignment="1">
      <alignment horizontal="right"/>
      <protection locked="0"/>
    </xf>
    <xf numFmtId="0" fontId="89" fillId="0" borderId="0" xfId="192" applyFont="1" applyAlignment="1">
      <alignment horizontal="left" vertical="top"/>
      <protection locked="0"/>
    </xf>
    <xf numFmtId="4" fontId="103" fillId="0" borderId="0" xfId="192" applyNumberFormat="1" applyFont="1" applyAlignment="1">
      <alignment horizontal="center" vertical="center"/>
      <protection locked="0"/>
    </xf>
    <xf numFmtId="0" fontId="71" fillId="0" borderId="0" xfId="192" applyFont="1" applyAlignment="1">
      <alignment horizontal="left" vertical="top"/>
      <protection locked="0"/>
    </xf>
    <xf numFmtId="1" fontId="9" fillId="0" borderId="18" xfId="192" applyNumberFormat="1" applyFont="1" applyBorder="1" applyAlignment="1">
      <alignment horizontal="right"/>
      <protection locked="0"/>
    </xf>
    <xf numFmtId="0" fontId="215" fillId="0" borderId="18" xfId="192" applyFont="1" applyBorder="1" applyAlignment="1" applyProtection="1">
      <alignment wrapText="1"/>
    </xf>
    <xf numFmtId="172" fontId="68" fillId="0" borderId="18" xfId="192" applyNumberFormat="1" applyFont="1" applyBorder="1" applyAlignment="1">
      <alignment horizontal="right" wrapText="1"/>
      <protection locked="0"/>
    </xf>
    <xf numFmtId="39" fontId="9" fillId="0" borderId="18" xfId="192" applyNumberFormat="1" applyFont="1" applyBorder="1" applyAlignment="1">
      <alignment horizontal="center"/>
      <protection locked="0"/>
    </xf>
    <xf numFmtId="4" fontId="103" fillId="0" borderId="0" xfId="0" applyNumberFormat="1" applyFont="1" applyAlignment="1">
      <alignment horizontal="center" vertical="center"/>
      <protection locked="0"/>
    </xf>
    <xf numFmtId="0" fontId="102" fillId="0" borderId="0" xfId="0" applyFont="1" applyAlignment="1">
      <alignment vertical="center"/>
      <protection locked="0"/>
    </xf>
    <xf numFmtId="0" fontId="29" fillId="0" borderId="0" xfId="45" applyAlignment="1">
      <alignment horizontal="left" vertical="top"/>
      <protection locked="0"/>
    </xf>
    <xf numFmtId="0" fontId="109" fillId="0" borderId="0" xfId="33" applyFont="1" applyAlignment="1" applyProtection="1">
      <alignment horizontal="left" vertical="top"/>
      <protection locked="0"/>
    </xf>
    <xf numFmtId="49" fontId="80" fillId="0" borderId="18" xfId="25" applyNumberFormat="1" applyFont="1" applyBorder="1" applyAlignment="1">
      <alignment horizontal="left" wrapText="1"/>
      <protection locked="0"/>
    </xf>
    <xf numFmtId="0" fontId="80" fillId="0" borderId="18" xfId="25" applyFont="1" applyBorder="1" applyAlignment="1">
      <alignment horizontal="left" wrapText="1"/>
      <protection locked="0"/>
    </xf>
    <xf numFmtId="172" fontId="114" fillId="0" borderId="18" xfId="25" applyNumberFormat="1" applyFont="1" applyBorder="1" applyAlignment="1">
      <alignment horizontal="right" wrapText="1"/>
      <protection locked="0"/>
    </xf>
    <xf numFmtId="4" fontId="80" fillId="0" borderId="18" xfId="25" applyNumberFormat="1" applyFont="1" applyBorder="1" applyAlignment="1">
      <alignment horizontal="right"/>
      <protection locked="0"/>
    </xf>
    <xf numFmtId="4" fontId="9" fillId="0" borderId="18" xfId="25" applyNumberFormat="1" applyFont="1" applyBorder="1" applyAlignment="1">
      <alignment horizontal="right"/>
      <protection locked="0"/>
    </xf>
    <xf numFmtId="0" fontId="12" fillId="0" borderId="18" xfId="25" applyBorder="1" applyAlignment="1">
      <alignment horizontal="left" vertical="top"/>
      <protection locked="0"/>
    </xf>
    <xf numFmtId="0" fontId="75" fillId="0" borderId="0" xfId="0" applyFont="1" applyAlignment="1">
      <alignment horizontal="left" wrapText="1"/>
      <protection locked="0"/>
    </xf>
    <xf numFmtId="0" fontId="80" fillId="0" borderId="18" xfId="0" applyFont="1" applyBorder="1" applyAlignment="1">
      <alignment horizontal="left" wrapText="1"/>
      <protection locked="0"/>
    </xf>
    <xf numFmtId="172" fontId="153" fillId="5" borderId="0" xfId="0" applyNumberFormat="1" applyFont="1" applyFill="1" applyAlignment="1">
      <alignment horizontal="right"/>
      <protection locked="0"/>
    </xf>
    <xf numFmtId="4" fontId="153" fillId="5" borderId="0" xfId="0" applyNumberFormat="1" applyFont="1" applyFill="1" applyAlignment="1">
      <alignment horizontal="right"/>
      <protection locked="0"/>
    </xf>
    <xf numFmtId="0" fontId="67" fillId="0" borderId="0" xfId="0" applyFont="1" applyAlignment="1" applyProtection="1"/>
    <xf numFmtId="172" fontId="80" fillId="0" borderId="40" xfId="0" applyNumberFormat="1" applyFont="1" applyBorder="1" applyAlignment="1">
      <alignment horizontal="right"/>
      <protection locked="0"/>
    </xf>
    <xf numFmtId="4" fontId="9" fillId="0" borderId="40" xfId="0" applyNumberFormat="1" applyFont="1" applyBorder="1" applyAlignment="1">
      <alignment horizontal="right"/>
      <protection locked="0"/>
    </xf>
    <xf numFmtId="4" fontId="61" fillId="0" borderId="33" xfId="0" applyNumberFormat="1" applyFont="1" applyBorder="1" applyAlignment="1">
      <alignment horizontal="right"/>
      <protection locked="0"/>
    </xf>
    <xf numFmtId="4" fontId="166" fillId="0" borderId="0" xfId="0" applyNumberFormat="1" applyFont="1" applyAlignment="1" applyProtection="1">
      <alignment vertical="center"/>
    </xf>
    <xf numFmtId="4" fontId="9" fillId="0" borderId="0" xfId="0" applyNumberFormat="1" applyFont="1" applyAlignment="1">
      <alignment horizontal="right"/>
      <protection locked="0"/>
    </xf>
    <xf numFmtId="0" fontId="169" fillId="0" borderId="0" xfId="0" applyFont="1" applyAlignment="1">
      <alignment horizontal="left" vertical="top"/>
      <protection locked="0"/>
    </xf>
    <xf numFmtId="172" fontId="9" fillId="0" borderId="0" xfId="0" applyNumberFormat="1" applyFont="1" applyAlignment="1">
      <alignment horizontal="right"/>
      <protection locked="0"/>
    </xf>
    <xf numFmtId="172" fontId="0" fillId="0" borderId="0" xfId="0" applyNumberFormat="1" applyAlignment="1">
      <alignment vertical="top"/>
      <protection locked="0"/>
    </xf>
    <xf numFmtId="0" fontId="13" fillId="0" borderId="0" xfId="0" applyFont="1" applyAlignment="1">
      <alignment horizontal="left"/>
      <protection locked="0"/>
    </xf>
    <xf numFmtId="0" fontId="161" fillId="0" borderId="60" xfId="89" applyFont="1" applyBorder="1" applyAlignment="1">
      <alignment horizontal="left" vertical="center"/>
    </xf>
    <xf numFmtId="49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72" fontId="0" fillId="0" borderId="0" xfId="0" applyNumberFormat="1" applyAlignment="1" applyProtection="1">
      <alignment horizontal="left"/>
    </xf>
    <xf numFmtId="0" fontId="59" fillId="5" borderId="0" xfId="0" applyFont="1" applyFill="1" applyAlignment="1" applyProtection="1">
      <alignment horizontal="left"/>
    </xf>
    <xf numFmtId="0" fontId="59" fillId="5" borderId="0" xfId="0" applyFont="1" applyFill="1" applyAlignment="1" applyProtection="1">
      <alignment horizontal="center"/>
    </xf>
    <xf numFmtId="0" fontId="203" fillId="5" borderId="0" xfId="0" applyFont="1" applyFill="1" applyAlignment="1">
      <alignment horizontal="right" vertical="top"/>
      <protection locked="0"/>
    </xf>
    <xf numFmtId="0" fontId="13" fillId="0" borderId="0" xfId="0" applyFont="1" applyAlignment="1">
      <protection locked="0"/>
    </xf>
    <xf numFmtId="0" fontId="63" fillId="5" borderId="33" xfId="0" applyFont="1" applyFill="1" applyBorder="1" applyAlignment="1" applyProtection="1">
      <alignment horizontal="center" vertical="center" wrapText="1"/>
    </xf>
    <xf numFmtId="0" fontId="63" fillId="5" borderId="39" xfId="0" applyFont="1" applyFill="1" applyBorder="1" applyAlignment="1" applyProtection="1">
      <alignment horizontal="center" vertical="center" wrapText="1"/>
    </xf>
    <xf numFmtId="0" fontId="63" fillId="5" borderId="15" xfId="0" applyFont="1" applyFill="1" applyBorder="1" applyAlignment="1" applyProtection="1">
      <alignment horizontal="center" vertical="center" wrapText="1"/>
    </xf>
    <xf numFmtId="37" fontId="61" fillId="0" borderId="0" xfId="0" applyNumberFormat="1" applyFont="1" applyAlignment="1">
      <alignment horizontal="right"/>
      <protection locked="0"/>
    </xf>
    <xf numFmtId="176" fontId="61" fillId="0" borderId="0" xfId="0" applyNumberFormat="1" applyFont="1" applyAlignment="1">
      <alignment horizontal="right"/>
      <protection locked="0"/>
    </xf>
    <xf numFmtId="39" fontId="61" fillId="0" borderId="0" xfId="0" applyNumberFormat="1" applyFont="1" applyAlignment="1">
      <alignment horizontal="right"/>
      <protection locked="0"/>
    </xf>
    <xf numFmtId="49" fontId="9" fillId="0" borderId="18" xfId="0" applyNumberFormat="1" applyFont="1" applyBorder="1" applyAlignment="1">
      <alignment horizontal="left" wrapText="1"/>
      <protection locked="0"/>
    </xf>
    <xf numFmtId="172" fontId="9" fillId="0" borderId="34" xfId="44" applyNumberFormat="1" applyFont="1" applyBorder="1" applyAlignment="1">
      <alignment horizontal="right"/>
      <protection locked="0"/>
    </xf>
    <xf numFmtId="0" fontId="77" fillId="0" borderId="0" xfId="0" applyFont="1" applyAlignment="1">
      <alignment horizontal="left" vertical="center"/>
      <protection locked="0"/>
    </xf>
    <xf numFmtId="0" fontId="54" fillId="0" borderId="18" xfId="0" applyFont="1" applyBorder="1" applyAlignment="1" applyProtection="1">
      <alignment horizontal="left" wrapText="1"/>
    </xf>
    <xf numFmtId="0" fontId="42" fillId="0" borderId="0" xfId="122" applyFill="1" applyAlignment="1">
      <alignment horizontal="left" vertical="top"/>
      <protection locked="0"/>
    </xf>
    <xf numFmtId="0" fontId="71" fillId="0" borderId="0" xfId="0" applyFont="1" applyAlignment="1">
      <alignment horizontal="right" vertical="center"/>
      <protection locked="0"/>
    </xf>
    <xf numFmtId="37" fontId="153" fillId="0" borderId="0" xfId="0" applyNumberFormat="1" applyFont="1" applyAlignment="1">
      <alignment horizontal="right"/>
      <protection locked="0"/>
    </xf>
    <xf numFmtId="0" fontId="153" fillId="0" borderId="0" xfId="0" applyFont="1" applyAlignment="1">
      <alignment horizontal="left" wrapText="1"/>
      <protection locked="0"/>
    </xf>
    <xf numFmtId="2" fontId="153" fillId="0" borderId="0" xfId="0" applyNumberFormat="1" applyFont="1" applyAlignment="1">
      <alignment horizontal="right"/>
      <protection locked="0"/>
    </xf>
    <xf numFmtId="39" fontId="153" fillId="0" borderId="0" xfId="0" applyNumberFormat="1" applyFont="1" applyAlignment="1">
      <alignment horizontal="right"/>
      <protection locked="0"/>
    </xf>
    <xf numFmtId="0" fontId="29" fillId="0" borderId="0" xfId="44" applyAlignment="1">
      <alignment horizontal="left" vertical="top"/>
      <protection locked="0"/>
    </xf>
    <xf numFmtId="49" fontId="9" fillId="0" borderId="0" xfId="0" applyNumberFormat="1" applyFont="1" applyAlignment="1">
      <alignment horizontal="left" wrapText="1"/>
      <protection locked="0"/>
    </xf>
    <xf numFmtId="2" fontId="80" fillId="0" borderId="0" xfId="0" applyNumberFormat="1" applyFont="1" applyAlignment="1">
      <alignment horizontal="right"/>
      <protection locked="0"/>
    </xf>
    <xf numFmtId="2" fontId="80" fillId="0" borderId="40" xfId="0" applyNumberFormat="1" applyFont="1" applyBorder="1" applyAlignment="1">
      <alignment horizontal="right"/>
      <protection locked="0"/>
    </xf>
    <xf numFmtId="39" fontId="80" fillId="0" borderId="40" xfId="0" applyNumberFormat="1" applyFont="1" applyBorder="1" applyAlignment="1">
      <alignment horizontal="right"/>
      <protection locked="0"/>
    </xf>
    <xf numFmtId="37" fontId="80" fillId="0" borderId="0" xfId="0" applyNumberFormat="1" applyFont="1" applyAlignment="1">
      <alignment horizontal="right"/>
      <protection locked="0"/>
    </xf>
    <xf numFmtId="49" fontId="80" fillId="0" borderId="0" xfId="0" applyNumberFormat="1" applyFont="1" applyAlignment="1">
      <alignment horizontal="left" wrapText="1"/>
      <protection locked="0"/>
    </xf>
    <xf numFmtId="0" fontId="80" fillId="0" borderId="0" xfId="0" applyFont="1" applyAlignment="1">
      <alignment horizontal="center" wrapText="1"/>
      <protection locked="0"/>
    </xf>
    <xf numFmtId="176" fontId="80" fillId="0" borderId="0" xfId="0" applyNumberFormat="1" applyFont="1" applyAlignment="1">
      <alignment horizontal="right"/>
      <protection locked="0"/>
    </xf>
    <xf numFmtId="39" fontId="80" fillId="0" borderId="0" xfId="0" applyNumberFormat="1" applyFont="1" applyAlignment="1">
      <alignment horizontal="right"/>
      <protection locked="0"/>
    </xf>
    <xf numFmtId="0" fontId="13" fillId="0" borderId="0" xfId="0" applyFont="1" applyAlignment="1" applyProtection="1"/>
    <xf numFmtId="1" fontId="9" fillId="0" borderId="18" xfId="44" applyNumberFormat="1" applyFont="1" applyBorder="1" applyAlignment="1">
      <alignment horizontal="right"/>
      <protection locked="0"/>
    </xf>
    <xf numFmtId="0" fontId="9" fillId="0" borderId="18" xfId="44" applyFont="1" applyBorder="1" applyAlignment="1">
      <alignment horizontal="left" wrapText="1"/>
      <protection locked="0"/>
    </xf>
    <xf numFmtId="0" fontId="29" fillId="0" borderId="0" xfId="44" applyAlignment="1">
      <alignment horizontal="left" vertical="center"/>
      <protection locked="0"/>
    </xf>
    <xf numFmtId="0" fontId="184" fillId="0" borderId="0" xfId="44" applyFont="1" applyAlignment="1">
      <alignment horizontal="right" vertical="center"/>
      <protection locked="0"/>
    </xf>
    <xf numFmtId="0" fontId="71" fillId="0" borderId="0" xfId="44" applyFont="1" applyAlignment="1">
      <alignment horizontal="right" vertical="center"/>
      <protection locked="0"/>
    </xf>
    <xf numFmtId="0" fontId="54" fillId="0" borderId="18" xfId="44" applyFont="1" applyBorder="1" applyAlignment="1">
      <alignment horizontal="left" wrapText="1"/>
      <protection locked="0"/>
    </xf>
    <xf numFmtId="172" fontId="54" fillId="0" borderId="18" xfId="44" applyNumberFormat="1" applyFont="1" applyBorder="1" applyAlignment="1">
      <alignment horizontal="right"/>
      <protection locked="0"/>
    </xf>
    <xf numFmtId="4" fontId="9" fillId="0" borderId="18" xfId="44" applyNumberFormat="1" applyFont="1" applyBorder="1" applyAlignment="1">
      <alignment horizontal="right"/>
      <protection locked="0"/>
    </xf>
    <xf numFmtId="39" fontId="9" fillId="0" borderId="18" xfId="44" applyNumberFormat="1" applyFont="1" applyBorder="1" applyAlignment="1">
      <alignment horizontal="right" vertical="center"/>
      <protection locked="0"/>
    </xf>
    <xf numFmtId="1" fontId="61" fillId="0" borderId="18" xfId="44" applyNumberFormat="1" applyFont="1" applyBorder="1" applyAlignment="1">
      <alignment horizontal="right"/>
      <protection locked="0"/>
    </xf>
    <xf numFmtId="49" fontId="61" fillId="0" borderId="18" xfId="44" applyNumberFormat="1" applyFont="1" applyBorder="1" applyAlignment="1">
      <alignment horizontal="left" wrapText="1"/>
      <protection locked="0"/>
    </xf>
    <xf numFmtId="0" fontId="61" fillId="0" borderId="18" xfId="44" applyFont="1" applyBorder="1" applyAlignment="1">
      <alignment horizontal="left" wrapText="1"/>
      <protection locked="0"/>
    </xf>
    <xf numFmtId="172" fontId="29" fillId="0" borderId="0" xfId="44" applyNumberFormat="1" applyAlignment="1">
      <alignment horizontal="left" vertical="top"/>
      <protection locked="0"/>
    </xf>
    <xf numFmtId="4" fontId="137" fillId="0" borderId="18" xfId="44" applyNumberFormat="1" applyFont="1" applyBorder="1" applyAlignment="1">
      <alignment horizontal="right"/>
      <protection locked="0"/>
    </xf>
    <xf numFmtId="4" fontId="61" fillId="0" borderId="18" xfId="44" applyNumberFormat="1" applyFont="1" applyBorder="1" applyAlignment="1">
      <alignment horizontal="right"/>
      <protection locked="0"/>
    </xf>
    <xf numFmtId="0" fontId="106" fillId="0" borderId="0" xfId="44" applyFont="1" applyAlignment="1">
      <alignment vertical="center"/>
      <protection locked="0"/>
    </xf>
    <xf numFmtId="0" fontId="29" fillId="0" borderId="0" xfId="44" applyAlignment="1">
      <alignment horizontal="right" vertical="center"/>
      <protection locked="0"/>
    </xf>
    <xf numFmtId="0" fontId="29" fillId="0" borderId="0" xfId="44" applyAlignment="1">
      <alignment horizontal="center" vertical="center"/>
      <protection locked="0"/>
    </xf>
    <xf numFmtId="0" fontId="88" fillId="0" borderId="0" xfId="0" applyFont="1" applyAlignment="1">
      <alignment horizontal="right" vertical="center"/>
      <protection locked="0"/>
    </xf>
    <xf numFmtId="39" fontId="80" fillId="0" borderId="0" xfId="0" applyNumberFormat="1" applyFont="1" applyAlignment="1">
      <alignment horizontal="right" vertical="center"/>
      <protection locked="0"/>
    </xf>
    <xf numFmtId="39" fontId="9" fillId="0" borderId="0" xfId="0" applyNumberFormat="1" applyFont="1" applyAlignment="1">
      <alignment horizontal="right" vertical="center"/>
      <protection locked="0"/>
    </xf>
    <xf numFmtId="39" fontId="54" fillId="0" borderId="0" xfId="0" applyNumberFormat="1" applyFont="1" applyAlignment="1">
      <alignment horizontal="right" vertical="center"/>
      <protection locked="0"/>
    </xf>
    <xf numFmtId="0" fontId="0" fillId="0" borderId="0" xfId="0" applyAlignment="1">
      <alignment horizontal="left" vertical="center"/>
      <protection locked="0"/>
    </xf>
    <xf numFmtId="0" fontId="71" fillId="0" borderId="0" xfId="0" applyFont="1" applyAlignment="1">
      <alignment horizontal="left" vertical="center"/>
      <protection locked="0"/>
    </xf>
    <xf numFmtId="39" fontId="74" fillId="0" borderId="34" xfId="12" applyNumberFormat="1" applyFont="1" applyBorder="1" applyAlignment="1">
      <alignment horizontal="center"/>
      <protection locked="0"/>
    </xf>
    <xf numFmtId="0" fontId="42" fillId="0" borderId="0" xfId="122" applyFill="1" applyAlignment="1" applyProtection="1">
      <alignment vertical="center"/>
    </xf>
    <xf numFmtId="0" fontId="101" fillId="0" borderId="0" xfId="0" applyFont="1" applyAlignment="1" applyProtection="1">
      <alignment horizontal="right"/>
    </xf>
    <xf numFmtId="0" fontId="67" fillId="0" borderId="0" xfId="0" applyFont="1" applyAlignment="1" applyProtection="1">
      <alignment horizontal="left" vertical="center"/>
    </xf>
    <xf numFmtId="0" fontId="7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3" fillId="0" borderId="0" xfId="0" applyFont="1" applyAlignment="1">
      <alignment horizontal="left" vertical="center"/>
      <protection locked="0"/>
    </xf>
    <xf numFmtId="0" fontId="9" fillId="0" borderId="34" xfId="44" applyFont="1" applyBorder="1" applyAlignment="1">
      <alignment horizontal="left" wrapText="1"/>
      <protection locked="0"/>
    </xf>
    <xf numFmtId="0" fontId="233" fillId="0" borderId="0" xfId="0" applyFont="1" applyAlignment="1">
      <alignment horizontal="left" vertical="center"/>
      <protection locked="0"/>
    </xf>
    <xf numFmtId="39" fontId="9" fillId="0" borderId="18" xfId="44" applyNumberFormat="1" applyFont="1" applyBorder="1" applyAlignment="1">
      <alignment horizontal="center"/>
      <protection locked="0"/>
    </xf>
    <xf numFmtId="172" fontId="9" fillId="0" borderId="18" xfId="44" applyNumberFormat="1" applyFont="1" applyBorder="1" applyAlignment="1">
      <alignment horizontal="right"/>
      <protection locked="0"/>
    </xf>
    <xf numFmtId="39" fontId="76" fillId="0" borderId="18" xfId="44" applyNumberFormat="1" applyFont="1" applyBorder="1" applyAlignment="1">
      <alignment horizontal="right" vertical="center"/>
      <protection locked="0"/>
    </xf>
    <xf numFmtId="39" fontId="9" fillId="0" borderId="34" xfId="44" applyNumberFormat="1" applyFont="1" applyBorder="1" applyAlignment="1">
      <alignment horizontal="center"/>
      <protection locked="0"/>
    </xf>
    <xf numFmtId="39" fontId="61" fillId="0" borderId="18" xfId="44" applyNumberFormat="1" applyFont="1" applyBorder="1" applyAlignment="1">
      <alignment horizontal="right" vertical="center"/>
      <protection locked="0"/>
    </xf>
    <xf numFmtId="1" fontId="9" fillId="0" borderId="18" xfId="0" applyNumberFormat="1" applyFont="1" applyBorder="1" applyAlignment="1">
      <alignment horizontal="right"/>
      <protection locked="0"/>
    </xf>
    <xf numFmtId="39" fontId="61" fillId="0" borderId="18" xfId="0" applyNumberFormat="1" applyFont="1" applyBorder="1" applyAlignment="1">
      <alignment horizontal="right"/>
      <protection locked="0"/>
    </xf>
    <xf numFmtId="49" fontId="61" fillId="0" borderId="18" xfId="0" applyNumberFormat="1" applyFont="1" applyBorder="1" applyAlignment="1">
      <alignment horizontal="left" wrapText="1"/>
      <protection locked="0"/>
    </xf>
    <xf numFmtId="39" fontId="234" fillId="0" borderId="18" xfId="0" applyNumberFormat="1" applyFont="1" applyBorder="1" applyAlignment="1">
      <alignment horizontal="right"/>
      <protection locked="0"/>
    </xf>
    <xf numFmtId="0" fontId="83" fillId="0" borderId="18" xfId="0" applyFont="1" applyBorder="1" applyAlignment="1">
      <alignment horizontal="right" vertical="center"/>
      <protection locked="0"/>
    </xf>
    <xf numFmtId="0" fontId="169" fillId="0" borderId="0" xfId="0" applyFont="1" applyAlignment="1">
      <alignment vertical="top"/>
      <protection locked="0"/>
    </xf>
    <xf numFmtId="2" fontId="169" fillId="0" borderId="0" xfId="0" applyNumberFormat="1" applyFont="1" applyAlignment="1">
      <alignment vertical="top"/>
      <protection locked="0"/>
    </xf>
    <xf numFmtId="2" fontId="204" fillId="0" borderId="0" xfId="0" applyNumberFormat="1" applyFont="1" applyAlignment="1">
      <alignment horizontal="center"/>
      <protection locked="0"/>
    </xf>
    <xf numFmtId="0" fontId="203" fillId="0" borderId="0" xfId="0" applyFont="1" applyAlignment="1">
      <alignment horizontal="right" vertical="top"/>
      <protection locked="0"/>
    </xf>
    <xf numFmtId="0" fontId="10" fillId="0" borderId="0" xfId="193" applyFont="1" applyAlignment="1">
      <alignment vertical="center"/>
    </xf>
    <xf numFmtId="0" fontId="213" fillId="0" borderId="0" xfId="0" applyFont="1" applyAlignment="1">
      <alignment horizontal="center"/>
      <protection locked="0"/>
    </xf>
    <xf numFmtId="0" fontId="11" fillId="0" borderId="0" xfId="0" applyFont="1" applyAlignment="1">
      <alignment horizontal="left"/>
      <protection locked="0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right"/>
    </xf>
    <xf numFmtId="4" fontId="228" fillId="0" borderId="0" xfId="0" applyNumberFormat="1" applyFont="1" applyAlignment="1">
      <alignment horizontal="left" vertical="center"/>
      <protection locked="0"/>
    </xf>
    <xf numFmtId="2" fontId="0" fillId="0" borderId="0" xfId="0" applyNumberFormat="1" applyAlignment="1">
      <alignment horizontal="left" vertical="top"/>
      <protection locked="0"/>
    </xf>
    <xf numFmtId="0" fontId="216" fillId="0" borderId="0" xfId="0" applyFont="1" applyAlignment="1">
      <alignment horizontal="left" vertical="center"/>
      <protection locked="0"/>
    </xf>
    <xf numFmtId="0" fontId="230" fillId="0" borderId="0" xfId="0" applyFont="1" applyAlignment="1">
      <alignment horizontal="left" vertical="top"/>
      <protection locked="0"/>
    </xf>
    <xf numFmtId="0" fontId="230" fillId="0" borderId="0" xfId="0" applyFont="1" applyAlignment="1">
      <alignment vertical="top"/>
      <protection locked="0"/>
    </xf>
    <xf numFmtId="0" fontId="225" fillId="0" borderId="0" xfId="0" applyFont="1" applyAlignment="1">
      <alignment horizontal="left" vertical="top"/>
      <protection locked="0"/>
    </xf>
    <xf numFmtId="0" fontId="17" fillId="0" borderId="0" xfId="0" applyFont="1" applyAlignment="1">
      <alignment horizontal="right"/>
      <protection locked="0"/>
    </xf>
    <xf numFmtId="39" fontId="173" fillId="0" borderId="0" xfId="0" applyNumberFormat="1" applyFont="1" applyAlignment="1">
      <alignment horizontal="right" vertical="center"/>
      <protection locked="0"/>
    </xf>
    <xf numFmtId="0" fontId="17" fillId="0" borderId="0" xfId="0" applyFont="1" applyAlignment="1">
      <alignment horizontal="left"/>
      <protection locked="0"/>
    </xf>
    <xf numFmtId="0" fontId="67" fillId="0" borderId="0" xfId="0" applyFont="1" applyAlignment="1">
      <alignment horizontal="left" vertical="center"/>
      <protection locked="0"/>
    </xf>
    <xf numFmtId="0" fontId="67" fillId="0" borderId="0" xfId="0" applyFont="1" applyAlignment="1">
      <alignment horizontal="left" vertical="top"/>
      <protection locked="0"/>
    </xf>
    <xf numFmtId="4" fontId="67" fillId="0" borderId="0" xfId="0" applyNumberFormat="1" applyFont="1" applyAlignment="1">
      <alignment horizontal="left" vertical="center"/>
      <protection locked="0"/>
    </xf>
    <xf numFmtId="177" fontId="13" fillId="0" borderId="0" xfId="0" applyNumberFormat="1" applyFont="1" applyAlignment="1">
      <alignment horizontal="center"/>
      <protection locked="0"/>
    </xf>
    <xf numFmtId="0" fontId="50" fillId="0" borderId="0" xfId="0" applyFont="1" applyAlignment="1">
      <alignment horizontal="center"/>
      <protection locked="0"/>
    </xf>
    <xf numFmtId="0" fontId="101" fillId="0" borderId="0" xfId="0" applyFont="1" applyAlignment="1">
      <alignment horizontal="left" vertical="center"/>
      <protection locked="0"/>
    </xf>
    <xf numFmtId="0" fontId="100" fillId="0" borderId="0" xfId="44" applyFont="1" applyAlignment="1">
      <alignment horizontal="left" vertical="center"/>
      <protection locked="0"/>
    </xf>
    <xf numFmtId="0" fontId="213" fillId="0" borderId="0" xfId="44" applyFont="1" applyAlignment="1">
      <alignment horizontal="center"/>
      <protection locked="0"/>
    </xf>
    <xf numFmtId="0" fontId="29" fillId="0" borderId="0" xfId="44" applyAlignment="1" applyProtection="1">
      <alignment vertical="center"/>
    </xf>
    <xf numFmtId="2" fontId="29" fillId="0" borderId="0" xfId="44" applyNumberFormat="1" applyAlignment="1" applyProtection="1">
      <alignment vertical="center"/>
    </xf>
    <xf numFmtId="0" fontId="67" fillId="0" borderId="0" xfId="44" applyFont="1" applyAlignment="1">
      <alignment horizontal="left" vertical="center"/>
      <protection locked="0"/>
    </xf>
    <xf numFmtId="0" fontId="71" fillId="0" borderId="0" xfId="44" applyFont="1" applyAlignment="1">
      <alignment horizontal="left" vertical="center"/>
      <protection locked="0"/>
    </xf>
    <xf numFmtId="0" fontId="71" fillId="0" borderId="0" xfId="0" applyFont="1" applyAlignment="1">
      <alignment horizontal="left" vertical="top"/>
      <protection locked="0"/>
    </xf>
    <xf numFmtId="49" fontId="106" fillId="0" borderId="60" xfId="44" applyNumberFormat="1" applyFont="1" applyBorder="1" applyAlignment="1">
      <alignment horizontal="right" vertical="center" wrapText="1"/>
      <protection locked="0"/>
    </xf>
    <xf numFmtId="0" fontId="101" fillId="0" borderId="0" xfId="0" applyFont="1" applyAlignment="1" applyProtection="1">
      <alignment vertical="center"/>
    </xf>
    <xf numFmtId="0" fontId="229" fillId="0" borderId="0" xfId="0" applyFont="1" applyAlignment="1" applyProtection="1"/>
    <xf numFmtId="0" fontId="71" fillId="0" borderId="0" xfId="0" applyFont="1" applyAlignment="1">
      <alignment vertical="center"/>
      <protection locked="0"/>
    </xf>
    <xf numFmtId="0" fontId="67" fillId="0" borderId="0" xfId="0" applyFont="1" applyAlignment="1">
      <alignment vertical="center"/>
      <protection locked="0"/>
    </xf>
    <xf numFmtId="181" fontId="67" fillId="0" borderId="0" xfId="0" applyNumberFormat="1" applyFont="1" applyAlignment="1">
      <alignment vertical="center"/>
      <protection locked="0"/>
    </xf>
    <xf numFmtId="0" fontId="67" fillId="0" borderId="0" xfId="0" applyFont="1" applyAlignment="1" applyProtection="1">
      <alignment horizontal="right"/>
    </xf>
    <xf numFmtId="0" fontId="29" fillId="0" borderId="0" xfId="0" applyFont="1" applyAlignment="1" applyProtection="1">
      <alignment horizontal="left"/>
    </xf>
    <xf numFmtId="0" fontId="0" fillId="0" borderId="0" xfId="0" applyAlignment="1">
      <alignment horizontal="left"/>
      <protection locked="0"/>
    </xf>
    <xf numFmtId="0" fontId="71" fillId="0" borderId="0" xfId="0" applyFont="1" applyAlignment="1" applyProtection="1">
      <alignment horizontal="right"/>
    </xf>
    <xf numFmtId="0" fontId="29" fillId="0" borderId="0" xfId="0" applyFont="1" applyAlignment="1">
      <alignment horizontal="left" vertical="top"/>
      <protection locked="0"/>
    </xf>
    <xf numFmtId="174" fontId="112" fillId="0" borderId="0" xfId="0" applyNumberFormat="1" applyFont="1" applyAlignment="1">
      <alignment horizontal="left"/>
      <protection locked="0"/>
    </xf>
    <xf numFmtId="172" fontId="14" fillId="0" borderId="0" xfId="25" applyNumberFormat="1" applyFont="1" applyAlignment="1" applyProtection="1"/>
    <xf numFmtId="0" fontId="235" fillId="0" borderId="0" xfId="25" applyFont="1" applyAlignment="1" applyProtection="1">
      <alignment horizontal="left"/>
    </xf>
    <xf numFmtId="172" fontId="59" fillId="0" borderId="0" xfId="184" applyNumberFormat="1" applyFont="1" applyAlignment="1">
      <alignment horizontal="left"/>
    </xf>
    <xf numFmtId="172" fontId="63" fillId="0" borderId="33" xfId="184" applyNumberFormat="1" applyFont="1" applyBorder="1" applyAlignment="1">
      <alignment horizontal="center" vertical="center" wrapText="1"/>
    </xf>
    <xf numFmtId="0" fontId="236" fillId="0" borderId="0" xfId="146" applyNumberFormat="1" applyFont="1" applyFill="1" applyAlignment="1" applyProtection="1">
      <alignment vertical="center"/>
    </xf>
    <xf numFmtId="172" fontId="61" fillId="0" borderId="34" xfId="184" applyNumberFormat="1" applyFont="1" applyBorder="1" applyAlignment="1">
      <alignment horizontal="right"/>
    </xf>
    <xf numFmtId="39" fontId="61" fillId="0" borderId="34" xfId="184" applyNumberFormat="1" applyFont="1" applyBorder="1" applyAlignment="1" applyProtection="1">
      <alignment horizontal="right"/>
      <protection locked="0"/>
    </xf>
    <xf numFmtId="0" fontId="2" fillId="0" borderId="34" xfId="184" applyBorder="1" applyAlignment="1" applyProtection="1">
      <alignment vertical="top"/>
      <protection locked="0"/>
    </xf>
    <xf numFmtId="49" fontId="9" fillId="0" borderId="18" xfId="184" applyNumberFormat="1" applyFont="1" applyBorder="1" applyAlignment="1" applyProtection="1">
      <alignment horizontal="right"/>
      <protection locked="0"/>
    </xf>
    <xf numFmtId="172" fontId="114" fillId="0" borderId="34" xfId="184" applyNumberFormat="1" applyFont="1" applyBorder="1" applyAlignment="1" applyProtection="1">
      <alignment horizontal="right"/>
      <protection locked="0"/>
    </xf>
    <xf numFmtId="0" fontId="101" fillId="0" borderId="0" xfId="184" applyFont="1" applyAlignment="1">
      <alignment vertical="center"/>
    </xf>
    <xf numFmtId="0" fontId="2" fillId="0" borderId="0" xfId="184" applyAlignment="1" applyProtection="1">
      <alignment horizontal="left" vertical="center"/>
      <protection locked="0"/>
    </xf>
    <xf numFmtId="0" fontId="57" fillId="0" borderId="0" xfId="184" applyFont="1" applyAlignment="1" applyProtection="1">
      <alignment horizontal="left" vertical="top"/>
      <protection locked="0"/>
    </xf>
    <xf numFmtId="37" fontId="9" fillId="0" borderId="34" xfId="46" applyNumberFormat="1" applyFont="1" applyBorder="1" applyAlignment="1">
      <alignment horizontal="right"/>
      <protection locked="0"/>
    </xf>
    <xf numFmtId="0" fontId="9" fillId="0" borderId="34" xfId="46" applyFont="1" applyBorder="1" applyAlignment="1">
      <alignment horizontal="left" wrapText="1"/>
      <protection locked="0"/>
    </xf>
    <xf numFmtId="0" fontId="54" fillId="0" borderId="34" xfId="46" applyFont="1" applyBorder="1" applyAlignment="1">
      <alignment horizontal="left" wrapText="1"/>
      <protection locked="0"/>
    </xf>
    <xf numFmtId="172" fontId="114" fillId="0" borderId="34" xfId="46" applyNumberFormat="1" applyFont="1" applyBorder="1" applyAlignment="1">
      <alignment horizontal="right"/>
      <protection locked="0"/>
    </xf>
    <xf numFmtId="39" fontId="9" fillId="0" borderId="34" xfId="46" applyNumberFormat="1" applyFont="1" applyBorder="1" applyAlignment="1">
      <alignment horizontal="right"/>
      <protection locked="0"/>
    </xf>
    <xf numFmtId="0" fontId="100" fillId="0" borderId="34" xfId="46" applyFont="1" applyBorder="1" applyAlignment="1">
      <alignment horizontal="right" vertical="center"/>
      <protection locked="0"/>
    </xf>
    <xf numFmtId="0" fontId="29" fillId="0" borderId="0" xfId="46" applyAlignment="1" applyProtection="1"/>
    <xf numFmtId="0" fontId="80" fillId="0" borderId="0" xfId="184" applyFont="1" applyAlignment="1" applyProtection="1">
      <alignment horizontal="left" wrapText="1"/>
      <protection locked="0"/>
    </xf>
    <xf numFmtId="172" fontId="54" fillId="0" borderId="0" xfId="184" applyNumberFormat="1" applyFont="1" applyAlignment="1" applyProtection="1">
      <alignment horizontal="right"/>
      <protection locked="0"/>
    </xf>
    <xf numFmtId="39" fontId="80" fillId="0" borderId="0" xfId="184" applyNumberFormat="1" applyFont="1" applyAlignment="1" applyProtection="1">
      <alignment horizontal="right"/>
      <protection locked="0"/>
    </xf>
    <xf numFmtId="39" fontId="9" fillId="0" borderId="0" xfId="184" applyNumberFormat="1" applyFont="1" applyAlignment="1" applyProtection="1">
      <alignment horizontal="right"/>
      <protection locked="0"/>
    </xf>
    <xf numFmtId="0" fontId="90" fillId="0" borderId="0" xfId="184" applyFont="1" applyAlignment="1" applyProtection="1">
      <alignment horizontal="center" vertical="center"/>
      <protection locked="0"/>
    </xf>
    <xf numFmtId="2" fontId="58" fillId="0" borderId="34" xfId="184" applyNumberFormat="1" applyFont="1" applyBorder="1" applyAlignment="1" applyProtection="1">
      <alignment horizontal="left" vertical="center"/>
      <protection locked="0"/>
    </xf>
    <xf numFmtId="0" fontId="54" fillId="0" borderId="61" xfId="184" applyFont="1" applyBorder="1" applyAlignment="1" applyProtection="1">
      <alignment horizontal="left" wrapText="1"/>
      <protection locked="0"/>
    </xf>
    <xf numFmtId="37" fontId="9" fillId="0" borderId="62" xfId="184" applyNumberFormat="1" applyFont="1" applyBorder="1" applyAlignment="1" applyProtection="1">
      <alignment horizontal="right"/>
      <protection locked="0"/>
    </xf>
    <xf numFmtId="0" fontId="9" fillId="0" borderId="63" xfId="184" applyFont="1" applyBorder="1" applyAlignment="1" applyProtection="1">
      <alignment horizontal="left" wrapText="1"/>
      <protection locked="0"/>
    </xf>
    <xf numFmtId="0" fontId="9" fillId="0" borderId="62" xfId="184" applyFont="1" applyBorder="1" applyAlignment="1" applyProtection="1">
      <alignment horizontal="left" wrapText="1"/>
      <protection locked="0"/>
    </xf>
    <xf numFmtId="39" fontId="9" fillId="0" borderId="62" xfId="184" applyNumberFormat="1" applyFont="1" applyBorder="1" applyAlignment="1" applyProtection="1">
      <alignment horizontal="right"/>
      <protection locked="0"/>
    </xf>
    <xf numFmtId="0" fontId="139" fillId="0" borderId="60" xfId="146" applyNumberFormat="1" applyFont="1" applyFill="1" applyBorder="1" applyAlignment="1">
      <alignment horizontal="right" vertical="center"/>
      <protection locked="0"/>
    </xf>
    <xf numFmtId="0" fontId="238" fillId="0" borderId="0" xfId="146" applyFont="1" applyFill="1" applyBorder="1" applyAlignment="1" applyProtection="1">
      <alignment horizontal="left" vertical="center"/>
      <protection locked="0"/>
    </xf>
    <xf numFmtId="0" fontId="54" fillId="0" borderId="18" xfId="184" applyFont="1" applyBorder="1" applyAlignment="1" applyProtection="1">
      <alignment horizontal="left" wrapText="1"/>
      <protection locked="0"/>
    </xf>
    <xf numFmtId="172" fontId="68" fillId="0" borderId="18" xfId="184" applyNumberFormat="1" applyFont="1" applyBorder="1" applyAlignment="1" applyProtection="1">
      <alignment horizontal="right"/>
      <protection locked="0"/>
    </xf>
    <xf numFmtId="39" fontId="9" fillId="0" borderId="57" xfId="3" applyNumberFormat="1" applyFont="1" applyBorder="1" applyAlignment="1" applyProtection="1">
      <alignment horizontal="center"/>
      <protection locked="0"/>
    </xf>
    <xf numFmtId="0" fontId="139" fillId="0" borderId="60" xfId="146" applyFont="1" applyFill="1" applyBorder="1" applyAlignment="1">
      <alignment horizontal="left" vertical="center"/>
      <protection locked="0"/>
    </xf>
    <xf numFmtId="37" fontId="80" fillId="0" borderId="18" xfId="184" applyNumberFormat="1" applyFont="1" applyBorder="1" applyAlignment="1" applyProtection="1">
      <alignment horizontal="right"/>
      <protection locked="0"/>
    </xf>
    <xf numFmtId="0" fontId="80" fillId="0" borderId="18" xfId="184" applyFont="1" applyBorder="1" applyAlignment="1" applyProtection="1">
      <alignment horizontal="left" wrapText="1"/>
      <protection locked="0"/>
    </xf>
    <xf numFmtId="172" fontId="54" fillId="0" borderId="18" xfId="184" applyNumberFormat="1" applyFont="1" applyBorder="1" applyAlignment="1" applyProtection="1">
      <alignment horizontal="right"/>
      <protection locked="0"/>
    </xf>
    <xf numFmtId="2" fontId="58" fillId="0" borderId="18" xfId="184" applyNumberFormat="1" applyFont="1" applyBorder="1" applyAlignment="1" applyProtection="1">
      <alignment horizontal="left" vertical="center"/>
      <protection locked="0"/>
    </xf>
    <xf numFmtId="0" fontId="2" fillId="0" borderId="18" xfId="184" applyBorder="1" applyAlignment="1" applyProtection="1">
      <alignment horizontal="left" vertical="top"/>
      <protection locked="0"/>
    </xf>
    <xf numFmtId="0" fontId="62" fillId="0" borderId="18" xfId="184" applyFont="1" applyBorder="1" applyAlignment="1" applyProtection="1">
      <alignment horizontal="center" vertical="center" wrapText="1"/>
      <protection locked="0"/>
    </xf>
    <xf numFmtId="39" fontId="80" fillId="0" borderId="18" xfId="184" applyNumberFormat="1" applyFont="1" applyBorder="1" applyAlignment="1" applyProtection="1">
      <alignment horizontal="right"/>
      <protection locked="0"/>
    </xf>
    <xf numFmtId="0" fontId="139" fillId="0" borderId="0" xfId="146" applyNumberFormat="1" applyFont="1" applyFill="1" applyAlignment="1">
      <alignment horizontal="left" vertical="center"/>
      <protection locked="0"/>
    </xf>
    <xf numFmtId="0" fontId="29" fillId="0" borderId="0" xfId="46" applyAlignment="1">
      <alignment horizontal="left" vertical="top"/>
      <protection locked="0"/>
    </xf>
    <xf numFmtId="1" fontId="9" fillId="0" borderId="34" xfId="46" applyNumberFormat="1" applyFont="1" applyBorder="1" applyAlignment="1">
      <alignment horizontal="right" wrapText="1"/>
      <protection locked="0"/>
    </xf>
    <xf numFmtId="49" fontId="9" fillId="0" borderId="34" xfId="46" applyNumberFormat="1" applyFont="1" applyBorder="1" applyAlignment="1">
      <alignment horizontal="left" wrapText="1"/>
      <protection locked="0"/>
    </xf>
    <xf numFmtId="4" fontId="54" fillId="0" borderId="34" xfId="46" applyNumberFormat="1" applyFont="1" applyBorder="1" applyAlignment="1">
      <alignment horizontal="right"/>
      <protection locked="0"/>
    </xf>
    <xf numFmtId="4" fontId="9" fillId="0" borderId="34" xfId="46" applyNumberFormat="1" applyFont="1" applyBorder="1" applyAlignment="1">
      <alignment horizontal="right"/>
      <protection locked="0"/>
    </xf>
    <xf numFmtId="39" fontId="9" fillId="0" borderId="34" xfId="46" applyNumberFormat="1" applyFont="1" applyBorder="1" applyAlignment="1">
      <alignment horizontal="center"/>
      <protection locked="0"/>
    </xf>
    <xf numFmtId="172" fontId="61" fillId="0" borderId="34" xfId="3" applyNumberFormat="1" applyFont="1" applyBorder="1" applyAlignment="1" applyProtection="1">
      <alignment horizontal="right"/>
      <protection locked="0"/>
    </xf>
    <xf numFmtId="172" fontId="9" fillId="0" borderId="34" xfId="67" applyNumberFormat="1" applyFont="1" applyBorder="1" applyAlignment="1" applyProtection="1">
      <alignment horizontal="right"/>
      <protection locked="0"/>
    </xf>
    <xf numFmtId="0" fontId="240" fillId="0" borderId="0" xfId="29" applyNumberFormat="1" applyFont="1" applyFill="1" applyAlignment="1" applyProtection="1">
      <alignment horizontal="left" vertical="center"/>
    </xf>
    <xf numFmtId="1" fontId="80" fillId="0" borderId="34" xfId="184" applyNumberFormat="1" applyFont="1" applyBorder="1" applyAlignment="1" applyProtection="1">
      <alignment horizontal="right"/>
      <protection locked="0"/>
    </xf>
    <xf numFmtId="49" fontId="80" fillId="0" borderId="34" xfId="184" applyNumberFormat="1" applyFont="1" applyBorder="1" applyAlignment="1" applyProtection="1">
      <alignment horizontal="left" wrapText="1"/>
      <protection locked="0"/>
    </xf>
    <xf numFmtId="0" fontId="229" fillId="0" borderId="0" xfId="184" applyFont="1"/>
    <xf numFmtId="172" fontId="2" fillId="0" borderId="0" xfId="184" applyNumberFormat="1"/>
    <xf numFmtId="39" fontId="116" fillId="0" borderId="34" xfId="184" applyNumberFormat="1" applyFont="1" applyBorder="1" applyAlignment="1" applyProtection="1">
      <alignment horizontal="right"/>
      <protection locked="0"/>
    </xf>
    <xf numFmtId="39" fontId="9" fillId="0" borderId="34" xfId="184" applyNumberFormat="1" applyFont="1" applyBorder="1" applyAlignment="1" applyProtection="1">
      <alignment horizontal="center" vertical="center"/>
      <protection locked="0"/>
    </xf>
    <xf numFmtId="0" fontId="2" fillId="0" borderId="0" xfId="184" applyAlignment="1">
      <alignment vertical="center"/>
    </xf>
    <xf numFmtId="0" fontId="229" fillId="0" borderId="0" xfId="184" applyFont="1" applyAlignment="1">
      <alignment vertical="center"/>
    </xf>
    <xf numFmtId="0" fontId="184" fillId="0" borderId="0" xfId="184" applyFont="1" applyAlignment="1">
      <alignment vertical="center"/>
    </xf>
    <xf numFmtId="0" fontId="83" fillId="0" borderId="34" xfId="184" applyFont="1" applyBorder="1" applyAlignment="1" applyProtection="1">
      <alignment horizontal="right" vertical="center"/>
      <protection locked="0"/>
    </xf>
    <xf numFmtId="0" fontId="39" fillId="0" borderId="0" xfId="64" applyNumberFormat="1" applyFill="1" applyAlignment="1" applyProtection="1">
      <alignment vertical="center"/>
    </xf>
    <xf numFmtId="0" fontId="2" fillId="12" borderId="0" xfId="184" applyFill="1"/>
    <xf numFmtId="0" fontId="100" fillId="0" borderId="0" xfId="29" applyNumberFormat="1" applyFont="1" applyFill="1" applyAlignment="1">
      <alignment horizontal="left" vertical="center"/>
      <protection locked="0"/>
    </xf>
    <xf numFmtId="2" fontId="2" fillId="0" borderId="0" xfId="184" applyNumberFormat="1" applyAlignment="1" applyProtection="1">
      <alignment horizontal="left" vertical="top"/>
      <protection locked="0"/>
    </xf>
    <xf numFmtId="0" fontId="116" fillId="0" borderId="34" xfId="184" applyFont="1" applyBorder="1" applyAlignment="1" applyProtection="1">
      <alignment horizontal="left" wrapText="1"/>
      <protection locked="0"/>
    </xf>
    <xf numFmtId="0" fontId="33" fillId="0" borderId="0" xfId="29" applyNumberFormat="1" applyFill="1" applyAlignment="1">
      <alignment horizontal="left" vertical="top"/>
      <protection locked="0"/>
    </xf>
    <xf numFmtId="0" fontId="68" fillId="0" borderId="34" xfId="25" applyFont="1" applyBorder="1" applyAlignment="1">
      <alignment horizontal="left" wrapText="1"/>
      <protection locked="0"/>
    </xf>
    <xf numFmtId="0" fontId="240" fillId="0" borderId="0" xfId="64" applyFont="1" applyFill="1" applyAlignment="1" applyProtection="1">
      <alignment vertical="center"/>
    </xf>
    <xf numFmtId="0" fontId="39" fillId="0" borderId="0" xfId="64" applyFill="1" applyAlignment="1">
      <alignment horizontal="left" vertical="top"/>
      <protection locked="0"/>
    </xf>
    <xf numFmtId="39" fontId="9" fillId="0" borderId="34" xfId="184" applyNumberFormat="1" applyFont="1" applyBorder="1" applyAlignment="1" applyProtection="1">
      <alignment horizontal="right" vertical="center"/>
      <protection locked="0"/>
    </xf>
    <xf numFmtId="0" fontId="33" fillId="0" borderId="0" xfId="29" applyFill="1" applyAlignment="1">
      <alignment horizontal="left" vertical="top"/>
      <protection locked="0"/>
    </xf>
    <xf numFmtId="2" fontId="9" fillId="0" borderId="34" xfId="184" applyNumberFormat="1" applyFont="1" applyBorder="1" applyAlignment="1" applyProtection="1">
      <alignment horizontal="right"/>
      <protection locked="0"/>
    </xf>
    <xf numFmtId="1" fontId="100" fillId="0" borderId="0" xfId="29" applyNumberFormat="1" applyFont="1" applyFill="1" applyAlignment="1">
      <alignment horizontal="center" vertical="center"/>
      <protection locked="0"/>
    </xf>
    <xf numFmtId="0" fontId="100" fillId="0" borderId="0" xfId="29" applyNumberFormat="1" applyFont="1" applyFill="1" applyAlignment="1">
      <alignment horizontal="center" vertical="center"/>
      <protection locked="0"/>
    </xf>
    <xf numFmtId="172" fontId="80" fillId="0" borderId="34" xfId="184" applyNumberFormat="1" applyFont="1" applyBorder="1" applyAlignment="1" applyProtection="1">
      <alignment horizontal="right" wrapText="1"/>
      <protection locked="0"/>
    </xf>
    <xf numFmtId="0" fontId="12" fillId="0" borderId="34" xfId="184" applyFont="1" applyBorder="1" applyAlignment="1" applyProtection="1">
      <alignment horizontal="center" vertical="top"/>
      <protection locked="0"/>
    </xf>
    <xf numFmtId="39" fontId="54" fillId="0" borderId="34" xfId="3" applyNumberFormat="1" applyFont="1" applyBorder="1" applyAlignment="1" applyProtection="1">
      <alignment horizontal="right"/>
      <protection locked="0"/>
    </xf>
    <xf numFmtId="0" fontId="242" fillId="0" borderId="0" xfId="29" applyNumberFormat="1" applyFont="1" applyFill="1" applyAlignment="1">
      <alignment horizontal="left" vertical="center"/>
      <protection locked="0"/>
    </xf>
    <xf numFmtId="37" fontId="116" fillId="0" borderId="34" xfId="184" applyNumberFormat="1" applyFont="1" applyBorder="1" applyAlignment="1" applyProtection="1">
      <alignment horizontal="right"/>
      <protection locked="0"/>
    </xf>
    <xf numFmtId="0" fontId="54" fillId="0" borderId="34" xfId="184" applyFont="1" applyBorder="1" applyAlignment="1" applyProtection="1">
      <alignment horizontal="left" vertical="center" wrapText="1"/>
      <protection locked="0"/>
    </xf>
    <xf numFmtId="172" fontId="2" fillId="0" borderId="0" xfId="184" applyNumberFormat="1" applyAlignment="1" applyProtection="1">
      <alignment vertical="top"/>
      <protection locked="0"/>
    </xf>
    <xf numFmtId="172" fontId="54" fillId="0" borderId="34" xfId="184" applyNumberFormat="1" applyFont="1" applyBorder="1" applyAlignment="1" applyProtection="1">
      <alignment horizontal="right" wrapText="1"/>
      <protection locked="0"/>
    </xf>
    <xf numFmtId="0" fontId="243" fillId="0" borderId="0" xfId="184" applyFont="1" applyAlignment="1" applyProtection="1">
      <alignment horizontal="left" vertical="center"/>
      <protection locked="0"/>
    </xf>
    <xf numFmtId="0" fontId="243" fillId="0" borderId="0" xfId="184" applyFont="1" applyAlignment="1" applyProtection="1">
      <alignment horizontal="left" vertical="top"/>
      <protection locked="0"/>
    </xf>
    <xf numFmtId="0" fontId="244" fillId="0" borderId="0" xfId="184" applyFont="1" applyAlignment="1" applyProtection="1">
      <alignment horizontal="left" vertical="top"/>
      <protection locked="0"/>
    </xf>
    <xf numFmtId="0" fontId="240" fillId="0" borderId="0" xfId="64" applyNumberFormat="1" applyFont="1" applyFill="1" applyAlignment="1" applyProtection="1">
      <alignment vertical="center"/>
    </xf>
    <xf numFmtId="172" fontId="11" fillId="0" borderId="0" xfId="3" applyNumberFormat="1"/>
    <xf numFmtId="0" fontId="30" fillId="0" borderId="0" xfId="146" applyNumberFormat="1" applyFill="1" applyAlignment="1">
      <alignment horizontal="left" vertical="top"/>
      <protection locked="0"/>
    </xf>
    <xf numFmtId="0" fontId="81" fillId="0" borderId="0" xfId="3" applyFont="1" applyAlignment="1">
      <alignment vertical="center"/>
    </xf>
    <xf numFmtId="0" fontId="246" fillId="0" borderId="0" xfId="146" applyNumberFormat="1" applyFont="1" applyFill="1" applyAlignment="1">
      <alignment horizontal="left" vertical="top"/>
      <protection locked="0"/>
    </xf>
    <xf numFmtId="0" fontId="30" fillId="0" borderId="0" xfId="146" applyNumberFormat="1" applyFill="1" applyAlignment="1" applyProtection="1">
      <alignment vertical="center"/>
    </xf>
    <xf numFmtId="0" fontId="68" fillId="0" borderId="34" xfId="47" applyFont="1" applyBorder="1" applyAlignment="1">
      <alignment horizontal="left" wrapText="1"/>
      <protection locked="0"/>
    </xf>
    <xf numFmtId="2" fontId="114" fillId="0" borderId="34" xfId="184" applyNumberFormat="1" applyFont="1" applyBorder="1" applyAlignment="1" applyProtection="1">
      <alignment horizontal="right"/>
      <protection locked="0"/>
    </xf>
    <xf numFmtId="39" fontId="61" fillId="0" borderId="34" xfId="46" applyNumberFormat="1" applyFont="1" applyBorder="1" applyAlignment="1">
      <alignment horizontal="right" vertical="center"/>
      <protection locked="0"/>
    </xf>
    <xf numFmtId="0" fontId="39" fillId="0" borderId="0" xfId="64" applyNumberFormat="1" applyFill="1" applyAlignment="1" applyProtection="1"/>
    <xf numFmtId="0" fontId="2" fillId="0" borderId="0" xfId="184" applyAlignment="1">
      <alignment vertical="top"/>
    </xf>
    <xf numFmtId="0" fontId="2" fillId="0" borderId="0" xfId="184" applyAlignment="1">
      <alignment horizontal="right"/>
    </xf>
    <xf numFmtId="2" fontId="9" fillId="0" borderId="34" xfId="46" applyNumberFormat="1" applyFont="1" applyBorder="1" applyAlignment="1">
      <alignment horizontal="right"/>
      <protection locked="0"/>
    </xf>
    <xf numFmtId="2" fontId="114" fillId="0" borderId="34" xfId="46" applyNumberFormat="1" applyFont="1" applyBorder="1" applyAlignment="1">
      <alignment horizontal="right"/>
      <protection locked="0"/>
    </xf>
    <xf numFmtId="0" fontId="100" fillId="0" borderId="34" xfId="46" applyFont="1" applyBorder="1" applyAlignment="1">
      <alignment horizontal="center" vertical="center"/>
      <protection locked="0"/>
    </xf>
    <xf numFmtId="0" fontId="187" fillId="0" borderId="0" xfId="64" applyNumberFormat="1" applyFont="1" applyFill="1" applyAlignment="1" applyProtection="1"/>
    <xf numFmtId="0" fontId="229" fillId="0" borderId="0" xfId="146" applyNumberFormat="1" applyFont="1" applyFill="1" applyAlignment="1" applyProtection="1">
      <alignment vertical="center"/>
    </xf>
    <xf numFmtId="39" fontId="9" fillId="0" borderId="0" xfId="184" applyNumberFormat="1" applyFont="1" applyAlignment="1" applyProtection="1">
      <alignment horizontal="center"/>
      <protection locked="0"/>
    </xf>
    <xf numFmtId="0" fontId="213" fillId="0" borderId="0" xfId="64" applyNumberFormat="1" applyFont="1" applyFill="1" applyAlignment="1" applyProtection="1">
      <alignment vertical="center"/>
    </xf>
    <xf numFmtId="0" fontId="29" fillId="0" borderId="0" xfId="44" applyAlignment="1" applyProtection="1"/>
    <xf numFmtId="4" fontId="19" fillId="0" borderId="0" xfId="64" applyNumberFormat="1" applyFont="1" applyFill="1" applyAlignment="1" applyProtection="1">
      <alignment horizontal="center" vertical="center"/>
    </xf>
    <xf numFmtId="4" fontId="19" fillId="0" borderId="0" xfId="64" applyNumberFormat="1" applyFont="1" applyFill="1" applyAlignment="1" applyProtection="1">
      <alignment horizontal="left" vertical="center"/>
    </xf>
    <xf numFmtId="0" fontId="19" fillId="0" borderId="0" xfId="64" applyNumberFormat="1" applyFont="1" applyFill="1" applyAlignment="1" applyProtection="1">
      <alignment horizontal="center" vertical="center"/>
    </xf>
    <xf numFmtId="0" fontId="247" fillId="0" borderId="0" xfId="64" applyFont="1" applyFill="1" applyAlignment="1" applyProtection="1">
      <alignment vertical="center"/>
    </xf>
    <xf numFmtId="0" fontId="116" fillId="0" borderId="34" xfId="26" applyFont="1" applyBorder="1" applyAlignment="1">
      <alignment horizontal="left" wrapText="1"/>
      <protection locked="0"/>
    </xf>
    <xf numFmtId="0" fontId="248" fillId="0" borderId="34" xfId="26" applyFont="1" applyBorder="1" applyAlignment="1">
      <alignment horizontal="left" vertical="center" wrapText="1"/>
      <protection locked="0"/>
    </xf>
    <xf numFmtId="0" fontId="68" fillId="0" borderId="34" xfId="26" quotePrefix="1" applyFont="1" applyBorder="1" applyAlignment="1" applyProtection="1">
      <alignment horizontal="left" wrapText="1"/>
    </xf>
    <xf numFmtId="172" fontId="54" fillId="0" borderId="34" xfId="26" applyNumberFormat="1" applyFont="1" applyBorder="1" applyAlignment="1">
      <alignment horizontal="right"/>
      <protection locked="0"/>
    </xf>
    <xf numFmtId="173" fontId="9" fillId="0" borderId="34" xfId="184" applyNumberFormat="1" applyFont="1" applyBorder="1" applyAlignment="1" applyProtection="1">
      <alignment horizontal="right"/>
      <protection locked="0"/>
    </xf>
    <xf numFmtId="0" fontId="12" fillId="0" borderId="34" xfId="184" applyFont="1" applyBorder="1" applyAlignment="1" applyProtection="1">
      <alignment horizontal="right" vertical="center"/>
      <protection locked="0"/>
    </xf>
    <xf numFmtId="0" fontId="83" fillId="0" borderId="0" xfId="26" applyFont="1" applyAlignment="1">
      <alignment horizontal="left" vertical="top"/>
      <protection locked="0"/>
    </xf>
    <xf numFmtId="37" fontId="54" fillId="0" borderId="34" xfId="184" applyNumberFormat="1" applyFont="1" applyBorder="1" applyAlignment="1" applyProtection="1">
      <alignment horizontal="right"/>
      <protection locked="0"/>
    </xf>
    <xf numFmtId="39" fontId="54" fillId="0" borderId="34" xfId="184" applyNumberFormat="1" applyFont="1" applyBorder="1" applyAlignment="1" applyProtection="1">
      <alignment horizontal="right"/>
      <protection locked="0"/>
    </xf>
    <xf numFmtId="0" fontId="71" fillId="0" borderId="34" xfId="44" applyFont="1" applyBorder="1" applyAlignment="1">
      <alignment horizontal="center" vertical="center"/>
      <protection locked="0"/>
    </xf>
    <xf numFmtId="37" fontId="9" fillId="0" borderId="34" xfId="44" applyNumberFormat="1" applyFont="1" applyBorder="1" applyAlignment="1">
      <alignment horizontal="right"/>
      <protection locked="0"/>
    </xf>
    <xf numFmtId="0" fontId="68" fillId="0" borderId="34" xfId="44" applyFont="1" applyBorder="1" applyAlignment="1">
      <alignment horizontal="left" wrapText="1"/>
      <protection locked="0"/>
    </xf>
    <xf numFmtId="172" fontId="68" fillId="0" borderId="34" xfId="44" applyNumberFormat="1" applyFont="1" applyBorder="1" applyAlignment="1">
      <alignment horizontal="right"/>
      <protection locked="0"/>
    </xf>
    <xf numFmtId="39" fontId="9" fillId="0" borderId="34" xfId="44" applyNumberFormat="1" applyFont="1" applyBorder="1" applyAlignment="1">
      <alignment horizontal="right"/>
      <protection locked="0"/>
    </xf>
    <xf numFmtId="0" fontId="18" fillId="0" borderId="34" xfId="184" applyFont="1" applyBorder="1" applyAlignment="1" applyProtection="1">
      <alignment horizontal="right" vertical="center"/>
      <protection locked="0"/>
    </xf>
    <xf numFmtId="0" fontId="68" fillId="0" borderId="34" xfId="184" applyFont="1" applyBorder="1" applyAlignment="1" applyProtection="1">
      <alignment horizontal="left" wrapText="1"/>
      <protection locked="0"/>
    </xf>
    <xf numFmtId="0" fontId="39" fillId="0" borderId="0" xfId="146" applyFont="1" applyFill="1" applyAlignment="1" applyProtection="1">
      <alignment horizontal="left" vertical="top"/>
      <protection locked="0"/>
    </xf>
    <xf numFmtId="0" fontId="30" fillId="0" borderId="0" xfId="146" applyFill="1" applyAlignment="1" applyProtection="1">
      <alignment vertical="top"/>
    </xf>
    <xf numFmtId="37" fontId="9" fillId="0" borderId="34" xfId="46" applyNumberFormat="1" applyFont="1" applyBorder="1" applyAlignment="1" applyProtection="1">
      <alignment horizontal="right"/>
    </xf>
    <xf numFmtId="49" fontId="9" fillId="0" borderId="34" xfId="25" applyNumberFormat="1" applyFont="1" applyBorder="1" applyAlignment="1" applyProtection="1">
      <alignment horizontal="left" wrapText="1"/>
    </xf>
    <xf numFmtId="0" fontId="9" fillId="0" borderId="34" xfId="46" applyFont="1" applyBorder="1" applyAlignment="1" applyProtection="1">
      <alignment horizontal="left" wrapText="1"/>
    </xf>
    <xf numFmtId="172" fontId="9" fillId="0" borderId="34" xfId="46" applyNumberFormat="1" applyFont="1" applyBorder="1" applyAlignment="1" applyProtection="1">
      <alignment horizontal="right"/>
    </xf>
    <xf numFmtId="39" fontId="9" fillId="0" borderId="34" xfId="46" applyNumberFormat="1" applyFont="1" applyBorder="1" applyAlignment="1" applyProtection="1">
      <alignment horizontal="right"/>
    </xf>
    <xf numFmtId="37" fontId="9" fillId="0" borderId="0" xfId="184" applyNumberFormat="1" applyFont="1" applyAlignment="1" applyProtection="1">
      <alignment horizontal="right"/>
      <protection locked="0"/>
    </xf>
    <xf numFmtId="0" fontId="9" fillId="0" borderId="0" xfId="184" applyFont="1" applyAlignment="1" applyProtection="1">
      <alignment horizontal="left" wrapText="1"/>
      <protection locked="0"/>
    </xf>
    <xf numFmtId="172" fontId="153" fillId="0" borderId="0" xfId="184" applyNumberFormat="1" applyFont="1" applyAlignment="1">
      <alignment horizontal="right"/>
    </xf>
    <xf numFmtId="172" fontId="9" fillId="0" borderId="51" xfId="184" applyNumberFormat="1" applyFont="1" applyBorder="1" applyAlignment="1">
      <alignment horizontal="right"/>
    </xf>
    <xf numFmtId="172" fontId="80" fillId="0" borderId="40" xfId="184" applyNumberFormat="1" applyFont="1" applyBorder="1" applyAlignment="1">
      <alignment horizontal="right"/>
    </xf>
    <xf numFmtId="172" fontId="80" fillId="0" borderId="0" xfId="184" applyNumberFormat="1" applyFont="1" applyAlignment="1">
      <alignment horizontal="right"/>
    </xf>
    <xf numFmtId="0" fontId="169" fillId="0" borderId="0" xfId="184" applyFont="1" applyAlignment="1" applyProtection="1">
      <alignment horizontal="left" vertical="top"/>
      <protection locked="0"/>
    </xf>
    <xf numFmtId="0" fontId="88" fillId="0" borderId="0" xfId="184" applyFont="1" applyAlignment="1" applyProtection="1">
      <alignment horizontal="left" vertical="top"/>
      <protection locked="0"/>
    </xf>
    <xf numFmtId="0" fontId="187" fillId="0" borderId="0" xfId="44" applyFont="1" applyAlignment="1" applyProtection="1">
      <alignment vertical="center"/>
    </xf>
    <xf numFmtId="0" fontId="101" fillId="0" borderId="0" xfId="184" applyFont="1" applyAlignment="1" applyProtection="1">
      <alignment horizontal="right" vertical="center"/>
      <protection locked="0"/>
    </xf>
    <xf numFmtId="0" fontId="213" fillId="0" borderId="0" xfId="184" applyFont="1" applyAlignment="1" applyProtection="1">
      <alignment horizontal="left" vertical="top"/>
      <protection locked="0"/>
    </xf>
    <xf numFmtId="0" fontId="2" fillId="0" borderId="0" xfId="184" applyAlignment="1" applyProtection="1">
      <alignment horizontal="right" vertical="top"/>
      <protection locked="0"/>
    </xf>
    <xf numFmtId="0" fontId="29" fillId="0" borderId="0" xfId="46" applyAlignment="1" applyProtection="1">
      <alignment vertical="center"/>
    </xf>
    <xf numFmtId="0" fontId="29" fillId="0" borderId="0" xfId="46" applyAlignment="1" applyProtection="1">
      <alignment horizontal="left" vertical="center"/>
    </xf>
    <xf numFmtId="0" fontId="213" fillId="0" borderId="0" xfId="184" applyFont="1" applyAlignment="1" applyProtection="1">
      <alignment horizontal="right" vertical="top"/>
      <protection locked="0"/>
    </xf>
    <xf numFmtId="0" fontId="130" fillId="0" borderId="0" xfId="184" applyFont="1" applyAlignment="1" applyProtection="1">
      <alignment horizontal="left" vertical="top"/>
      <protection locked="0"/>
    </xf>
    <xf numFmtId="0" fontId="18" fillId="0" borderId="0" xfId="184" applyFont="1" applyAlignment="1" applyProtection="1">
      <alignment horizontal="left" vertical="top"/>
      <protection locked="0"/>
    </xf>
    <xf numFmtId="0" fontId="237" fillId="0" borderId="0" xfId="184" applyFont="1" applyAlignment="1" applyProtection="1">
      <alignment horizontal="left" vertical="top"/>
      <protection locked="0"/>
    </xf>
    <xf numFmtId="0" fontId="160" fillId="0" borderId="0" xfId="184" applyFont="1" applyAlignment="1" applyProtection="1">
      <alignment horizontal="left" vertical="top"/>
      <protection locked="0"/>
    </xf>
    <xf numFmtId="0" fontId="81" fillId="0" borderId="0" xfId="184" applyFont="1" applyAlignment="1" applyProtection="1">
      <alignment horizontal="left" vertical="center"/>
      <protection locked="0"/>
    </xf>
    <xf numFmtId="2" fontId="239" fillId="0" borderId="0" xfId="184" applyNumberFormat="1" applyFont="1" applyAlignment="1" applyProtection="1">
      <alignment horizontal="left" vertical="center"/>
      <protection locked="0"/>
    </xf>
    <xf numFmtId="0" fontId="81" fillId="0" borderId="0" xfId="184" applyFont="1" applyAlignment="1" applyProtection="1">
      <alignment horizontal="center" vertical="center"/>
      <protection locked="0"/>
    </xf>
    <xf numFmtId="0" fontId="66" fillId="0" borderId="0" xfId="46" applyFont="1" applyAlignment="1">
      <alignment horizontal="left" vertical="top"/>
      <protection locked="0"/>
    </xf>
    <xf numFmtId="171" fontId="29" fillId="0" borderId="0" xfId="46" applyNumberFormat="1" applyAlignment="1">
      <alignment horizontal="left" vertical="top"/>
      <protection locked="0"/>
    </xf>
    <xf numFmtId="0" fontId="35" fillId="0" borderId="0" xfId="34" applyFont="1" applyAlignment="1" applyProtection="1">
      <alignment horizontal="left" vertical="top"/>
      <protection locked="0"/>
    </xf>
    <xf numFmtId="0" fontId="29" fillId="0" borderId="0" xfId="46" applyAlignment="1">
      <alignment horizontal="left" vertical="center"/>
      <protection locked="0"/>
    </xf>
    <xf numFmtId="0" fontId="77" fillId="0" borderId="0" xfId="46" applyFont="1" applyAlignment="1">
      <alignment horizontal="left" vertical="center"/>
      <protection locked="0"/>
    </xf>
    <xf numFmtId="0" fontId="241" fillId="0" borderId="0" xfId="46" applyFont="1" applyAlignment="1">
      <alignment horizontal="left" vertical="top"/>
      <protection locked="0"/>
    </xf>
    <xf numFmtId="0" fontId="92" fillId="0" borderId="0" xfId="184" applyFont="1" applyAlignment="1">
      <alignment horizontal="right"/>
    </xf>
    <xf numFmtId="0" fontId="184" fillId="0" borderId="0" xfId="184" applyFont="1" applyAlignment="1">
      <alignment horizontal="right"/>
    </xf>
    <xf numFmtId="0" fontId="92" fillId="0" borderId="0" xfId="184" applyFont="1" applyAlignment="1">
      <alignment horizontal="right" vertical="center"/>
    </xf>
    <xf numFmtId="0" fontId="184" fillId="0" borderId="0" xfId="184" applyFont="1" applyAlignment="1">
      <alignment horizontal="right" vertical="center"/>
    </xf>
    <xf numFmtId="173" fontId="101" fillId="0" borderId="0" xfId="184" applyNumberFormat="1" applyFont="1" applyAlignment="1" applyProtection="1">
      <alignment vertical="center"/>
      <protection locked="0"/>
    </xf>
    <xf numFmtId="0" fontId="57" fillId="0" borderId="0" xfId="184" applyFont="1" applyAlignment="1" applyProtection="1">
      <alignment horizontal="left" vertical="center"/>
      <protection locked="0"/>
    </xf>
    <xf numFmtId="0" fontId="245" fillId="0" borderId="0" xfId="64" applyNumberFormat="1" applyFont="1" applyFill="1" applyAlignment="1" applyProtection="1">
      <alignment vertical="center"/>
    </xf>
    <xf numFmtId="0" fontId="17" fillId="0" borderId="0" xfId="3" applyFont="1" applyAlignment="1">
      <alignment horizontal="right" vertical="center"/>
    </xf>
    <xf numFmtId="0" fontId="85" fillId="0" borderId="0" xfId="46" applyFont="1" applyAlignment="1">
      <alignment horizontal="right" vertical="center"/>
      <protection locked="0"/>
    </xf>
    <xf numFmtId="0" fontId="95" fillId="0" borderId="0" xfId="46" applyFont="1" applyAlignment="1">
      <alignment horizontal="left" vertical="center"/>
      <protection locked="0"/>
    </xf>
    <xf numFmtId="0" fontId="85" fillId="0" borderId="0" xfId="46" applyFont="1" applyAlignment="1">
      <alignment horizontal="left" vertical="center"/>
      <protection locked="0"/>
    </xf>
    <xf numFmtId="6" fontId="17" fillId="0" borderId="0" xfId="3" applyNumberFormat="1" applyFont="1"/>
    <xf numFmtId="0" fontId="101" fillId="0" borderId="0" xfId="46" applyFont="1" applyAlignment="1" applyProtection="1">
      <alignment horizontal="right"/>
    </xf>
    <xf numFmtId="0" fontId="29" fillId="0" borderId="0" xfId="184" applyFont="1"/>
    <xf numFmtId="0" fontId="67" fillId="0" borderId="0" xfId="184" applyFont="1" applyAlignment="1">
      <alignment vertical="center"/>
    </xf>
    <xf numFmtId="0" fontId="77" fillId="0" borderId="0" xfId="184" applyFont="1"/>
    <xf numFmtId="0" fontId="101" fillId="0" borderId="0" xfId="184" applyFont="1" applyAlignment="1">
      <alignment horizontal="right" vertical="center"/>
    </xf>
    <xf numFmtId="0" fontId="101" fillId="0" borderId="0" xfId="46" applyFont="1" applyAlignment="1" applyProtection="1">
      <alignment horizontal="right" vertical="center"/>
    </xf>
    <xf numFmtId="0" fontId="216" fillId="0" borderId="0" xfId="25" applyFont="1" applyAlignment="1">
      <alignment horizontal="left" vertical="center"/>
      <protection locked="0"/>
    </xf>
    <xf numFmtId="6" fontId="29" fillId="0" borderId="0" xfId="46" applyNumberFormat="1" applyAlignment="1" applyProtection="1"/>
    <xf numFmtId="0" fontId="101" fillId="0" borderId="0" xfId="184" applyFont="1" applyAlignment="1">
      <alignment horizontal="right"/>
    </xf>
    <xf numFmtId="0" fontId="101" fillId="0" borderId="0" xfId="25" applyFont="1" applyAlignment="1">
      <alignment horizontal="left" vertical="top"/>
      <protection locked="0"/>
    </xf>
    <xf numFmtId="0" fontId="71" fillId="0" borderId="0" xfId="46" applyFont="1" applyAlignment="1">
      <alignment horizontal="left" vertical="center"/>
      <protection locked="0"/>
    </xf>
    <xf numFmtId="0" fontId="95" fillId="0" borderId="0" xfId="44" applyFont="1" applyAlignment="1" applyProtection="1">
      <alignment horizontal="center" vertical="center"/>
    </xf>
    <xf numFmtId="0" fontId="224" fillId="0" borderId="0" xfId="44" applyFont="1" applyAlignment="1" applyProtection="1">
      <alignment horizontal="center" vertical="center"/>
    </xf>
    <xf numFmtId="0" fontId="100" fillId="0" borderId="0" xfId="44" applyFont="1" applyAlignment="1" applyProtection="1">
      <alignment horizontal="center" vertical="center"/>
    </xf>
    <xf numFmtId="172" fontId="224" fillId="0" borderId="0" xfId="44" applyNumberFormat="1" applyFont="1" applyAlignment="1" applyProtection="1">
      <alignment horizontal="center" vertical="center"/>
    </xf>
    <xf numFmtId="0" fontId="18" fillId="0" borderId="0" xfId="44" applyFont="1" applyAlignment="1" applyProtection="1"/>
    <xf numFmtId="0" fontId="67" fillId="0" borderId="0" xfId="44" applyFont="1" applyAlignment="1" applyProtection="1"/>
    <xf numFmtId="0" fontId="101" fillId="0" borderId="0" xfId="184" applyFont="1" applyAlignment="1">
      <alignment horizontal="left" vertical="center"/>
    </xf>
    <xf numFmtId="0" fontId="77" fillId="0" borderId="0" xfId="44" applyFont="1" applyAlignment="1" applyProtection="1">
      <alignment vertical="center"/>
    </xf>
    <xf numFmtId="0" fontId="79" fillId="0" borderId="0" xfId="44" applyFont="1" applyAlignment="1" applyProtection="1">
      <alignment horizontal="left" vertical="center"/>
    </xf>
    <xf numFmtId="0" fontId="67" fillId="0" borderId="34" xfId="44" applyFont="1" applyBorder="1" applyAlignment="1">
      <alignment horizontal="center" vertical="center"/>
      <protection locked="0"/>
    </xf>
    <xf numFmtId="0" fontId="216" fillId="0" borderId="0" xfId="44" applyFont="1" applyAlignment="1" applyProtection="1">
      <alignment vertical="center"/>
    </xf>
    <xf numFmtId="0" fontId="18" fillId="0" borderId="0" xfId="44" applyFont="1" applyAlignment="1" applyProtection="1">
      <alignment horizontal="right" vertical="top" wrapText="1"/>
    </xf>
    <xf numFmtId="0" fontId="67" fillId="0" borderId="0" xfId="44" applyFont="1" applyAlignment="1" applyProtection="1">
      <alignment vertical="top" wrapText="1"/>
    </xf>
    <xf numFmtId="0" fontId="67" fillId="0" borderId="0" xfId="25" applyFont="1" applyAlignment="1">
      <alignment horizontal="right" vertical="center"/>
      <protection locked="0"/>
    </xf>
    <xf numFmtId="0" fontId="12" fillId="0" borderId="0" xfId="25" applyAlignment="1" applyProtection="1">
      <alignment horizontal="left" vertical="center"/>
    </xf>
    <xf numFmtId="0" fontId="101" fillId="0" borderId="0" xfId="25" applyFont="1" applyAlignment="1" applyProtection="1">
      <alignment horizontal="right" vertical="center"/>
    </xf>
    <xf numFmtId="0" fontId="67" fillId="0" borderId="0" xfId="44" applyFont="1" applyAlignment="1" applyProtection="1">
      <alignment vertical="center"/>
    </xf>
    <xf numFmtId="0" fontId="229" fillId="0" borderId="0" xfId="44" applyFont="1" applyAlignment="1" applyProtection="1"/>
    <xf numFmtId="0" fontId="61" fillId="0" borderId="0" xfId="149" applyFont="1"/>
    <xf numFmtId="49" fontId="2" fillId="0" borderId="0" xfId="184" applyNumberFormat="1" applyAlignment="1">
      <alignment horizontal="left"/>
    </xf>
    <xf numFmtId="0" fontId="2" fillId="0" borderId="0" xfId="184" applyAlignment="1">
      <alignment horizontal="left"/>
    </xf>
    <xf numFmtId="172" fontId="2" fillId="0" borderId="0" xfId="184" applyNumberFormat="1" applyAlignment="1">
      <alignment horizontal="left"/>
    </xf>
    <xf numFmtId="0" fontId="11" fillId="0" borderId="0" xfId="184" applyFont="1" applyAlignment="1" applyProtection="1">
      <alignment horizontal="left"/>
      <protection locked="0"/>
    </xf>
    <xf numFmtId="0" fontId="11" fillId="0" borderId="0" xfId="184" applyFont="1"/>
    <xf numFmtId="0" fontId="11" fillId="0" borderId="0" xfId="184" applyFont="1" applyAlignment="1">
      <alignment horizontal="right"/>
    </xf>
    <xf numFmtId="37" fontId="61" fillId="0" borderId="34" xfId="194" applyNumberFormat="1" applyFont="1" applyBorder="1" applyAlignment="1" applyProtection="1">
      <alignment horizontal="right"/>
      <protection locked="0"/>
    </xf>
    <xf numFmtId="0" fontId="61" fillId="0" borderId="34" xfId="194" applyFont="1" applyBorder="1" applyAlignment="1" applyProtection="1">
      <alignment horizontal="left" wrapText="1"/>
      <protection locked="0"/>
    </xf>
    <xf numFmtId="2" fontId="61" fillId="0" borderId="34" xfId="194" applyNumberFormat="1" applyFont="1" applyBorder="1" applyAlignment="1" applyProtection="1">
      <alignment horizontal="right"/>
      <protection locked="0"/>
    </xf>
    <xf numFmtId="39" fontId="61" fillId="0" borderId="34" xfId="194" applyNumberFormat="1" applyFont="1" applyBorder="1" applyAlignment="1" applyProtection="1">
      <alignment horizontal="right"/>
      <protection locked="0"/>
    </xf>
    <xf numFmtId="39" fontId="9" fillId="0" borderId="34" xfId="194" applyNumberFormat="1" applyFont="1" applyBorder="1" applyAlignment="1" applyProtection="1">
      <alignment horizontal="center"/>
      <protection locked="0"/>
    </xf>
    <xf numFmtId="39" fontId="77" fillId="0" borderId="0" xfId="194" applyNumberFormat="1" applyFont="1"/>
    <xf numFmtId="0" fontId="2" fillId="0" borderId="0" xfId="194" applyAlignment="1" applyProtection="1">
      <alignment horizontal="left" vertical="top"/>
      <protection locked="0"/>
    </xf>
    <xf numFmtId="37" fontId="9" fillId="0" borderId="34" xfId="194" applyNumberFormat="1" applyFont="1" applyBorder="1" applyAlignment="1" applyProtection="1">
      <alignment horizontal="right"/>
      <protection locked="0"/>
    </xf>
    <xf numFmtId="0" fontId="9" fillId="0" borderId="34" xfId="194" applyFont="1" applyBorder="1" applyAlignment="1" applyProtection="1">
      <alignment horizontal="left" wrapText="1"/>
      <protection locked="0"/>
    </xf>
    <xf numFmtId="2" fontId="9" fillId="0" borderId="34" xfId="3" applyNumberFormat="1" applyFont="1" applyBorder="1" applyAlignment="1" applyProtection="1">
      <alignment horizontal="right" wrapText="1"/>
      <protection locked="0"/>
    </xf>
    <xf numFmtId="0" fontId="66" fillId="0" borderId="0" xfId="184" applyFont="1" applyAlignment="1" applyProtection="1">
      <alignment horizontal="right" vertical="top"/>
      <protection locked="0"/>
    </xf>
    <xf numFmtId="0" fontId="82" fillId="0" borderId="0" xfId="184" applyFont="1" applyAlignment="1" applyProtection="1">
      <alignment horizontal="left" vertical="center"/>
      <protection locked="0"/>
    </xf>
    <xf numFmtId="0" fontId="66" fillId="0" borderId="0" xfId="184" applyFont="1" applyAlignment="1" applyProtection="1">
      <alignment horizontal="left" vertical="top"/>
      <protection locked="0"/>
    </xf>
    <xf numFmtId="49" fontId="9" fillId="0" borderId="34" xfId="184" applyNumberFormat="1" applyFont="1" applyBorder="1" applyAlignment="1" applyProtection="1">
      <alignment horizontal="right" wrapText="1"/>
      <protection locked="0"/>
    </xf>
    <xf numFmtId="0" fontId="142" fillId="0" borderId="0" xfId="184" applyFont="1" applyAlignment="1" applyProtection="1">
      <alignment horizontal="left" vertical="center"/>
      <protection locked="0"/>
    </xf>
    <xf numFmtId="0" fontId="54" fillId="0" borderId="34" xfId="184" applyFont="1" applyBorder="1" applyAlignment="1" applyProtection="1">
      <alignment vertical="top"/>
      <protection locked="0"/>
    </xf>
    <xf numFmtId="37" fontId="73" fillId="0" borderId="34" xfId="194" applyNumberFormat="1" applyFont="1" applyBorder="1" applyAlignment="1" applyProtection="1">
      <alignment horizontal="right"/>
      <protection locked="0"/>
    </xf>
    <xf numFmtId="0" fontId="73" fillId="0" borderId="34" xfId="194" applyFont="1" applyBorder="1" applyAlignment="1" applyProtection="1">
      <alignment horizontal="left" wrapText="1"/>
      <protection locked="0"/>
    </xf>
    <xf numFmtId="2" fontId="73" fillId="0" borderId="34" xfId="3" applyNumberFormat="1" applyFont="1" applyBorder="1" applyAlignment="1" applyProtection="1">
      <alignment horizontal="right" wrapText="1"/>
      <protection locked="0"/>
    </xf>
    <xf numFmtId="39" fontId="73" fillId="0" borderId="34" xfId="3" applyNumberFormat="1" applyFont="1" applyBorder="1" applyAlignment="1" applyProtection="1">
      <alignment horizontal="right"/>
      <protection locked="0"/>
    </xf>
    <xf numFmtId="1" fontId="73" fillId="0" borderId="34" xfId="33" applyNumberFormat="1" applyFont="1" applyBorder="1" applyAlignment="1" applyProtection="1">
      <alignment horizontal="right" wrapText="1"/>
      <protection locked="0"/>
    </xf>
    <xf numFmtId="49" fontId="73" fillId="0" borderId="34" xfId="33" applyNumberFormat="1" applyFont="1" applyBorder="1" applyAlignment="1" applyProtection="1">
      <alignment horizontal="left" wrapText="1"/>
      <protection locked="0"/>
    </xf>
    <xf numFmtId="0" fontId="75" fillId="0" borderId="34" xfId="33" applyFont="1" applyBorder="1" applyAlignment="1" applyProtection="1">
      <alignment horizontal="left" wrapText="1"/>
      <protection locked="0"/>
    </xf>
    <xf numFmtId="0" fontId="75" fillId="0" borderId="34" xfId="36" applyFont="1" applyBorder="1" applyAlignment="1">
      <alignment horizontal="left" wrapText="1"/>
    </xf>
    <xf numFmtId="0" fontId="75" fillId="0" borderId="34" xfId="3" applyFont="1" applyBorder="1" applyAlignment="1" applyProtection="1">
      <alignment horizontal="left" wrapText="1"/>
      <protection locked="0"/>
    </xf>
    <xf numFmtId="2" fontId="75" fillId="0" borderId="34" xfId="3" applyNumberFormat="1" applyFont="1" applyBorder="1" applyAlignment="1" applyProtection="1">
      <alignment horizontal="right"/>
      <protection locked="0"/>
    </xf>
    <xf numFmtId="4" fontId="75" fillId="0" borderId="34" xfId="33" applyNumberFormat="1" applyFont="1" applyBorder="1" applyAlignment="1" applyProtection="1">
      <alignment horizontal="right"/>
      <protection locked="0"/>
    </xf>
    <xf numFmtId="4" fontId="73" fillId="0" borderId="34" xfId="33" applyNumberFormat="1" applyFont="1" applyBorder="1" applyAlignment="1" applyProtection="1">
      <alignment horizontal="right"/>
      <protection locked="0"/>
    </xf>
    <xf numFmtId="39" fontId="73" fillId="0" borderId="34" xfId="33" applyNumberFormat="1" applyFont="1" applyBorder="1" applyAlignment="1" applyProtection="1">
      <alignment horizontal="center"/>
      <protection locked="0"/>
    </xf>
    <xf numFmtId="37" fontId="9" fillId="0" borderId="34" xfId="6" applyNumberFormat="1" applyFont="1" applyBorder="1" applyAlignment="1" applyProtection="1">
      <alignment horizontal="right"/>
      <protection locked="0"/>
    </xf>
    <xf numFmtId="49" fontId="9" fillId="0" borderId="34" xfId="6" applyNumberFormat="1" applyFont="1" applyBorder="1" applyAlignment="1" applyProtection="1">
      <alignment horizontal="left" wrapText="1"/>
      <protection locked="0"/>
    </xf>
    <xf numFmtId="0" fontId="9" fillId="0" borderId="34" xfId="6" applyFont="1" applyBorder="1" applyAlignment="1" applyProtection="1">
      <alignment horizontal="left" wrapText="1"/>
      <protection locked="0"/>
    </xf>
    <xf numFmtId="2" fontId="9" fillId="0" borderId="34" xfId="6" applyNumberFormat="1" applyFont="1" applyBorder="1" applyAlignment="1" applyProtection="1">
      <alignment horizontal="right"/>
      <protection locked="0"/>
    </xf>
    <xf numFmtId="4" fontId="9" fillId="0" borderId="34" xfId="6" applyNumberFormat="1" applyFont="1" applyBorder="1" applyAlignment="1" applyProtection="1">
      <alignment horizontal="right"/>
      <protection locked="0"/>
    </xf>
    <xf numFmtId="39" fontId="9" fillId="0" borderId="34" xfId="6" applyNumberFormat="1" applyFont="1" applyBorder="1" applyAlignment="1" applyProtection="1">
      <alignment horizontal="center"/>
      <protection locked="0"/>
    </xf>
    <xf numFmtId="2" fontId="77" fillId="0" borderId="0" xfId="6" applyNumberFormat="1" applyFont="1" applyAlignment="1" applyProtection="1">
      <alignment horizontal="left" vertical="center"/>
      <protection locked="0"/>
    </xf>
    <xf numFmtId="0" fontId="13" fillId="0" borderId="0" xfId="6" applyAlignment="1" applyProtection="1">
      <alignment horizontal="left" vertical="top"/>
      <protection locked="0"/>
    </xf>
    <xf numFmtId="0" fontId="13" fillId="0" borderId="0" xfId="6"/>
    <xf numFmtId="0" fontId="54" fillId="0" borderId="34" xfId="6" applyFont="1" applyBorder="1" applyAlignment="1" applyProtection="1">
      <alignment horizontal="left" wrapText="1"/>
      <protection locked="0"/>
    </xf>
    <xf numFmtId="37" fontId="9" fillId="0" borderId="34" xfId="22" applyNumberFormat="1" applyFont="1" applyBorder="1" applyAlignment="1" applyProtection="1">
      <alignment horizontal="right"/>
      <protection locked="0"/>
    </xf>
    <xf numFmtId="49" fontId="9" fillId="0" borderId="34" xfId="22" applyNumberFormat="1" applyFont="1" applyBorder="1" applyAlignment="1" applyProtection="1">
      <alignment horizontal="left" wrapText="1"/>
      <protection locked="0"/>
    </xf>
    <xf numFmtId="0" fontId="61" fillId="0" borderId="34" xfId="22" applyFont="1" applyBorder="1" applyAlignment="1" applyProtection="1">
      <alignment horizontal="left" wrapText="1"/>
      <protection locked="0"/>
    </xf>
    <xf numFmtId="2" fontId="78" fillId="0" borderId="34" xfId="3" applyNumberFormat="1" applyFont="1" applyBorder="1" applyAlignment="1" applyProtection="1">
      <alignment horizontal="right"/>
      <protection locked="0"/>
    </xf>
    <xf numFmtId="39" fontId="9" fillId="0" borderId="34" xfId="22" applyNumberFormat="1" applyFont="1" applyBorder="1" applyAlignment="1" applyProtection="1">
      <alignment horizontal="right"/>
      <protection locked="0"/>
    </xf>
    <xf numFmtId="39" fontId="9" fillId="0" borderId="34" xfId="22" applyNumberFormat="1" applyFont="1" applyBorder="1" applyAlignment="1" applyProtection="1">
      <alignment horizontal="center"/>
      <protection locked="0"/>
    </xf>
    <xf numFmtId="0" fontId="79" fillId="0" borderId="0" xfId="22" applyFont="1" applyAlignment="1" applyProtection="1">
      <alignment horizontal="left" vertical="center"/>
      <protection locked="0"/>
    </xf>
    <xf numFmtId="0" fontId="13" fillId="0" borderId="0" xfId="22" applyAlignment="1" applyProtection="1">
      <alignment horizontal="left" vertical="top"/>
      <protection locked="0"/>
    </xf>
    <xf numFmtId="0" fontId="13" fillId="0" borderId="0" xfId="22"/>
    <xf numFmtId="37" fontId="80" fillId="0" borderId="34" xfId="6" applyNumberFormat="1" applyFont="1" applyBorder="1" applyAlignment="1" applyProtection="1">
      <alignment horizontal="right"/>
      <protection locked="0"/>
    </xf>
    <xf numFmtId="49" fontId="80" fillId="0" borderId="34" xfId="6" applyNumberFormat="1" applyFont="1" applyBorder="1" applyAlignment="1" applyProtection="1">
      <alignment horizontal="left" wrapText="1"/>
      <protection locked="0"/>
    </xf>
    <xf numFmtId="0" fontId="80" fillId="0" borderId="34" xfId="6" applyFont="1" applyBorder="1" applyAlignment="1" applyProtection="1">
      <alignment horizontal="left" wrapText="1"/>
      <protection locked="0"/>
    </xf>
    <xf numFmtId="2" fontId="54" fillId="0" borderId="34" xfId="6" applyNumberFormat="1" applyFont="1" applyBorder="1" applyAlignment="1" applyProtection="1">
      <alignment horizontal="right" wrapText="1"/>
      <protection locked="0"/>
    </xf>
    <xf numFmtId="0" fontId="13" fillId="0" borderId="34" xfId="6" applyBorder="1" applyAlignment="1" applyProtection="1">
      <alignment horizontal="left" vertical="top"/>
      <protection locked="0"/>
    </xf>
    <xf numFmtId="0" fontId="79" fillId="0" borderId="0" xfId="6" applyFont="1" applyAlignment="1" applyProtection="1">
      <alignment horizontal="left" vertical="top"/>
      <protection locked="0"/>
    </xf>
    <xf numFmtId="2" fontId="67" fillId="0" borderId="0" xfId="6" applyNumberFormat="1" applyFont="1"/>
    <xf numFmtId="0" fontId="79" fillId="0" borderId="0" xfId="6" applyFont="1"/>
    <xf numFmtId="2" fontId="79" fillId="0" borderId="0" xfId="6" applyNumberFormat="1" applyFont="1" applyAlignment="1" applyProtection="1">
      <alignment horizontal="left" vertical="top"/>
      <protection locked="0"/>
    </xf>
    <xf numFmtId="2" fontId="13" fillId="0" borderId="0" xfId="22" applyNumberFormat="1" applyAlignment="1" applyProtection="1">
      <alignment horizontal="left" vertical="top"/>
      <protection locked="0"/>
    </xf>
    <xf numFmtId="2" fontId="71" fillId="0" borderId="0" xfId="6" applyNumberFormat="1" applyFont="1" applyAlignment="1" applyProtection="1">
      <alignment horizontal="left" vertical="top"/>
      <protection locked="0"/>
    </xf>
    <xf numFmtId="1" fontId="68" fillId="0" borderId="34" xfId="184" applyNumberFormat="1" applyFont="1" applyBorder="1" applyAlignment="1" applyProtection="1">
      <alignment horizontal="right"/>
      <protection locked="0"/>
    </xf>
    <xf numFmtId="0" fontId="12" fillId="0" borderId="0" xfId="184" applyFont="1" applyAlignment="1" applyProtection="1">
      <alignment horizontal="left" vertical="center"/>
      <protection locked="0"/>
    </xf>
    <xf numFmtId="37" fontId="68" fillId="0" borderId="34" xfId="6" applyNumberFormat="1" applyFont="1" applyBorder="1" applyAlignment="1" applyProtection="1">
      <alignment horizontal="right"/>
      <protection locked="0"/>
    </xf>
    <xf numFmtId="0" fontId="68" fillId="0" borderId="34" xfId="6" applyFont="1" applyBorder="1" applyAlignment="1" applyProtection="1">
      <alignment horizontal="left" wrapText="1"/>
      <protection locked="0"/>
    </xf>
    <xf numFmtId="2" fontId="54" fillId="0" borderId="34" xfId="6" applyNumberFormat="1" applyFont="1" applyBorder="1" applyAlignment="1" applyProtection="1">
      <alignment horizontal="right"/>
      <protection locked="0"/>
    </xf>
    <xf numFmtId="2" fontId="54" fillId="0" borderId="34" xfId="42" applyNumberFormat="1" applyFont="1" applyBorder="1" applyAlignment="1">
      <alignment horizontal="right" wrapText="1"/>
      <protection locked="0"/>
    </xf>
    <xf numFmtId="0" fontId="82" fillId="0" borderId="34" xfId="6" applyFont="1" applyBorder="1" applyAlignment="1" applyProtection="1">
      <alignment horizontal="right" vertical="center"/>
      <protection locked="0"/>
    </xf>
    <xf numFmtId="2" fontId="61" fillId="0" borderId="34" xfId="184" applyNumberFormat="1" applyFont="1" applyBorder="1" applyAlignment="1" applyProtection="1">
      <alignment horizontal="right"/>
      <protection locked="0"/>
    </xf>
    <xf numFmtId="0" fontId="249" fillId="0" borderId="0" xfId="184" applyFont="1" applyAlignment="1" applyProtection="1">
      <alignment horizontal="left" vertical="top"/>
      <protection locked="0"/>
    </xf>
    <xf numFmtId="0" fontId="240" fillId="0" borderId="0" xfId="146" applyFont="1" applyFill="1" applyAlignment="1" applyProtection="1">
      <alignment horizontal="left" vertical="center"/>
    </xf>
    <xf numFmtId="2" fontId="54" fillId="0" borderId="34" xfId="3" applyNumberFormat="1" applyFont="1" applyBorder="1" applyProtection="1">
      <protection locked="0"/>
    </xf>
    <xf numFmtId="1" fontId="9" fillId="0" borderId="34" xfId="184" applyNumberFormat="1" applyFont="1" applyBorder="1" applyAlignment="1">
      <alignment horizontal="right"/>
    </xf>
    <xf numFmtId="0" fontId="216" fillId="0" borderId="0" xfId="184" applyFont="1" applyAlignment="1" applyProtection="1">
      <alignment horizontal="left" vertical="center"/>
      <protection locked="0"/>
    </xf>
    <xf numFmtId="0" fontId="204" fillId="0" borderId="34" xfId="3" applyFont="1" applyBorder="1" applyAlignment="1" applyProtection="1">
      <alignment horizontal="left" wrapText="1"/>
      <protection locked="0"/>
    </xf>
    <xf numFmtId="39" fontId="204" fillId="0" borderId="34" xfId="3" applyNumberFormat="1" applyFont="1" applyBorder="1" applyAlignment="1" applyProtection="1">
      <alignment horizontal="right"/>
      <protection locked="0"/>
    </xf>
    <xf numFmtId="39" fontId="204" fillId="0" borderId="34" xfId="3" applyNumberFormat="1" applyFont="1" applyBorder="1" applyAlignment="1" applyProtection="1">
      <alignment horizontal="center"/>
      <protection locked="0"/>
    </xf>
    <xf numFmtId="172" fontId="81" fillId="0" borderId="0" xfId="3" applyNumberFormat="1" applyFont="1" applyAlignment="1">
      <alignment vertical="center"/>
    </xf>
    <xf numFmtId="2" fontId="54" fillId="0" borderId="34" xfId="184" applyNumberFormat="1" applyFont="1" applyBorder="1" applyAlignment="1" applyProtection="1">
      <alignment horizontal="right" wrapText="1"/>
      <protection locked="0"/>
    </xf>
    <xf numFmtId="39" fontId="12" fillId="0" borderId="34" xfId="184" applyNumberFormat="1" applyFont="1" applyBorder="1" applyAlignment="1" applyProtection="1">
      <alignment horizontal="center" vertical="top"/>
      <protection locked="0"/>
    </xf>
    <xf numFmtId="0" fontId="145" fillId="0" borderId="0" xfId="29" applyFont="1" applyFill="1" applyAlignment="1">
      <alignment horizontal="left" vertical="center"/>
      <protection locked="0"/>
    </xf>
    <xf numFmtId="0" fontId="77" fillId="0" borderId="0" xfId="29" applyFont="1" applyFill="1" applyAlignment="1">
      <alignment horizontal="left" vertical="center"/>
      <protection locked="0"/>
    </xf>
    <xf numFmtId="0" fontId="216" fillId="0" borderId="0" xfId="45" applyFont="1" applyAlignment="1">
      <alignment horizontal="right" vertical="center"/>
      <protection locked="0"/>
    </xf>
    <xf numFmtId="0" fontId="250" fillId="0" borderId="0" xfId="45" applyFont="1" applyAlignment="1">
      <alignment horizontal="left" vertical="center"/>
      <protection locked="0"/>
    </xf>
    <xf numFmtId="0" fontId="83" fillId="0" borderId="0" xfId="184" applyFont="1" applyAlignment="1" applyProtection="1">
      <alignment horizontal="left" vertical="top"/>
      <protection locked="0"/>
    </xf>
    <xf numFmtId="0" fontId="251" fillId="0" borderId="0" xfId="184" applyFont="1" applyAlignment="1" applyProtection="1">
      <alignment horizontal="left" vertical="center"/>
      <protection locked="0"/>
    </xf>
    <xf numFmtId="0" fontId="229" fillId="0" borderId="0" xfId="184" applyFont="1" applyAlignment="1" applyProtection="1">
      <alignment horizontal="right" vertical="center"/>
      <protection locked="0"/>
    </xf>
    <xf numFmtId="0" fontId="67" fillId="0" borderId="0" xfId="184" applyFont="1" applyAlignment="1" applyProtection="1">
      <alignment horizontal="left" vertical="center"/>
      <protection locked="0"/>
    </xf>
    <xf numFmtId="0" fontId="252" fillId="0" borderId="0" xfId="184" applyFont="1" applyAlignment="1" applyProtection="1">
      <alignment horizontal="right" vertical="center"/>
      <protection locked="0"/>
    </xf>
    <xf numFmtId="1" fontId="54" fillId="0" borderId="34" xfId="36" applyNumberFormat="1" applyFont="1" applyBorder="1" applyAlignment="1">
      <alignment horizontal="right"/>
    </xf>
    <xf numFmtId="37" fontId="54" fillId="0" borderId="34" xfId="36" applyNumberFormat="1" applyFont="1" applyBorder="1" applyAlignment="1">
      <alignment horizontal="right"/>
    </xf>
    <xf numFmtId="2" fontId="54" fillId="0" borderId="34" xfId="36" applyNumberFormat="1" applyFont="1" applyBorder="1" applyAlignment="1">
      <alignment horizontal="right"/>
    </xf>
    <xf numFmtId="4" fontId="54" fillId="0" borderId="34" xfId="36" applyNumberFormat="1" applyFont="1" applyBorder="1" applyAlignment="1">
      <alignment horizontal="right"/>
    </xf>
    <xf numFmtId="0" fontId="253" fillId="0" borderId="34" xfId="36" applyFont="1" applyBorder="1" applyAlignment="1">
      <alignment horizontal="right" vertical="center"/>
    </xf>
    <xf numFmtId="0" fontId="88" fillId="0" borderId="0" xfId="36" applyFont="1" applyAlignment="1">
      <alignment vertical="center"/>
    </xf>
    <xf numFmtId="0" fontId="28" fillId="0" borderId="0" xfId="36" applyAlignment="1">
      <alignment vertical="center"/>
    </xf>
    <xf numFmtId="0" fontId="28" fillId="0" borderId="0" xfId="36"/>
    <xf numFmtId="1" fontId="54" fillId="0" borderId="34" xfId="8" applyNumberFormat="1" applyFont="1" applyBorder="1" applyAlignment="1" applyProtection="1">
      <alignment horizontal="right"/>
      <protection locked="0"/>
    </xf>
    <xf numFmtId="0" fontId="54" fillId="0" borderId="34" xfId="8" applyFont="1" applyBorder="1" applyAlignment="1" applyProtection="1">
      <alignment horizontal="left" wrapText="1"/>
      <protection locked="0"/>
    </xf>
    <xf numFmtId="2" fontId="54" fillId="0" borderId="34" xfId="8" applyNumberFormat="1" applyFont="1" applyBorder="1" applyAlignment="1" applyProtection="1">
      <alignment horizontal="right"/>
      <protection locked="0"/>
    </xf>
    <xf numFmtId="4" fontId="54" fillId="0" borderId="34" xfId="8" applyNumberFormat="1" applyFont="1" applyBorder="1" applyAlignment="1" applyProtection="1">
      <alignment horizontal="right"/>
      <protection locked="0"/>
    </xf>
    <xf numFmtId="0" fontId="251" fillId="0" borderId="0" xfId="36" applyFont="1" applyAlignment="1" applyProtection="1">
      <alignment horizontal="left" vertical="center"/>
      <protection locked="0"/>
    </xf>
    <xf numFmtId="0" fontId="11" fillId="0" borderId="0" xfId="8" applyAlignment="1" applyProtection="1">
      <alignment horizontal="left" vertical="top"/>
      <protection locked="0"/>
    </xf>
    <xf numFmtId="0" fontId="11" fillId="0" borderId="0" xfId="8"/>
    <xf numFmtId="0" fontId="29" fillId="0" borderId="34" xfId="8" applyFont="1" applyBorder="1" applyAlignment="1" applyProtection="1">
      <alignment horizontal="left" vertical="center"/>
      <protection locked="0"/>
    </xf>
    <xf numFmtId="0" fontId="29" fillId="0" borderId="34" xfId="8" applyFont="1" applyBorder="1" applyAlignment="1" applyProtection="1">
      <alignment horizontal="right" vertical="center"/>
      <protection locked="0"/>
    </xf>
    <xf numFmtId="0" fontId="130" fillId="0" borderId="0" xfId="184" applyFont="1" applyAlignment="1" applyProtection="1">
      <alignment horizontal="right" vertical="center"/>
      <protection locked="0"/>
    </xf>
    <xf numFmtId="0" fontId="88" fillId="0" borderId="0" xfId="184" applyFont="1" applyAlignment="1" applyProtection="1">
      <alignment horizontal="right" vertical="center"/>
      <protection locked="0"/>
    </xf>
    <xf numFmtId="0" fontId="130" fillId="0" borderId="0" xfId="184" applyFont="1" applyAlignment="1" applyProtection="1">
      <alignment horizontal="left" vertical="center"/>
      <protection locked="0"/>
    </xf>
    <xf numFmtId="1" fontId="9" fillId="0" borderId="34" xfId="36" applyNumberFormat="1" applyFont="1" applyBorder="1" applyAlignment="1">
      <alignment horizontal="right"/>
    </xf>
    <xf numFmtId="49" fontId="9" fillId="0" borderId="34" xfId="184" applyNumberFormat="1" applyFont="1" applyBorder="1" applyAlignment="1">
      <alignment horizontal="left" wrapText="1"/>
    </xf>
    <xf numFmtId="0" fontId="9" fillId="0" borderId="34" xfId="184" applyFont="1" applyBorder="1" applyAlignment="1">
      <alignment horizontal="left" wrapText="1"/>
    </xf>
    <xf numFmtId="172" fontId="9" fillId="0" borderId="34" xfId="194" applyNumberFormat="1" applyFont="1" applyBorder="1" applyAlignment="1" applyProtection="1">
      <alignment horizontal="right"/>
      <protection locked="0"/>
    </xf>
    <xf numFmtId="39" fontId="9" fillId="0" borderId="34" xfId="184" applyNumberFormat="1" applyFont="1" applyBorder="1" applyAlignment="1">
      <alignment horizontal="right"/>
    </xf>
    <xf numFmtId="0" fontId="12" fillId="0" borderId="0" xfId="184" applyFont="1" applyAlignment="1" applyProtection="1">
      <alignment horizontal="right"/>
      <protection locked="0"/>
    </xf>
    <xf numFmtId="0" fontId="12" fillId="0" borderId="0" xfId="184" applyFont="1" applyAlignment="1" applyProtection="1">
      <alignment horizontal="left"/>
      <protection locked="0"/>
    </xf>
    <xf numFmtId="37" fontId="9" fillId="0" borderId="34" xfId="184" applyNumberFormat="1" applyFont="1" applyBorder="1" applyAlignment="1">
      <alignment horizontal="right"/>
    </xf>
    <xf numFmtId="0" fontId="54" fillId="0" borderId="34" xfId="184" applyFont="1" applyBorder="1" applyAlignment="1">
      <alignment horizontal="left" wrapText="1"/>
    </xf>
    <xf numFmtId="172" fontId="54" fillId="0" borderId="34" xfId="194" applyNumberFormat="1" applyFont="1" applyBorder="1" applyAlignment="1" applyProtection="1">
      <alignment horizontal="right"/>
      <protection locked="0"/>
    </xf>
    <xf numFmtId="39" fontId="9" fillId="0" borderId="34" xfId="184" applyNumberFormat="1" applyFont="1" applyBorder="1" applyAlignment="1">
      <alignment horizontal="center"/>
    </xf>
    <xf numFmtId="0" fontId="12" fillId="0" borderId="0" xfId="184" applyFont="1" applyAlignment="1" applyProtection="1">
      <alignment horizontal="right" vertical="center"/>
      <protection locked="0"/>
    </xf>
    <xf numFmtId="0" fontId="71" fillId="0" borderId="0" xfId="184" applyFont="1" applyAlignment="1" applyProtection="1">
      <alignment horizontal="left" vertical="center"/>
      <protection locked="0"/>
    </xf>
    <xf numFmtId="37" fontId="54" fillId="0" borderId="34" xfId="184" applyNumberFormat="1" applyFont="1" applyBorder="1" applyAlignment="1">
      <alignment horizontal="right"/>
    </xf>
    <xf numFmtId="39" fontId="54" fillId="0" borderId="34" xfId="184" applyNumberFormat="1" applyFont="1" applyBorder="1" applyAlignment="1">
      <alignment horizontal="right"/>
    </xf>
    <xf numFmtId="0" fontId="89" fillId="0" borderId="34" xfId="184" applyFont="1" applyBorder="1" applyAlignment="1">
      <alignment horizontal="left" vertical="top"/>
    </xf>
    <xf numFmtId="173" fontId="100" fillId="0" borderId="0" xfId="29" applyNumberFormat="1" applyFont="1" applyFill="1" applyAlignment="1">
      <alignment horizontal="center" vertical="center"/>
      <protection locked="0"/>
    </xf>
    <xf numFmtId="0" fontId="100" fillId="0" borderId="0" xfId="29" applyFont="1" applyFill="1" applyAlignment="1">
      <alignment horizontal="center" vertical="center"/>
      <protection locked="0"/>
    </xf>
    <xf numFmtId="0" fontId="90" fillId="0" borderId="0" xfId="184" applyFont="1" applyAlignment="1" applyProtection="1">
      <alignment horizontal="left" vertical="center"/>
      <protection locked="0"/>
    </xf>
    <xf numFmtId="2" fontId="100" fillId="0" borderId="0" xfId="29" applyNumberFormat="1" applyFont="1" applyFill="1" applyAlignment="1">
      <alignment horizontal="center" vertical="center"/>
      <protection locked="0"/>
    </xf>
    <xf numFmtId="39" fontId="100" fillId="0" borderId="0" xfId="29" applyNumberFormat="1" applyFont="1" applyFill="1" applyAlignment="1">
      <alignment horizontal="center" vertical="center"/>
      <protection locked="0"/>
    </xf>
    <xf numFmtId="0" fontId="251" fillId="0" borderId="0" xfId="184" applyFont="1" applyAlignment="1" applyProtection="1">
      <alignment horizontal="left" vertical="top"/>
      <protection locked="0"/>
    </xf>
    <xf numFmtId="0" fontId="88" fillId="0" borderId="0" xfId="146" applyFont="1" applyFill="1" applyAlignment="1" applyProtection="1">
      <alignment horizontal="left" vertical="center"/>
      <protection locked="0"/>
    </xf>
    <xf numFmtId="0" fontId="33" fillId="0" borderId="0" xfId="29" applyFill="1" applyAlignment="1" applyProtection="1">
      <alignment horizontal="left" vertical="top"/>
      <protection locked="0"/>
    </xf>
    <xf numFmtId="0" fontId="229" fillId="0" borderId="0" xfId="184" applyFont="1" applyAlignment="1" applyProtection="1">
      <alignment horizontal="left" vertical="center"/>
      <protection locked="0"/>
    </xf>
    <xf numFmtId="4" fontId="9" fillId="0" borderId="34" xfId="184" applyNumberFormat="1" applyFont="1" applyBorder="1" applyAlignment="1">
      <alignment horizontal="right"/>
    </xf>
    <xf numFmtId="39" fontId="77" fillId="0" borderId="0" xfId="184" applyNumberFormat="1" applyFont="1"/>
    <xf numFmtId="39" fontId="2" fillId="0" borderId="0" xfId="184" applyNumberFormat="1" applyAlignment="1" applyProtection="1">
      <alignment horizontal="left" vertical="top"/>
      <protection locked="0"/>
    </xf>
    <xf numFmtId="0" fontId="54" fillId="0" borderId="34" xfId="47" applyFont="1" applyBorder="1" applyAlignment="1">
      <alignment horizontal="left" wrapText="1"/>
      <protection locked="0"/>
    </xf>
    <xf numFmtId="39" fontId="137" fillId="0" borderId="34" xfId="184" applyNumberFormat="1" applyFont="1" applyBorder="1" applyAlignment="1" applyProtection="1">
      <alignment horizontal="right"/>
      <protection locked="0"/>
    </xf>
    <xf numFmtId="0" fontId="254" fillId="0" borderId="0" xfId="184" applyFont="1" applyAlignment="1" applyProtection="1">
      <alignment horizontal="left" vertical="center"/>
      <protection locked="0"/>
    </xf>
    <xf numFmtId="2" fontId="116" fillId="0" borderId="34" xfId="184" applyNumberFormat="1" applyFont="1" applyBorder="1" applyAlignment="1" applyProtection="1">
      <alignment horizontal="right"/>
      <protection locked="0"/>
    </xf>
    <xf numFmtId="37" fontId="68" fillId="0" borderId="34" xfId="184" applyNumberFormat="1" applyFont="1" applyBorder="1" applyAlignment="1" applyProtection="1">
      <alignment horizontal="right"/>
      <protection locked="0"/>
    </xf>
    <xf numFmtId="39" fontId="80" fillId="0" borderId="0" xfId="184" applyNumberFormat="1" applyFont="1" applyAlignment="1" applyProtection="1">
      <alignment horizontal="right" vertical="center"/>
      <protection locked="0"/>
    </xf>
    <xf numFmtId="39" fontId="9" fillId="0" borderId="0" xfId="184" applyNumberFormat="1" applyFont="1" applyAlignment="1" applyProtection="1">
      <alignment horizontal="right" vertical="center"/>
      <protection locked="0"/>
    </xf>
    <xf numFmtId="39" fontId="54" fillId="0" borderId="0" xfId="184" applyNumberFormat="1" applyFont="1" applyAlignment="1" applyProtection="1">
      <alignment horizontal="right" vertical="center"/>
      <protection locked="0"/>
    </xf>
    <xf numFmtId="37" fontId="74" fillId="0" borderId="34" xfId="184" applyNumberFormat="1" applyFont="1" applyBorder="1" applyAlignment="1" applyProtection="1">
      <alignment horizontal="right"/>
      <protection locked="0"/>
    </xf>
    <xf numFmtId="0" fontId="231" fillId="0" borderId="34" xfId="184" applyFont="1" applyBorder="1" applyAlignment="1" applyProtection="1">
      <alignment horizontal="left" wrapText="1"/>
      <protection locked="0"/>
    </xf>
    <xf numFmtId="0" fontId="74" fillId="0" borderId="34" xfId="184" applyFont="1" applyBorder="1" applyAlignment="1" applyProtection="1">
      <alignment horizontal="left" wrapText="1"/>
      <protection locked="0"/>
    </xf>
    <xf numFmtId="0" fontId="75" fillId="0" borderId="34" xfId="184" applyFont="1" applyBorder="1" applyAlignment="1" applyProtection="1">
      <alignment horizontal="left" wrapText="1"/>
      <protection locked="0"/>
    </xf>
    <xf numFmtId="4" fontId="75" fillId="0" borderId="34" xfId="184" applyNumberFormat="1" applyFont="1" applyBorder="1" applyAlignment="1" applyProtection="1">
      <alignment horizontal="right"/>
      <protection locked="0"/>
    </xf>
    <xf numFmtId="0" fontId="67" fillId="0" borderId="0" xfId="25" applyFont="1" applyAlignment="1">
      <alignment horizontal="left" vertical="top"/>
      <protection locked="0"/>
    </xf>
    <xf numFmtId="0" fontId="255" fillId="0" borderId="0" xfId="184" applyFont="1" applyAlignment="1" applyProtection="1">
      <alignment horizontal="left" vertical="center"/>
      <protection locked="0"/>
    </xf>
    <xf numFmtId="2" fontId="67" fillId="0" borderId="0" xfId="184" applyNumberFormat="1" applyFont="1" applyAlignment="1" applyProtection="1">
      <alignment horizontal="left" vertical="center"/>
      <protection locked="0"/>
    </xf>
    <xf numFmtId="0" fontId="71" fillId="0" borderId="0" xfId="184" applyFont="1" applyAlignment="1">
      <alignment horizontal="right"/>
    </xf>
    <xf numFmtId="0" fontId="12" fillId="0" borderId="0" xfId="184" applyFont="1" applyAlignment="1" applyProtection="1">
      <alignment horizontal="right" vertical="top"/>
      <protection locked="0"/>
    </xf>
    <xf numFmtId="0" fontId="229" fillId="0" borderId="0" xfId="184" applyFont="1" applyAlignment="1">
      <alignment vertical="top"/>
    </xf>
    <xf numFmtId="39" fontId="81" fillId="0" borderId="34" xfId="184" applyNumberFormat="1" applyFont="1" applyBorder="1" applyAlignment="1" applyProtection="1">
      <alignment horizontal="right" vertical="center"/>
      <protection locked="0"/>
    </xf>
    <xf numFmtId="0" fontId="30" fillId="0" borderId="0" xfId="146" applyFill="1" applyAlignment="1" applyProtection="1">
      <alignment vertical="top"/>
      <protection locked="0"/>
    </xf>
    <xf numFmtId="6" fontId="83" fillId="0" borderId="0" xfId="184" applyNumberFormat="1" applyFont="1" applyAlignment="1" applyProtection="1">
      <alignment horizontal="left" vertical="top"/>
      <protection locked="0"/>
    </xf>
    <xf numFmtId="39" fontId="9" fillId="0" borderId="34" xfId="70" applyNumberFormat="1" applyFont="1" applyBorder="1" applyAlignment="1" applyProtection="1">
      <alignment horizontal="right"/>
      <protection locked="0"/>
    </xf>
    <xf numFmtId="0" fontId="57" fillId="0" borderId="0" xfId="184" applyFont="1" applyAlignment="1" applyProtection="1">
      <alignment vertical="top"/>
      <protection locked="0"/>
    </xf>
    <xf numFmtId="49" fontId="80" fillId="0" borderId="34" xfId="184" applyNumberFormat="1" applyFont="1" applyBorder="1" applyAlignment="1" applyProtection="1">
      <alignment horizontal="right"/>
      <protection locked="0"/>
    </xf>
    <xf numFmtId="39" fontId="9" fillId="0" borderId="34" xfId="194" applyNumberFormat="1" applyFont="1" applyBorder="1" applyAlignment="1" applyProtection="1">
      <alignment horizontal="right"/>
      <protection locked="0"/>
    </xf>
    <xf numFmtId="0" fontId="11" fillId="0" borderId="0" xfId="149" applyAlignment="1" applyProtection="1">
      <alignment horizontal="left" vertical="top"/>
      <protection locked="0"/>
    </xf>
    <xf numFmtId="0" fontId="83" fillId="0" borderId="0" xfId="194" applyFont="1" applyAlignment="1" applyProtection="1">
      <alignment horizontal="left" vertical="top"/>
      <protection locked="0"/>
    </xf>
    <xf numFmtId="0" fontId="54" fillId="0" borderId="34" xfId="194" applyFont="1" applyBorder="1" applyAlignment="1" applyProtection="1">
      <alignment horizontal="left" wrapText="1"/>
      <protection locked="0"/>
    </xf>
    <xf numFmtId="0" fontId="116" fillId="0" borderId="34" xfId="194" applyFont="1" applyBorder="1" applyAlignment="1" applyProtection="1">
      <alignment horizontal="left" wrapText="1"/>
      <protection locked="0"/>
    </xf>
    <xf numFmtId="172" fontId="114" fillId="0" borderId="34" xfId="194" applyNumberFormat="1" applyFont="1" applyBorder="1" applyAlignment="1" applyProtection="1">
      <alignment horizontal="right"/>
      <protection locked="0"/>
    </xf>
    <xf numFmtId="0" fontId="2" fillId="0" borderId="0" xfId="194" applyAlignment="1" applyProtection="1">
      <alignment vertical="top"/>
      <protection locked="0"/>
    </xf>
    <xf numFmtId="0" fontId="68" fillId="0" borderId="34" xfId="194" applyFont="1" applyBorder="1" applyAlignment="1" applyProtection="1">
      <alignment horizontal="left" wrapText="1"/>
      <protection locked="0"/>
    </xf>
    <xf numFmtId="0" fontId="256" fillId="0" borderId="0" xfId="184" applyFont="1" applyAlignment="1">
      <alignment vertical="center"/>
    </xf>
    <xf numFmtId="0" fontId="71" fillId="0" borderId="0" xfId="194" applyFont="1" applyAlignment="1">
      <alignment horizontal="right"/>
    </xf>
    <xf numFmtId="0" fontId="12" fillId="0" borderId="0" xfId="194" applyFont="1" applyAlignment="1" applyProtection="1">
      <alignment horizontal="left" vertical="top"/>
      <protection locked="0"/>
    </xf>
    <xf numFmtId="0" fontId="12" fillId="0" borderId="0" xfId="194" applyFont="1" applyAlignment="1" applyProtection="1">
      <alignment horizontal="right" vertical="top"/>
      <protection locked="0"/>
    </xf>
    <xf numFmtId="0" fontId="88" fillId="0" borderId="0" xfId="184" applyFont="1" applyAlignment="1" applyProtection="1">
      <alignment horizontal="left" vertical="center"/>
      <protection locked="0"/>
    </xf>
    <xf numFmtId="2" fontId="80" fillId="0" borderId="34" xfId="184" applyNumberFormat="1" applyFont="1" applyBorder="1" applyAlignment="1" applyProtection="1">
      <alignment horizontal="right" wrapText="1"/>
      <protection locked="0"/>
    </xf>
    <xf numFmtId="37" fontId="9" fillId="0" borderId="34" xfId="26" applyNumberFormat="1" applyFont="1" applyBorder="1" applyAlignment="1">
      <alignment horizontal="right"/>
      <protection locked="0"/>
    </xf>
    <xf numFmtId="2" fontId="9" fillId="0" borderId="34" xfId="26" applyNumberFormat="1" applyFont="1" applyBorder="1" applyAlignment="1">
      <alignment horizontal="right"/>
      <protection locked="0"/>
    </xf>
    <xf numFmtId="39" fontId="9" fillId="0" borderId="34" xfId="26" applyNumberFormat="1" applyFont="1" applyBorder="1" applyAlignment="1">
      <alignment horizontal="right"/>
      <protection locked="0"/>
    </xf>
    <xf numFmtId="39" fontId="9" fillId="0" borderId="34" xfId="26" applyNumberFormat="1" applyFont="1" applyBorder="1" applyAlignment="1">
      <alignment horizontal="center"/>
      <protection locked="0"/>
    </xf>
    <xf numFmtId="0" fontId="229" fillId="0" borderId="0" xfId="26" applyFont="1" applyAlignment="1" applyProtection="1"/>
    <xf numFmtId="182" fontId="9" fillId="0" borderId="34" xfId="36" applyNumberFormat="1" applyFont="1" applyBorder="1" applyAlignment="1">
      <alignment horizontal="right"/>
    </xf>
    <xf numFmtId="37" fontId="9" fillId="0" borderId="34" xfId="36" applyNumberFormat="1" applyFont="1" applyBorder="1" applyAlignment="1">
      <alignment horizontal="right"/>
    </xf>
    <xf numFmtId="0" fontId="61" fillId="0" borderId="34" xfId="36" applyFont="1" applyBorder="1" applyAlignment="1">
      <alignment horizontal="left" wrapText="1"/>
    </xf>
    <xf numFmtId="0" fontId="9" fillId="0" borderId="34" xfId="36" applyFont="1" applyBorder="1" applyAlignment="1">
      <alignment horizontal="left" wrapText="1"/>
    </xf>
    <xf numFmtId="2" fontId="80" fillId="0" borderId="34" xfId="36" applyNumberFormat="1" applyFont="1" applyBorder="1" applyAlignment="1">
      <alignment horizontal="right" wrapText="1"/>
    </xf>
    <xf numFmtId="39" fontId="116" fillId="0" borderId="34" xfId="36" applyNumberFormat="1" applyFont="1" applyBorder="1" applyAlignment="1">
      <alignment horizontal="right"/>
    </xf>
    <xf numFmtId="39" fontId="61" fillId="0" borderId="34" xfId="36" applyNumberFormat="1" applyFont="1" applyBorder="1" applyAlignment="1">
      <alignment horizontal="right"/>
    </xf>
    <xf numFmtId="0" fontId="83" fillId="0" borderId="34" xfId="36" applyFont="1" applyBorder="1" applyAlignment="1">
      <alignment horizontal="left" vertical="top"/>
    </xf>
    <xf numFmtId="0" fontId="83" fillId="0" borderId="0" xfId="36" applyFont="1" applyAlignment="1" applyProtection="1">
      <alignment horizontal="left" vertical="top"/>
      <protection locked="0"/>
    </xf>
    <xf numFmtId="49" fontId="9" fillId="0" borderId="34" xfId="36" applyNumberFormat="1" applyFont="1" applyBorder="1" applyAlignment="1">
      <alignment horizontal="left" wrapText="1"/>
    </xf>
    <xf numFmtId="4" fontId="9" fillId="0" borderId="34" xfId="36" applyNumberFormat="1" applyFont="1" applyBorder="1" applyAlignment="1">
      <alignment horizontal="right"/>
    </xf>
    <xf numFmtId="39" fontId="9" fillId="0" borderId="34" xfId="36" applyNumberFormat="1" applyFont="1" applyBorder="1" applyAlignment="1">
      <alignment horizontal="center"/>
    </xf>
    <xf numFmtId="0" fontId="147" fillId="0" borderId="0" xfId="184" applyFont="1" applyAlignment="1" applyProtection="1">
      <alignment horizontal="left" vertical="center"/>
      <protection locked="0"/>
    </xf>
    <xf numFmtId="0" fontId="83" fillId="0" borderId="0" xfId="36" applyFont="1" applyAlignment="1" applyProtection="1">
      <alignment horizontal="left" vertical="center"/>
      <protection locked="0"/>
    </xf>
    <xf numFmtId="6" fontId="2" fillId="0" borderId="0" xfId="184" applyNumberFormat="1" applyAlignment="1" applyProtection="1">
      <alignment horizontal="left" vertical="top"/>
      <protection locked="0"/>
    </xf>
    <xf numFmtId="2" fontId="54" fillId="0" borderId="34" xfId="36" applyNumberFormat="1" applyFont="1" applyBorder="1" applyAlignment="1">
      <alignment horizontal="right" wrapText="1"/>
    </xf>
    <xf numFmtId="0" fontId="89" fillId="0" borderId="34" xfId="32" applyFont="1" applyBorder="1" applyAlignment="1">
      <alignment horizontal="left" vertical="top" wrapText="1"/>
    </xf>
    <xf numFmtId="0" fontId="257" fillId="0" borderId="34" xfId="8" applyFont="1" applyBorder="1" applyAlignment="1" applyProtection="1">
      <alignment horizontal="right" vertical="center"/>
      <protection locked="0"/>
    </xf>
    <xf numFmtId="1" fontId="9" fillId="0" borderId="34" xfId="184" applyNumberFormat="1" applyFont="1" applyBorder="1" applyAlignment="1" applyProtection="1">
      <alignment horizontal="right"/>
      <protection locked="0"/>
    </xf>
    <xf numFmtId="49" fontId="9" fillId="0" borderId="34" xfId="32" applyNumberFormat="1" applyFont="1" applyBorder="1" applyAlignment="1">
      <alignment horizontal="left" wrapText="1"/>
    </xf>
    <xf numFmtId="0" fontId="83" fillId="0" borderId="0" xfId="32" applyFont="1" applyAlignment="1" applyProtection="1">
      <alignment horizontal="left" vertical="top"/>
      <protection locked="0"/>
    </xf>
    <xf numFmtId="0" fontId="83" fillId="0" borderId="0" xfId="32" applyFont="1" applyAlignment="1" applyProtection="1">
      <alignment horizontal="left" vertical="center"/>
      <protection locked="0"/>
    </xf>
    <xf numFmtId="0" fontId="233" fillId="0" borderId="0" xfId="32" applyFont="1" applyAlignment="1" applyProtection="1">
      <alignment horizontal="left" vertical="center"/>
      <protection locked="0"/>
    </xf>
    <xf numFmtId="0" fontId="233" fillId="0" borderId="0" xfId="32" applyFont="1" applyAlignment="1" applyProtection="1">
      <alignment horizontal="left" vertical="top"/>
      <protection locked="0"/>
    </xf>
    <xf numFmtId="1" fontId="54" fillId="0" borderId="34" xfId="184" applyNumberFormat="1" applyFont="1" applyBorder="1" applyAlignment="1" applyProtection="1">
      <alignment horizontal="right"/>
      <protection locked="0"/>
    </xf>
    <xf numFmtId="0" fontId="89" fillId="0" borderId="34" xfId="184" applyFont="1" applyBorder="1" applyAlignment="1" applyProtection="1">
      <alignment horizontal="right" vertical="center"/>
      <protection locked="0"/>
    </xf>
    <xf numFmtId="0" fontId="147" fillId="0" borderId="0" xfId="184" applyFont="1" applyAlignment="1" applyProtection="1">
      <alignment horizontal="right" vertical="center"/>
      <protection locked="0"/>
    </xf>
    <xf numFmtId="0" fontId="9" fillId="0" borderId="34" xfId="32" applyFont="1" applyBorder="1" applyAlignment="1">
      <alignment horizontal="left" wrapText="1"/>
    </xf>
    <xf numFmtId="4" fontId="9" fillId="0" borderId="34" xfId="32" applyNumberFormat="1" applyFont="1" applyBorder="1" applyAlignment="1">
      <alignment horizontal="right"/>
    </xf>
    <xf numFmtId="1" fontId="54" fillId="0" borderId="34" xfId="32" applyNumberFormat="1" applyFont="1" applyBorder="1" applyAlignment="1">
      <alignment horizontal="right"/>
    </xf>
    <xf numFmtId="0" fontId="54" fillId="0" borderId="34" xfId="32" applyFont="1" applyBorder="1" applyAlignment="1">
      <alignment horizontal="left" wrapText="1"/>
    </xf>
    <xf numFmtId="2" fontId="54" fillId="0" borderId="34" xfId="32" applyNumberFormat="1" applyFont="1" applyBorder="1" applyAlignment="1">
      <alignment horizontal="right" wrapText="1"/>
    </xf>
    <xf numFmtId="4" fontId="54" fillId="0" borderId="34" xfId="32" applyNumberFormat="1" applyFont="1" applyBorder="1" applyAlignment="1">
      <alignment horizontal="right"/>
    </xf>
    <xf numFmtId="0" fontId="89" fillId="0" borderId="34" xfId="32" applyFont="1" applyBorder="1" applyAlignment="1">
      <alignment horizontal="left" vertical="top"/>
    </xf>
    <xf numFmtId="0" fontId="147" fillId="0" borderId="0" xfId="27" applyFont="1" applyFill="1" applyAlignment="1" applyProtection="1">
      <alignment horizontal="left" vertical="center"/>
      <protection locked="0"/>
    </xf>
    <xf numFmtId="0" fontId="258" fillId="0" borderId="0" xfId="184" applyFont="1" applyAlignment="1" applyProtection="1">
      <alignment horizontal="left" vertical="center"/>
      <protection locked="0"/>
    </xf>
    <xf numFmtId="0" fontId="183" fillId="0" borderId="0" xfId="184" applyFont="1" applyAlignment="1" applyProtection="1">
      <alignment horizontal="left" vertical="center"/>
      <protection locked="0"/>
    </xf>
    <xf numFmtId="37" fontId="54" fillId="0" borderId="34" xfId="32" applyNumberFormat="1" applyFont="1" applyBorder="1" applyAlignment="1">
      <alignment horizontal="right"/>
    </xf>
    <xf numFmtId="2" fontId="54" fillId="0" borderId="34" xfId="32" applyNumberFormat="1" applyFont="1" applyBorder="1" applyAlignment="1">
      <alignment horizontal="right"/>
    </xf>
    <xf numFmtId="0" fontId="251" fillId="0" borderId="0" xfId="32" applyFont="1" applyAlignment="1" applyProtection="1">
      <alignment horizontal="left" vertical="center"/>
      <protection locked="0"/>
    </xf>
    <xf numFmtId="0" fontId="33" fillId="0" borderId="0" xfId="48" applyFill="1" applyAlignment="1" applyProtection="1">
      <alignment horizontal="left" vertical="center"/>
      <protection locked="0"/>
    </xf>
    <xf numFmtId="0" fontId="88" fillId="0" borderId="0" xfId="184" applyFont="1" applyAlignment="1">
      <alignment horizontal="right" vertical="center"/>
    </xf>
    <xf numFmtId="0" fontId="173" fillId="0" borderId="0" xfId="27" applyFont="1" applyFill="1" applyAlignment="1" applyProtection="1">
      <alignment horizontal="left" vertical="center"/>
      <protection locked="0"/>
    </xf>
    <xf numFmtId="1" fontId="132" fillId="0" borderId="34" xfId="36" applyNumberFormat="1" applyFont="1" applyBorder="1" applyAlignment="1" applyProtection="1">
      <alignment horizontal="right"/>
      <protection locked="0"/>
    </xf>
    <xf numFmtId="37" fontId="54" fillId="0" borderId="34" xfId="36" applyNumberFormat="1" applyFont="1" applyBorder="1" applyAlignment="1" applyProtection="1">
      <alignment horizontal="right"/>
      <protection locked="0"/>
    </xf>
    <xf numFmtId="0" fontId="54" fillId="0" borderId="34" xfId="36" applyFont="1" applyBorder="1" applyAlignment="1" applyProtection="1">
      <alignment horizontal="left" wrapText="1"/>
      <protection locked="0"/>
    </xf>
    <xf numFmtId="2" fontId="54" fillId="0" borderId="34" xfId="36" applyNumberFormat="1" applyFont="1" applyBorder="1" applyAlignment="1" applyProtection="1">
      <alignment horizontal="right"/>
      <protection locked="0"/>
    </xf>
    <xf numFmtId="4" fontId="54" fillId="0" borderId="34" xfId="36" applyNumberFormat="1" applyFont="1" applyBorder="1" applyAlignment="1" applyProtection="1">
      <alignment horizontal="right"/>
      <protection locked="0"/>
    </xf>
    <xf numFmtId="0" fontId="89" fillId="0" borderId="34" xfId="36" applyFont="1" applyBorder="1" applyAlignment="1" applyProtection="1">
      <alignment horizontal="left" vertical="top"/>
      <protection locked="0"/>
    </xf>
    <xf numFmtId="0" fontId="91" fillId="0" borderId="0" xfId="36" applyFont="1" applyAlignment="1">
      <alignment horizontal="left" vertical="center"/>
    </xf>
    <xf numFmtId="0" fontId="9" fillId="0" borderId="34" xfId="36" applyFont="1" applyBorder="1" applyAlignment="1" applyProtection="1">
      <alignment horizontal="left" wrapText="1"/>
      <protection locked="0"/>
    </xf>
    <xf numFmtId="4" fontId="9" fillId="0" borderId="34" xfId="36" applyNumberFormat="1" applyFont="1" applyBorder="1" applyAlignment="1" applyProtection="1">
      <alignment horizontal="right"/>
      <protection locked="0"/>
    </xf>
    <xf numFmtId="0" fontId="183" fillId="0" borderId="0" xfId="36" applyFont="1" applyAlignment="1" applyProtection="1">
      <alignment horizontal="left" vertical="center"/>
      <protection locked="0"/>
    </xf>
    <xf numFmtId="1" fontId="54" fillId="0" borderId="34" xfId="36" applyNumberFormat="1" applyFont="1" applyBorder="1" applyAlignment="1" applyProtection="1">
      <alignment horizontal="right"/>
      <protection locked="0"/>
    </xf>
    <xf numFmtId="2" fontId="54" fillId="0" borderId="34" xfId="36" applyNumberFormat="1" applyFont="1" applyBorder="1" applyAlignment="1" applyProtection="1">
      <alignment horizontal="right" wrapText="1"/>
      <protection locked="0"/>
    </xf>
    <xf numFmtId="0" fontId="216" fillId="0" borderId="0" xfId="184" applyFont="1" applyAlignment="1" applyProtection="1">
      <alignment horizontal="right" vertical="center"/>
      <protection locked="0"/>
    </xf>
    <xf numFmtId="0" fontId="29" fillId="0" borderId="0" xfId="184" applyFont="1" applyAlignment="1" applyProtection="1">
      <alignment horizontal="left" vertical="center"/>
      <protection locked="0"/>
    </xf>
    <xf numFmtId="0" fontId="216" fillId="0" borderId="0" xfId="184" applyFont="1" applyAlignment="1" applyProtection="1">
      <alignment horizontal="left" vertical="top"/>
      <protection locked="0"/>
    </xf>
    <xf numFmtId="0" fontId="29" fillId="0" borderId="0" xfId="184" applyFont="1" applyAlignment="1" applyProtection="1">
      <alignment horizontal="left"/>
      <protection locked="0"/>
    </xf>
    <xf numFmtId="0" fontId="90" fillId="0" borderId="0" xfId="36" applyFont="1" applyAlignment="1">
      <alignment vertical="center"/>
    </xf>
    <xf numFmtId="2" fontId="9" fillId="0" borderId="34" xfId="36" applyNumberFormat="1" applyFont="1" applyBorder="1" applyAlignment="1">
      <alignment horizontal="right"/>
    </xf>
    <xf numFmtId="39" fontId="9" fillId="0" borderId="34" xfId="36" applyNumberFormat="1" applyFont="1" applyBorder="1" applyAlignment="1">
      <alignment horizontal="right"/>
    </xf>
    <xf numFmtId="39" fontId="88" fillId="0" borderId="0" xfId="36" applyNumberFormat="1" applyFont="1" applyAlignment="1" applyProtection="1">
      <alignment horizontal="right" vertical="center"/>
      <protection locked="0"/>
    </xf>
    <xf numFmtId="0" fontId="12" fillId="0" borderId="0" xfId="36" applyFont="1" applyAlignment="1" applyProtection="1">
      <alignment horizontal="left" vertical="top"/>
      <protection locked="0"/>
    </xf>
    <xf numFmtId="39" fontId="255" fillId="0" borderId="0" xfId="36" applyNumberFormat="1" applyFont="1" applyAlignment="1" applyProtection="1">
      <alignment horizontal="left" vertical="center"/>
      <protection locked="0"/>
    </xf>
    <xf numFmtId="37" fontId="80" fillId="0" borderId="34" xfId="36" applyNumberFormat="1" applyFont="1" applyBorder="1" applyAlignment="1">
      <alignment horizontal="right"/>
    </xf>
    <xf numFmtId="0" fontId="80" fillId="0" borderId="34" xfId="36" applyFont="1" applyBorder="1" applyAlignment="1">
      <alignment horizontal="left" wrapText="1"/>
    </xf>
    <xf numFmtId="39" fontId="80" fillId="0" borderId="34" xfId="36" applyNumberFormat="1" applyFont="1" applyBorder="1" applyAlignment="1">
      <alignment horizontal="right"/>
    </xf>
    <xf numFmtId="0" fontId="28" fillId="0" borderId="34" xfId="36" applyBorder="1" applyAlignment="1">
      <alignment horizontal="left" vertical="top"/>
    </xf>
    <xf numFmtId="0" fontId="28" fillId="0" borderId="0" xfId="36" applyAlignment="1" applyProtection="1">
      <alignment horizontal="left" vertical="top"/>
      <protection locked="0"/>
    </xf>
    <xf numFmtId="39" fontId="88" fillId="0" borderId="0" xfId="36" applyNumberFormat="1" applyFont="1" applyAlignment="1" applyProtection="1">
      <alignment horizontal="left" vertical="top"/>
      <protection locked="0"/>
    </xf>
    <xf numFmtId="4" fontId="54" fillId="9" borderId="34" xfId="184" applyNumberFormat="1" applyFont="1" applyFill="1" applyBorder="1" applyAlignment="1" applyProtection="1">
      <alignment horizontal="right"/>
      <protection locked="0"/>
    </xf>
    <xf numFmtId="4" fontId="54" fillId="9" borderId="34" xfId="6" applyNumberFormat="1" applyFont="1" applyFill="1" applyBorder="1" applyAlignment="1" applyProtection="1">
      <alignment horizontal="right"/>
      <protection locked="0"/>
    </xf>
    <xf numFmtId="4" fontId="68" fillId="9" borderId="34" xfId="184" applyNumberFormat="1" applyFont="1" applyFill="1" applyBorder="1" applyAlignment="1" applyProtection="1">
      <alignment horizontal="right"/>
      <protection locked="0"/>
    </xf>
    <xf numFmtId="4" fontId="74" fillId="9" borderId="34" xfId="184" applyNumberFormat="1" applyFont="1" applyFill="1" applyBorder="1" applyAlignment="1" applyProtection="1">
      <alignment horizontal="right"/>
      <protection locked="0"/>
    </xf>
    <xf numFmtId="0" fontId="83" fillId="0" borderId="34" xfId="184" applyFont="1" applyBorder="1" applyAlignment="1" applyProtection="1">
      <alignment horizontal="left" vertical="top"/>
      <protection locked="0"/>
    </xf>
    <xf numFmtId="0" fontId="2" fillId="0" borderId="34" xfId="184" applyBorder="1"/>
    <xf numFmtId="0" fontId="58" fillId="5" borderId="0" xfId="195" applyFont="1" applyFill="1" applyAlignment="1">
      <alignment horizontal="left"/>
    </xf>
    <xf numFmtId="172" fontId="12" fillId="0" borderId="0" xfId="25" applyNumberFormat="1" applyAlignment="1" applyProtection="1">
      <alignment vertical="top"/>
    </xf>
    <xf numFmtId="0" fontId="166" fillId="0" borderId="0" xfId="0" applyFont="1" applyAlignment="1" applyProtection="1">
      <alignment vertical="center"/>
    </xf>
    <xf numFmtId="1" fontId="9" fillId="0" borderId="63" xfId="178" applyNumberFormat="1" applyFont="1" applyBorder="1" applyAlignment="1">
      <alignment horizontal="right"/>
      <protection locked="0"/>
    </xf>
    <xf numFmtId="0" fontId="61" fillId="0" borderId="62" xfId="0" applyFont="1" applyBorder="1" applyAlignment="1">
      <alignment horizontal="left" wrapText="1"/>
      <protection locked="0"/>
    </xf>
    <xf numFmtId="172" fontId="61" fillId="0" borderId="62" xfId="0" applyNumberFormat="1" applyFont="1" applyBorder="1" applyAlignment="1">
      <alignment horizontal="right"/>
      <protection locked="0"/>
    </xf>
    <xf numFmtId="173" fontId="9" fillId="0" borderId="63" xfId="0" applyNumberFormat="1" applyFont="1" applyBorder="1" applyAlignment="1">
      <alignment horizontal="right"/>
      <protection locked="0"/>
    </xf>
    <xf numFmtId="4" fontId="61" fillId="0" borderId="64" xfId="0" applyNumberFormat="1" applyFont="1" applyBorder="1" applyAlignment="1">
      <alignment horizontal="right"/>
      <protection locked="0"/>
    </xf>
    <xf numFmtId="0" fontId="0" fillId="0" borderId="65" xfId="0" applyBorder="1" applyAlignment="1">
      <alignment horizontal="left" vertical="top"/>
      <protection locked="0"/>
    </xf>
    <xf numFmtId="0" fontId="53" fillId="0" borderId="66" xfId="0" applyFont="1" applyBorder="1" applyAlignment="1" applyProtection="1">
      <alignment horizontal="right"/>
    </xf>
    <xf numFmtId="0" fontId="9" fillId="0" borderId="67" xfId="0" applyFont="1" applyBorder="1" applyAlignment="1">
      <alignment horizontal="left" wrapText="1"/>
      <protection locked="0"/>
    </xf>
    <xf numFmtId="172" fontId="9" fillId="0" borderId="66" xfId="0" applyNumberFormat="1" applyFont="1" applyBorder="1" applyAlignment="1">
      <alignment horizontal="right"/>
      <protection locked="0"/>
    </xf>
    <xf numFmtId="4" fontId="9" fillId="0" borderId="67" xfId="0" applyNumberFormat="1" applyFont="1" applyBorder="1" applyAlignment="1">
      <alignment horizontal="right"/>
      <protection locked="0"/>
    </xf>
    <xf numFmtId="4" fontId="9" fillId="0" borderId="67" xfId="129" applyNumberFormat="1" applyFont="1" applyBorder="1" applyAlignment="1" applyProtection="1">
      <alignment horizontal="right"/>
      <protection locked="0"/>
    </xf>
    <xf numFmtId="39" fontId="9" fillId="0" borderId="67" xfId="0" applyNumberFormat="1" applyFont="1" applyBorder="1" applyAlignment="1">
      <alignment horizontal="center"/>
      <protection locked="0"/>
    </xf>
    <xf numFmtId="1" fontId="9" fillId="0" borderId="68" xfId="178" applyNumberFormat="1" applyFont="1" applyBorder="1" applyAlignment="1">
      <alignment horizontal="right"/>
      <protection locked="0"/>
    </xf>
    <xf numFmtId="49" fontId="61" fillId="0" borderId="68" xfId="0" applyNumberFormat="1" applyFont="1" applyBorder="1" applyAlignment="1">
      <alignment horizontal="left" wrapText="1"/>
      <protection locked="0"/>
    </xf>
    <xf numFmtId="0" fontId="61" fillId="0" borderId="68" xfId="0" applyFont="1" applyBorder="1" applyAlignment="1">
      <alignment horizontal="left" wrapText="1"/>
      <protection locked="0"/>
    </xf>
    <xf numFmtId="0" fontId="54" fillId="0" borderId="68" xfId="0" applyFont="1" applyBorder="1" applyAlignment="1">
      <alignment horizontal="left" wrapText="1"/>
      <protection locked="0"/>
    </xf>
    <xf numFmtId="172" fontId="54" fillId="0" borderId="68" xfId="0" applyNumberFormat="1" applyFont="1" applyBorder="1" applyAlignment="1">
      <alignment horizontal="right"/>
      <protection locked="0"/>
    </xf>
    <xf numFmtId="4" fontId="9" fillId="0" borderId="68" xfId="0" applyNumberFormat="1" applyFont="1" applyBorder="1" applyAlignment="1">
      <alignment horizontal="right"/>
      <protection locked="0"/>
    </xf>
    <xf numFmtId="0" fontId="0" fillId="0" borderId="68" xfId="0" applyBorder="1" applyAlignment="1">
      <alignment horizontal="left" vertical="top"/>
      <protection locked="0"/>
    </xf>
    <xf numFmtId="0" fontId="53" fillId="0" borderId="68" xfId="0" applyFont="1" applyBorder="1" applyAlignment="1" applyProtection="1">
      <alignment horizontal="right"/>
    </xf>
    <xf numFmtId="0" fontId="9" fillId="0" borderId="68" xfId="0" applyFont="1" applyBorder="1" applyAlignment="1">
      <alignment horizontal="left" wrapText="1"/>
      <protection locked="0"/>
    </xf>
    <xf numFmtId="172" fontId="9" fillId="0" borderId="68" xfId="0" applyNumberFormat="1" applyFont="1" applyBorder="1" applyAlignment="1">
      <alignment horizontal="right"/>
      <protection locked="0"/>
    </xf>
    <xf numFmtId="4" fontId="9" fillId="0" borderId="68" xfId="129" applyNumberFormat="1" applyFont="1" applyBorder="1" applyAlignment="1" applyProtection="1">
      <alignment horizontal="right"/>
      <protection locked="0"/>
    </xf>
    <xf numFmtId="39" fontId="9" fillId="0" borderId="68" xfId="0" applyNumberFormat="1" applyFont="1" applyBorder="1" applyAlignment="1">
      <alignment horizontal="center"/>
      <protection locked="0"/>
    </xf>
    <xf numFmtId="0" fontId="77" fillId="0" borderId="0" xfId="197" applyFont="1" applyFill="1" applyAlignment="1" applyProtection="1">
      <alignment horizontal="right" vertical="center"/>
      <protection locked="0"/>
    </xf>
    <xf numFmtId="0" fontId="79" fillId="0" borderId="0" xfId="0" applyFont="1" applyAlignment="1">
      <alignment horizontal="left" vertical="top"/>
      <protection locked="0"/>
    </xf>
    <xf numFmtId="0" fontId="42" fillId="0" borderId="0" xfId="122" applyFill="1" applyAlignment="1">
      <alignment vertical="top"/>
      <protection locked="0"/>
    </xf>
    <xf numFmtId="0" fontId="208" fillId="0" borderId="68" xfId="0" applyFont="1" applyBorder="1" applyAlignment="1" applyProtection="1">
      <alignment horizontal="left"/>
    </xf>
    <xf numFmtId="0" fontId="208" fillId="0" borderId="68" xfId="0" applyFont="1" applyBorder="1" applyAlignment="1" applyProtection="1"/>
    <xf numFmtId="39" fontId="9" fillId="0" borderId="68" xfId="0" applyNumberFormat="1" applyFont="1" applyBorder="1" applyAlignment="1">
      <alignment horizontal="right"/>
      <protection locked="0"/>
    </xf>
    <xf numFmtId="0" fontId="259" fillId="0" borderId="0" xfId="0" applyFont="1" applyAlignment="1" applyProtection="1"/>
    <xf numFmtId="0" fontId="12" fillId="0" borderId="0" xfId="36" applyFont="1" applyAlignment="1" applyProtection="1">
      <alignment horizontal="left" vertical="center"/>
      <protection locked="0"/>
    </xf>
    <xf numFmtId="0" fontId="147" fillId="0" borderId="0" xfId="198" applyFont="1" applyAlignment="1" applyProtection="1">
      <alignment horizontal="left" vertical="top"/>
      <protection locked="0"/>
    </xf>
    <xf numFmtId="0" fontId="1" fillId="0" borderId="0" xfId="198" applyAlignment="1" applyProtection="1">
      <alignment horizontal="left" vertical="top"/>
      <protection locked="0"/>
    </xf>
    <xf numFmtId="1" fontId="9" fillId="0" borderId="68" xfId="198" applyNumberFormat="1" applyFont="1" applyBorder="1" applyAlignment="1" applyProtection="1">
      <alignment horizontal="right"/>
      <protection locked="0"/>
    </xf>
    <xf numFmtId="0" fontId="9" fillId="0" borderId="68" xfId="198" applyFont="1" applyBorder="1" applyAlignment="1" applyProtection="1">
      <alignment horizontal="left" wrapText="1"/>
      <protection locked="0"/>
    </xf>
    <xf numFmtId="0" fontId="10" fillId="0" borderId="68" xfId="176" applyFont="1" applyBorder="1" applyAlignment="1">
      <alignment vertical="center"/>
    </xf>
    <xf numFmtId="0" fontId="215" fillId="0" borderId="68" xfId="0" applyFont="1" applyBorder="1" applyAlignment="1" applyProtection="1"/>
    <xf numFmtId="37" fontId="9" fillId="0" borderId="68" xfId="0" applyNumberFormat="1" applyFont="1" applyBorder="1" applyAlignment="1">
      <alignment horizontal="right"/>
      <protection locked="0"/>
    </xf>
    <xf numFmtId="172" fontId="9" fillId="0" borderId="68" xfId="190" applyNumberFormat="1" applyFont="1" applyBorder="1" applyAlignment="1" applyProtection="1">
      <alignment horizontal="right"/>
      <protection locked="0"/>
    </xf>
    <xf numFmtId="1" fontId="9" fillId="0" borderId="68" xfId="199" applyNumberFormat="1" applyFont="1" applyBorder="1" applyAlignment="1" applyProtection="1">
      <alignment horizontal="right"/>
      <protection locked="0"/>
    </xf>
    <xf numFmtId="0" fontId="9" fillId="0" borderId="68" xfId="199" applyFont="1" applyBorder="1" applyAlignment="1" applyProtection="1">
      <alignment horizontal="left" wrapText="1"/>
      <protection locked="0"/>
    </xf>
    <xf numFmtId="0" fontId="54" fillId="0" borderId="68" xfId="199" applyFont="1" applyBorder="1" applyAlignment="1" applyProtection="1">
      <alignment horizontal="left" wrapText="1"/>
      <protection locked="0"/>
    </xf>
    <xf numFmtId="0" fontId="80" fillId="0" borderId="68" xfId="199" applyFont="1" applyBorder="1" applyAlignment="1" applyProtection="1">
      <alignment horizontal="left" wrapText="1"/>
      <protection locked="0"/>
    </xf>
    <xf numFmtId="172" fontId="54" fillId="0" borderId="68" xfId="199" applyNumberFormat="1" applyFont="1" applyBorder="1" applyAlignment="1" applyProtection="1">
      <alignment horizontal="right"/>
      <protection locked="0"/>
    </xf>
    <xf numFmtId="4" fontId="9" fillId="0" borderId="68" xfId="199" applyNumberFormat="1" applyFont="1" applyBorder="1" applyAlignment="1" applyProtection="1">
      <alignment horizontal="right"/>
      <protection locked="0"/>
    </xf>
    <xf numFmtId="0" fontId="1" fillId="0" borderId="68" xfId="199" applyBorder="1" applyAlignment="1" applyProtection="1">
      <alignment horizontal="left" vertical="top"/>
      <protection locked="0"/>
    </xf>
    <xf numFmtId="0" fontId="1" fillId="0" borderId="0" xfId="199" applyAlignment="1" applyProtection="1">
      <alignment horizontal="left" vertical="top"/>
      <protection locked="0"/>
    </xf>
    <xf numFmtId="172" fontId="1" fillId="0" borderId="68" xfId="199" applyNumberFormat="1" applyBorder="1" applyAlignment="1" applyProtection="1">
      <alignment horizontal="left" vertical="top"/>
      <protection locked="0"/>
    </xf>
    <xf numFmtId="0" fontId="10" fillId="0" borderId="68" xfId="192" applyFont="1" applyBorder="1" applyAlignment="1" applyProtection="1"/>
    <xf numFmtId="0" fontId="9" fillId="0" borderId="68" xfId="192" applyFont="1" applyBorder="1" applyAlignment="1">
      <alignment horizontal="left" wrapText="1"/>
      <protection locked="0"/>
    </xf>
    <xf numFmtId="0" fontId="71" fillId="0" borderId="0" xfId="192" applyFont="1" applyAlignment="1">
      <alignment horizontal="left" vertical="center"/>
      <protection locked="0"/>
    </xf>
    <xf numFmtId="1" fontId="9" fillId="0" borderId="68" xfId="192" applyNumberFormat="1" applyFont="1" applyBorder="1" applyAlignment="1">
      <alignment horizontal="right"/>
      <protection locked="0"/>
    </xf>
    <xf numFmtId="0" fontId="215" fillId="0" borderId="68" xfId="192" applyFont="1" applyBorder="1" applyAlignment="1" applyProtection="1">
      <alignment wrapText="1"/>
    </xf>
    <xf numFmtId="172" fontId="68" fillId="0" borderId="68" xfId="192" applyNumberFormat="1" applyFont="1" applyBorder="1" applyAlignment="1">
      <alignment horizontal="right" wrapText="1"/>
      <protection locked="0"/>
    </xf>
    <xf numFmtId="4" fontId="9" fillId="0" borderId="68" xfId="192" applyNumberFormat="1" applyFont="1" applyBorder="1" applyAlignment="1">
      <alignment horizontal="right"/>
      <protection locked="0"/>
    </xf>
    <xf numFmtId="39" fontId="9" fillId="0" borderId="68" xfId="192" applyNumberFormat="1" applyFont="1" applyBorder="1" applyAlignment="1">
      <alignment horizontal="center"/>
      <protection locked="0"/>
    </xf>
    <xf numFmtId="172" fontId="71" fillId="0" borderId="0" xfId="192" applyNumberFormat="1" applyFont="1" applyAlignment="1">
      <alignment horizontal="left" vertical="center"/>
      <protection locked="0"/>
    </xf>
    <xf numFmtId="172" fontId="89" fillId="0" borderId="68" xfId="192" applyNumberFormat="1" applyFont="1" applyBorder="1" applyAlignment="1">
      <alignment horizontal="left" vertical="top"/>
      <protection locked="0"/>
    </xf>
    <xf numFmtId="0" fontId="253" fillId="0" borderId="0" xfId="192" applyFont="1" applyAlignment="1">
      <alignment horizontal="left" vertical="center"/>
      <protection locked="0"/>
    </xf>
    <xf numFmtId="0" fontId="97" fillId="0" borderId="68" xfId="0" applyFont="1" applyBorder="1" applyAlignment="1">
      <alignment horizontal="left" wrapText="1"/>
      <protection locked="0"/>
    </xf>
    <xf numFmtId="0" fontId="10" fillId="0" borderId="68" xfId="199" applyFont="1" applyBorder="1" applyAlignment="1">
      <alignment horizontal="left"/>
    </xf>
    <xf numFmtId="0" fontId="10" fillId="0" borderId="68" xfId="199" applyFont="1" applyBorder="1"/>
    <xf numFmtId="172" fontId="10" fillId="0" borderId="68" xfId="199" applyNumberFormat="1" applyFont="1" applyBorder="1"/>
    <xf numFmtId="39" fontId="9" fillId="0" borderId="68" xfId="199" applyNumberFormat="1" applyFont="1" applyBorder="1" applyAlignment="1" applyProtection="1">
      <alignment horizontal="center"/>
      <protection locked="0"/>
    </xf>
    <xf numFmtId="0" fontId="147" fillId="0" borderId="0" xfId="199" applyFont="1" applyAlignment="1" applyProtection="1">
      <alignment horizontal="left" vertical="top"/>
      <protection locked="0"/>
    </xf>
    <xf numFmtId="172" fontId="61" fillId="0" borderId="68" xfId="0" applyNumberFormat="1" applyFont="1" applyBorder="1" applyAlignment="1">
      <alignment horizontal="right"/>
      <protection locked="0"/>
    </xf>
    <xf numFmtId="173" fontId="9" fillId="0" borderId="68" xfId="0" applyNumberFormat="1" applyFont="1" applyBorder="1" applyAlignment="1">
      <alignment horizontal="right"/>
      <protection locked="0"/>
    </xf>
    <xf numFmtId="4" fontId="61" fillId="0" borderId="68" xfId="0" applyNumberFormat="1" applyFont="1" applyBorder="1" applyAlignment="1">
      <alignment horizontal="right"/>
      <protection locked="0"/>
    </xf>
    <xf numFmtId="0" fontId="53" fillId="0" borderId="68" xfId="0" applyFont="1" applyBorder="1" applyAlignment="1" applyProtection="1"/>
    <xf numFmtId="4" fontId="10" fillId="0" borderId="68" xfId="0" applyNumberFormat="1" applyFont="1" applyBorder="1" applyAlignment="1" applyProtection="1"/>
    <xf numFmtId="0" fontId="260" fillId="0" borderId="0" xfId="0" applyFont="1" applyAlignment="1" applyProtection="1"/>
    <xf numFmtId="0" fontId="89" fillId="0" borderId="0" xfId="0" applyFont="1" applyAlignment="1">
      <alignment horizontal="left" vertical="center"/>
      <protection locked="0"/>
    </xf>
    <xf numFmtId="0" fontId="26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1" fontId="10" fillId="0" borderId="68" xfId="176" applyNumberFormat="1" applyFont="1" applyBorder="1"/>
    <xf numFmtId="172" fontId="54" fillId="0" borderId="68" xfId="124" applyNumberFormat="1" applyFont="1" applyBorder="1" applyAlignment="1">
      <alignment horizontal="right"/>
      <protection locked="0"/>
    </xf>
    <xf numFmtId="0" fontId="68" fillId="0" borderId="68" xfId="124" applyFont="1" applyBorder="1" applyAlignment="1">
      <alignment horizontal="left" wrapText="1"/>
      <protection locked="0"/>
    </xf>
    <xf numFmtId="172" fontId="89" fillId="0" borderId="68" xfId="0" applyNumberFormat="1" applyFont="1" applyBorder="1" applyAlignment="1">
      <alignment horizontal="left" vertical="top"/>
      <protection locked="0"/>
    </xf>
    <xf numFmtId="4" fontId="89" fillId="0" borderId="0" xfId="0" applyNumberFormat="1" applyFont="1" applyAlignment="1">
      <alignment horizontal="left" vertical="top"/>
      <protection locked="0"/>
    </xf>
    <xf numFmtId="4" fontId="54" fillId="0" borderId="68" xfId="0" applyNumberFormat="1" applyFont="1" applyBorder="1" applyAlignment="1">
      <alignment horizontal="right"/>
      <protection locked="0"/>
    </xf>
    <xf numFmtId="1" fontId="9" fillId="0" borderId="68" xfId="0" applyNumberFormat="1" applyFont="1" applyBorder="1" applyAlignment="1">
      <alignment horizontal="right"/>
      <protection locked="0"/>
    </xf>
    <xf numFmtId="49" fontId="9" fillId="0" borderId="68" xfId="45" applyNumberFormat="1" applyFont="1" applyBorder="1" applyAlignment="1">
      <alignment horizontal="right" wrapText="1"/>
      <protection locked="0"/>
    </xf>
    <xf numFmtId="49" fontId="80" fillId="0" borderId="68" xfId="45" applyNumberFormat="1" applyFont="1" applyBorder="1" applyAlignment="1">
      <alignment horizontal="left" wrapText="1"/>
      <protection locked="0"/>
    </xf>
    <xf numFmtId="0" fontId="80" fillId="0" borderId="68" xfId="45" applyFont="1" applyBorder="1" applyAlignment="1">
      <alignment horizontal="left" wrapText="1"/>
      <protection locked="0"/>
    </xf>
    <xf numFmtId="0" fontId="68" fillId="0" borderId="68" xfId="44" applyFont="1" applyBorder="1" applyAlignment="1">
      <alignment horizontal="left" vertical="center" wrapText="1"/>
      <protection locked="0"/>
    </xf>
    <xf numFmtId="0" fontId="262" fillId="0" borderId="68" xfId="45" applyFont="1" applyBorder="1" applyAlignment="1">
      <alignment horizontal="center" vertical="center" wrapText="1"/>
      <protection locked="0"/>
    </xf>
    <xf numFmtId="172" fontId="54" fillId="0" borderId="68" xfId="45" applyNumberFormat="1" applyFont="1" applyBorder="1" applyAlignment="1">
      <alignment horizontal="left" wrapText="1"/>
      <protection locked="0"/>
    </xf>
    <xf numFmtId="39" fontId="9" fillId="0" borderId="68" xfId="45" applyNumberFormat="1" applyFont="1" applyBorder="1" applyAlignment="1">
      <alignment horizontal="right"/>
      <protection locked="0"/>
    </xf>
    <xf numFmtId="4" fontId="9" fillId="0" borderId="68" xfId="45" applyNumberFormat="1" applyFont="1" applyBorder="1" applyAlignment="1">
      <alignment horizontal="right"/>
      <protection locked="0"/>
    </xf>
    <xf numFmtId="0" fontId="29" fillId="0" borderId="68" xfId="45" applyBorder="1" applyAlignment="1">
      <alignment horizontal="right" vertical="center"/>
      <protection locked="0"/>
    </xf>
    <xf numFmtId="0" fontId="108" fillId="0" borderId="0" xfId="45" applyFont="1" applyAlignment="1">
      <alignment horizontal="left" vertical="center"/>
      <protection locked="0"/>
    </xf>
    <xf numFmtId="0" fontId="98" fillId="0" borderId="0" xfId="45" applyFont="1" applyAlignment="1">
      <alignment horizontal="left" vertical="center"/>
      <protection locked="0"/>
    </xf>
    <xf numFmtId="0" fontId="263" fillId="0" borderId="0" xfId="45" applyFont="1" applyAlignment="1">
      <alignment vertical="top" wrapText="1"/>
      <protection locked="0"/>
    </xf>
    <xf numFmtId="0" fontId="43" fillId="0" borderId="0" xfId="126" applyFill="1" applyAlignment="1" applyProtection="1">
      <alignment horizontal="left" vertical="center"/>
      <protection locked="0"/>
    </xf>
    <xf numFmtId="0" fontId="263" fillId="0" borderId="0" xfId="45" applyFont="1" applyAlignment="1">
      <alignment vertical="center" wrapText="1"/>
      <protection locked="0"/>
    </xf>
    <xf numFmtId="0" fontId="9" fillId="0" borderId="0" xfId="45" applyFont="1" applyAlignment="1">
      <alignment horizontal="left" wrapText="1"/>
      <protection locked="0"/>
    </xf>
    <xf numFmtId="2" fontId="9" fillId="0" borderId="0" xfId="45" applyNumberFormat="1" applyFont="1" applyAlignment="1">
      <alignment horizontal="right"/>
      <protection locked="0"/>
    </xf>
    <xf numFmtId="39" fontId="9" fillId="0" borderId="0" xfId="45" applyNumberFormat="1" applyFont="1" applyAlignment="1">
      <alignment horizontal="right"/>
      <protection locked="0"/>
    </xf>
    <xf numFmtId="39" fontId="9" fillId="0" borderId="0" xfId="45" applyNumberFormat="1" applyFont="1" applyAlignment="1">
      <alignment horizontal="center"/>
      <protection locked="0"/>
    </xf>
    <xf numFmtId="0" fontId="264" fillId="0" borderId="0" xfId="45" applyFont="1" applyAlignment="1">
      <alignment horizontal="left" vertical="center" textRotation="90" wrapText="1"/>
      <protection locked="0"/>
    </xf>
    <xf numFmtId="0" fontId="208" fillId="0" borderId="68" xfId="124" applyFont="1" applyBorder="1" applyAlignment="1" applyProtection="1"/>
    <xf numFmtId="0" fontId="89" fillId="0" borderId="0" xfId="124" applyFont="1" applyAlignment="1">
      <alignment horizontal="left" vertical="top"/>
      <protection locked="0"/>
    </xf>
    <xf numFmtId="172" fontId="10" fillId="0" borderId="68" xfId="124" applyNumberFormat="1" applyFont="1" applyBorder="1" applyAlignment="1" applyProtection="1"/>
    <xf numFmtId="4" fontId="10" fillId="0" borderId="68" xfId="124" applyNumberFormat="1" applyFont="1" applyBorder="1" applyAlignment="1" applyProtection="1"/>
    <xf numFmtId="4" fontId="208" fillId="0" borderId="68" xfId="124" applyNumberFormat="1" applyFont="1" applyBorder="1" applyAlignment="1" applyProtection="1"/>
    <xf numFmtId="39" fontId="9" fillId="0" borderId="68" xfId="124" applyNumberFormat="1" applyFont="1" applyBorder="1" applyAlignment="1">
      <alignment horizontal="center"/>
      <protection locked="0"/>
    </xf>
    <xf numFmtId="0" fontId="9" fillId="0" borderId="68" xfId="124" applyFont="1" applyBorder="1" applyAlignment="1">
      <alignment horizontal="left" wrapText="1"/>
      <protection locked="0"/>
    </xf>
    <xf numFmtId="0" fontId="215" fillId="0" borderId="68" xfId="124" applyFont="1" applyBorder="1" applyAlignment="1" applyProtection="1">
      <alignment wrapText="1"/>
    </xf>
    <xf numFmtId="0" fontId="216" fillId="0" borderId="0" xfId="0" applyFont="1" applyAlignment="1">
      <alignment horizontal="right" vertical="top"/>
      <protection locked="0"/>
    </xf>
    <xf numFmtId="172" fontId="208" fillId="0" borderId="68" xfId="0" applyNumberFormat="1" applyFont="1" applyBorder="1" applyAlignment="1" applyProtection="1"/>
    <xf numFmtId="0" fontId="123" fillId="0" borderId="0" xfId="122" applyFont="1" applyFill="1" applyAlignment="1" applyProtection="1">
      <alignment horizontal="left" vertical="center"/>
      <protection locked="0"/>
    </xf>
    <xf numFmtId="0" fontId="116" fillId="0" borderId="68" xfId="0" applyFont="1" applyBorder="1" applyAlignment="1">
      <alignment horizontal="left" wrapText="1"/>
      <protection locked="0"/>
    </xf>
    <xf numFmtId="172" fontId="54" fillId="0" borderId="68" xfId="0" applyNumberFormat="1" applyFont="1" applyBorder="1" applyAlignment="1">
      <alignment horizontal="right" wrapText="1"/>
      <protection locked="0"/>
    </xf>
    <xf numFmtId="172" fontId="116" fillId="0" borderId="68" xfId="0" applyNumberFormat="1" applyFont="1" applyBorder="1" applyAlignment="1">
      <alignment horizontal="left" wrapText="1"/>
      <protection locked="0"/>
    </xf>
    <xf numFmtId="39" fontId="9" fillId="0" borderId="68" xfId="198" applyNumberFormat="1" applyFont="1" applyBorder="1" applyAlignment="1" applyProtection="1">
      <alignment horizontal="center"/>
      <protection locked="0"/>
    </xf>
    <xf numFmtId="0" fontId="265" fillId="0" borderId="0" xfId="198" applyFont="1"/>
    <xf numFmtId="0" fontId="83" fillId="0" borderId="0" xfId="198" applyFont="1" applyAlignment="1" applyProtection="1">
      <alignment horizontal="left"/>
      <protection locked="0"/>
    </xf>
    <xf numFmtId="0" fontId="82" fillId="0" borderId="0" xfId="198" applyFont="1" applyAlignment="1" applyProtection="1">
      <alignment horizontal="left" vertical="center"/>
      <protection locked="0"/>
    </xf>
    <xf numFmtId="0" fontId="89" fillId="0" borderId="0" xfId="198" applyFont="1" applyAlignment="1" applyProtection="1">
      <alignment horizontal="left" vertical="top"/>
      <protection locked="0"/>
    </xf>
    <xf numFmtId="0" fontId="54" fillId="0" borderId="68" xfId="198" applyFont="1" applyBorder="1" applyAlignment="1" applyProtection="1">
      <alignment horizontal="left" wrapText="1"/>
      <protection locked="0"/>
    </xf>
    <xf numFmtId="0" fontId="80" fillId="0" borderId="68" xfId="198" applyFont="1" applyBorder="1" applyAlignment="1" applyProtection="1">
      <alignment horizontal="left" wrapText="1"/>
      <protection locked="0"/>
    </xf>
    <xf numFmtId="172" fontId="54" fillId="0" borderId="68" xfId="198" applyNumberFormat="1" applyFont="1" applyBorder="1" applyAlignment="1" applyProtection="1">
      <alignment horizontal="right"/>
      <protection locked="0"/>
    </xf>
    <xf numFmtId="4" fontId="9" fillId="0" borderId="68" xfId="198" applyNumberFormat="1" applyFont="1" applyBorder="1" applyAlignment="1" applyProtection="1">
      <alignment horizontal="right"/>
      <protection locked="0"/>
    </xf>
    <xf numFmtId="0" fontId="1" fillId="0" borderId="68" xfId="198" applyBorder="1" applyAlignment="1" applyProtection="1">
      <alignment horizontal="left" vertical="top"/>
      <protection locked="0"/>
    </xf>
    <xf numFmtId="0" fontId="42" fillId="0" borderId="0" xfId="122" applyFill="1" applyAlignment="1">
      <alignment horizontal="left" vertical="center"/>
      <protection locked="0"/>
    </xf>
    <xf numFmtId="0" fontId="152" fillId="0" borderId="0" xfId="0" applyFont="1" applyAlignment="1">
      <alignment horizontal="left" vertical="center"/>
      <protection locked="0"/>
    </xf>
    <xf numFmtId="0" fontId="152" fillId="0" borderId="0" xfId="0" applyFont="1" applyAlignment="1">
      <alignment horizontal="right" vertical="center"/>
      <protection locked="0"/>
    </xf>
    <xf numFmtId="0" fontId="89" fillId="0" borderId="0" xfId="0" applyFont="1" applyAlignment="1">
      <alignment horizontal="center" vertical="center"/>
      <protection locked="0"/>
    </xf>
    <xf numFmtId="0" fontId="61" fillId="0" borderId="68" xfId="199" applyFont="1" applyBorder="1" applyAlignment="1" applyProtection="1">
      <alignment horizontal="left" wrapText="1"/>
      <protection locked="0"/>
    </xf>
    <xf numFmtId="2" fontId="61" fillId="0" borderId="68" xfId="199" applyNumberFormat="1" applyFont="1" applyBorder="1" applyAlignment="1" applyProtection="1">
      <alignment horizontal="right"/>
      <protection locked="0"/>
    </xf>
    <xf numFmtId="4" fontId="61" fillId="0" borderId="68" xfId="199" applyNumberFormat="1" applyFont="1" applyBorder="1" applyAlignment="1" applyProtection="1">
      <alignment horizontal="right"/>
      <protection locked="0"/>
    </xf>
    <xf numFmtId="0" fontId="0" fillId="0" borderId="68" xfId="0" applyBorder="1" applyAlignment="1" applyProtection="1"/>
    <xf numFmtId="4" fontId="53" fillId="0" borderId="68" xfId="0" applyNumberFormat="1" applyFont="1" applyBorder="1" applyAlignment="1" applyProtection="1"/>
    <xf numFmtId="37" fontId="80" fillId="0" borderId="68" xfId="22" applyNumberFormat="1" applyFont="1" applyBorder="1" applyAlignment="1" applyProtection="1">
      <alignment horizontal="right"/>
      <protection locked="0"/>
    </xf>
    <xf numFmtId="49" fontId="80" fillId="0" borderId="68" xfId="22" applyNumberFormat="1" applyFont="1" applyBorder="1" applyAlignment="1" applyProtection="1">
      <alignment horizontal="left" wrapText="1"/>
      <protection locked="0"/>
    </xf>
    <xf numFmtId="0" fontId="80" fillId="0" borderId="68" xfId="22" applyFont="1" applyBorder="1" applyAlignment="1" applyProtection="1">
      <alignment horizontal="left" wrapText="1"/>
      <protection locked="0"/>
    </xf>
    <xf numFmtId="0" fontId="54" fillId="0" borderId="68" xfId="34" applyFont="1" applyBorder="1" applyAlignment="1" applyProtection="1">
      <alignment horizontal="left" vertical="center" wrapText="1"/>
      <protection locked="0"/>
    </xf>
    <xf numFmtId="0" fontId="54" fillId="0" borderId="68" xfId="22" applyFont="1" applyBorder="1" applyAlignment="1" applyProtection="1">
      <alignment horizontal="left" wrapText="1"/>
      <protection locked="0"/>
    </xf>
    <xf numFmtId="172" fontId="54" fillId="0" borderId="68" xfId="22" applyNumberFormat="1" applyFont="1" applyBorder="1" applyAlignment="1" applyProtection="1">
      <alignment horizontal="right"/>
      <protection locked="0"/>
    </xf>
    <xf numFmtId="4" fontId="9" fillId="0" borderId="68" xfId="22" applyNumberFormat="1" applyFont="1" applyBorder="1" applyAlignment="1" applyProtection="1">
      <alignment horizontal="right"/>
      <protection locked="0"/>
    </xf>
    <xf numFmtId="0" fontId="82" fillId="0" borderId="68" xfId="22" applyFont="1" applyBorder="1" applyAlignment="1" applyProtection="1">
      <alignment horizontal="right" vertical="center"/>
      <protection locked="0"/>
    </xf>
    <xf numFmtId="0" fontId="10" fillId="0" borderId="68" xfId="0" applyFont="1" applyBorder="1" applyAlignment="1" applyProtection="1"/>
    <xf numFmtId="172" fontId="10" fillId="0" borderId="68" xfId="0" applyNumberFormat="1" applyFont="1" applyBorder="1" applyAlignment="1" applyProtection="1"/>
    <xf numFmtId="0" fontId="42" fillId="0" borderId="0" xfId="122" applyFill="1" applyAlignment="1" applyProtection="1"/>
    <xf numFmtId="0" fontId="183" fillId="0" borderId="0" xfId="0" applyFont="1" applyAlignment="1">
      <alignment horizontal="left" vertical="center"/>
      <protection locked="0"/>
    </xf>
    <xf numFmtId="0" fontId="80" fillId="0" borderId="68" xfId="0" applyFont="1" applyBorder="1" applyAlignment="1">
      <alignment horizontal="left" wrapText="1"/>
      <protection locked="0"/>
    </xf>
    <xf numFmtId="2" fontId="80" fillId="0" borderId="68" xfId="0" applyNumberFormat="1" applyFont="1" applyBorder="1" applyAlignment="1">
      <alignment horizontal="right"/>
      <protection locked="0"/>
    </xf>
    <xf numFmtId="2" fontId="9" fillId="0" borderId="68" xfId="0" applyNumberFormat="1" applyFont="1" applyBorder="1" applyAlignment="1">
      <alignment horizontal="right"/>
      <protection locked="0"/>
    </xf>
    <xf numFmtId="4" fontId="90" fillId="0" borderId="0" xfId="198" applyNumberFormat="1" applyFont="1" applyAlignment="1" applyProtection="1">
      <alignment horizontal="right" vertical="center"/>
      <protection locked="0"/>
    </xf>
    <xf numFmtId="4" fontId="130" fillId="0" borderId="0" xfId="198" applyNumberFormat="1" applyFont="1" applyAlignment="1" applyProtection="1">
      <alignment horizontal="left" vertical="center"/>
      <protection locked="0"/>
    </xf>
    <xf numFmtId="172" fontId="9" fillId="0" borderId="68" xfId="198" applyNumberFormat="1" applyFont="1" applyBorder="1" applyAlignment="1" applyProtection="1">
      <alignment horizontal="right"/>
      <protection locked="0"/>
    </xf>
    <xf numFmtId="0" fontId="257" fillId="0" borderId="0" xfId="198" applyFont="1" applyAlignment="1" applyProtection="1">
      <alignment horizontal="left" vertical="center"/>
      <protection locked="0"/>
    </xf>
    <xf numFmtId="4" fontId="208" fillId="0" borderId="68" xfId="0" applyNumberFormat="1" applyFont="1" applyBorder="1" applyAlignment="1" applyProtection="1"/>
    <xf numFmtId="0" fontId="53" fillId="0" borderId="68" xfId="0" applyFont="1" applyBorder="1" applyAlignment="1" applyProtection="1">
      <alignment horizontal="left"/>
    </xf>
    <xf numFmtId="0" fontId="142" fillId="0" borderId="0" xfId="0" applyFont="1" applyAlignment="1">
      <alignment horizontal="left" vertical="center"/>
      <protection locked="0"/>
    </xf>
    <xf numFmtId="1" fontId="61" fillId="0" borderId="68" xfId="0" applyNumberFormat="1" applyFont="1" applyBorder="1" applyAlignment="1">
      <alignment horizontal="right"/>
      <protection locked="0"/>
    </xf>
    <xf numFmtId="172" fontId="9" fillId="0" borderId="68" xfId="67" applyNumberFormat="1" applyFont="1" applyBorder="1" applyAlignment="1" applyProtection="1">
      <alignment horizontal="right"/>
      <protection locked="0"/>
    </xf>
    <xf numFmtId="3" fontId="0" fillId="0" borderId="0" xfId="0" applyNumberFormat="1" applyAlignment="1">
      <alignment horizontal="left" vertical="top"/>
      <protection locked="0"/>
    </xf>
    <xf numFmtId="4" fontId="90" fillId="0" borderId="0" xfId="199" applyNumberFormat="1" applyFont="1" applyAlignment="1" applyProtection="1">
      <alignment horizontal="right" vertical="center"/>
      <protection locked="0"/>
    </xf>
    <xf numFmtId="4" fontId="130" fillId="0" borderId="0" xfId="199" applyNumberFormat="1" applyFont="1" applyAlignment="1" applyProtection="1">
      <alignment horizontal="left" vertical="center"/>
      <protection locked="0"/>
    </xf>
    <xf numFmtId="0" fontId="265" fillId="0" borderId="0" xfId="199" applyFont="1"/>
    <xf numFmtId="0" fontId="83" fillId="0" borderId="0" xfId="199" applyFont="1" applyAlignment="1" applyProtection="1">
      <alignment horizontal="left"/>
      <protection locked="0"/>
    </xf>
    <xf numFmtId="0" fontId="82" fillId="0" borderId="0" xfId="199" applyFont="1" applyAlignment="1" applyProtection="1">
      <alignment horizontal="left" vertical="center"/>
      <protection locked="0"/>
    </xf>
    <xf numFmtId="0" fontId="89" fillId="0" borderId="0" xfId="199" applyFont="1" applyAlignment="1" applyProtection="1">
      <alignment horizontal="left" vertical="top"/>
      <protection locked="0"/>
    </xf>
    <xf numFmtId="0" fontId="257" fillId="0" borderId="0" xfId="199" applyFont="1" applyAlignment="1" applyProtection="1">
      <alignment horizontal="left" vertical="center"/>
      <protection locked="0"/>
    </xf>
    <xf numFmtId="4" fontId="103" fillId="0" borderId="0" xfId="124" applyNumberFormat="1" applyFont="1" applyAlignment="1">
      <alignment horizontal="left" vertical="center"/>
      <protection locked="0"/>
    </xf>
    <xf numFmtId="4" fontId="42" fillId="0" borderId="0" xfId="122" applyNumberFormat="1" applyFill="1" applyAlignment="1" applyProtection="1">
      <alignment horizontal="left" vertical="top"/>
      <protection locked="0"/>
    </xf>
    <xf numFmtId="0" fontId="261" fillId="0" borderId="0" xfId="0" applyFont="1" applyAlignment="1" applyProtection="1">
      <alignment horizontal="left"/>
    </xf>
    <xf numFmtId="0" fontId="208" fillId="0" borderId="68" xfId="124" applyFont="1" applyBorder="1" applyAlignment="1" applyProtection="1">
      <alignment horizontal="right"/>
    </xf>
    <xf numFmtId="0" fontId="10" fillId="0" borderId="68" xfId="124" applyFont="1" applyBorder="1" applyAlignment="1" applyProtection="1"/>
    <xf numFmtId="4" fontId="9" fillId="0" borderId="68" xfId="124" applyNumberFormat="1" applyFont="1" applyBorder="1" applyAlignment="1">
      <alignment horizontal="right"/>
      <protection locked="0"/>
    </xf>
    <xf numFmtId="0" fontId="82" fillId="0" borderId="0" xfId="124" applyFont="1" applyAlignment="1">
      <alignment horizontal="left" vertical="center"/>
      <protection locked="0"/>
    </xf>
    <xf numFmtId="1" fontId="9" fillId="0" borderId="68" xfId="124" applyNumberFormat="1" applyFont="1" applyBorder="1" applyAlignment="1">
      <alignment horizontal="right"/>
      <protection locked="0"/>
    </xf>
    <xf numFmtId="0" fontId="27" fillId="0" borderId="68" xfId="124" applyBorder="1" applyAlignment="1" applyProtection="1"/>
    <xf numFmtId="0" fontId="54" fillId="0" borderId="68" xfId="124" applyFont="1" applyBorder="1" applyAlignment="1">
      <alignment horizontal="left" vertical="center" wrapText="1"/>
      <protection locked="0"/>
    </xf>
    <xf numFmtId="1" fontId="208" fillId="0" borderId="68" xfId="199" applyNumberFormat="1" applyFont="1" applyBorder="1" applyAlignment="1">
      <alignment horizontal="right"/>
    </xf>
    <xf numFmtId="37" fontId="54" fillId="0" borderId="68" xfId="25" applyNumberFormat="1" applyFont="1" applyBorder="1" applyAlignment="1">
      <alignment horizontal="right"/>
      <protection locked="0"/>
    </xf>
    <xf numFmtId="49" fontId="80" fillId="0" borderId="68" xfId="25" applyNumberFormat="1" applyFont="1" applyBorder="1" applyAlignment="1">
      <alignment horizontal="left" wrapText="1"/>
      <protection locked="0"/>
    </xf>
    <xf numFmtId="0" fontId="80" fillId="0" borderId="68" xfId="25" applyFont="1" applyBorder="1" applyAlignment="1">
      <alignment horizontal="left" wrapText="1"/>
      <protection locked="0"/>
    </xf>
    <xf numFmtId="172" fontId="114" fillId="0" borderId="68" xfId="25" applyNumberFormat="1" applyFont="1" applyBorder="1" applyAlignment="1">
      <alignment horizontal="right" wrapText="1"/>
      <protection locked="0"/>
    </xf>
    <xf numFmtId="4" fontId="80" fillId="0" borderId="68" xfId="25" applyNumberFormat="1" applyFont="1" applyBorder="1" applyAlignment="1">
      <alignment horizontal="right"/>
      <protection locked="0"/>
    </xf>
    <xf numFmtId="4" fontId="9" fillId="0" borderId="68" xfId="25" applyNumberFormat="1" applyFont="1" applyBorder="1" applyAlignment="1">
      <alignment horizontal="right"/>
      <protection locked="0"/>
    </xf>
    <xf numFmtId="0" fontId="12" fillId="0" borderId="68" xfId="25" applyBorder="1" applyAlignment="1">
      <alignment horizontal="left" vertical="top"/>
      <protection locked="0"/>
    </xf>
    <xf numFmtId="0" fontId="61" fillId="0" borderId="68" xfId="198" applyFont="1" applyBorder="1" applyAlignment="1" applyProtection="1">
      <alignment horizontal="left" wrapText="1"/>
      <protection locked="0"/>
    </xf>
    <xf numFmtId="172" fontId="9" fillId="0" borderId="68" xfId="124" applyNumberFormat="1" applyFont="1" applyBorder="1" applyAlignment="1">
      <alignment horizontal="right"/>
      <protection locked="0"/>
    </xf>
    <xf numFmtId="172" fontId="68" fillId="0" borderId="68" xfId="124" applyNumberFormat="1" applyFont="1" applyBorder="1" applyAlignment="1">
      <alignment horizontal="right" wrapText="1"/>
      <protection locked="0"/>
    </xf>
    <xf numFmtId="0" fontId="88" fillId="0" borderId="0" xfId="0" applyFont="1" applyAlignment="1" applyProtection="1">
      <alignment vertical="center"/>
    </xf>
    <xf numFmtId="37" fontId="80" fillId="0" borderId="68" xfId="0" applyNumberFormat="1" applyFont="1" applyBorder="1" applyAlignment="1">
      <alignment horizontal="right"/>
      <protection locked="0"/>
    </xf>
    <xf numFmtId="0" fontId="9" fillId="0" borderId="68" xfId="67" applyFont="1" applyBorder="1" applyAlignment="1" applyProtection="1">
      <alignment horizontal="left" wrapText="1"/>
      <protection locked="0"/>
    </xf>
    <xf numFmtId="4" fontId="68" fillId="0" borderId="68" xfId="67" applyNumberFormat="1" applyFont="1" applyBorder="1" applyAlignment="1" applyProtection="1">
      <alignment horizontal="right" wrapText="1"/>
      <protection locked="0"/>
    </xf>
    <xf numFmtId="4" fontId="9" fillId="0" borderId="68" xfId="67" applyNumberFormat="1" applyFont="1" applyBorder="1" applyAlignment="1" applyProtection="1">
      <alignment horizontal="right"/>
      <protection locked="0"/>
    </xf>
    <xf numFmtId="0" fontId="259" fillId="0" borderId="0" xfId="0" applyFont="1" applyAlignment="1" applyProtection="1">
      <alignment horizontal="left" vertical="center"/>
    </xf>
    <xf numFmtId="39" fontId="80" fillId="0" borderId="68" xfId="0" applyNumberFormat="1" applyFont="1" applyBorder="1" applyAlignment="1">
      <alignment horizontal="right"/>
      <protection locked="0"/>
    </xf>
    <xf numFmtId="0" fontId="259" fillId="0" borderId="0" xfId="0" applyFont="1" applyAlignment="1" applyProtection="1">
      <alignment horizontal="center" vertical="center"/>
    </xf>
    <xf numFmtId="0" fontId="10" fillId="0" borderId="68" xfId="124" applyFont="1" applyBorder="1" applyAlignment="1" applyProtection="1">
      <alignment wrapText="1"/>
    </xf>
    <xf numFmtId="0" fontId="77" fillId="0" borderId="0" xfId="124" applyFont="1" applyAlignment="1">
      <alignment horizontal="left" vertical="center"/>
      <protection locked="0"/>
    </xf>
    <xf numFmtId="0" fontId="71" fillId="0" borderId="0" xfId="124" applyFont="1" applyAlignment="1">
      <alignment horizontal="left" vertical="top"/>
      <protection locked="0"/>
    </xf>
    <xf numFmtId="0" fontId="71" fillId="0" borderId="0" xfId="124" applyFont="1" applyAlignment="1">
      <alignment horizontal="left" vertical="center"/>
      <protection locked="0"/>
    </xf>
    <xf numFmtId="172" fontId="89" fillId="0" borderId="68" xfId="124" applyNumberFormat="1" applyFont="1" applyBorder="1" applyAlignment="1">
      <alignment horizontal="left" vertical="top"/>
      <protection locked="0"/>
    </xf>
    <xf numFmtId="0" fontId="253" fillId="0" borderId="0" xfId="124" applyFont="1" applyAlignment="1">
      <alignment horizontal="left" vertical="center"/>
      <protection locked="0"/>
    </xf>
    <xf numFmtId="2" fontId="227" fillId="0" borderId="0" xfId="25" applyNumberFormat="1" applyFont="1" applyAlignment="1">
      <alignment vertical="center"/>
      <protection locked="0"/>
    </xf>
    <xf numFmtId="0" fontId="257" fillId="0" borderId="0" xfId="25" applyFont="1" applyAlignment="1">
      <alignment horizontal="left" vertical="center"/>
      <protection locked="0"/>
    </xf>
    <xf numFmtId="1" fontId="208" fillId="0" borderId="68" xfId="198" applyNumberFormat="1" applyFont="1" applyBorder="1" applyAlignment="1">
      <alignment horizontal="right"/>
    </xf>
    <xf numFmtId="0" fontId="0" fillId="0" borderId="0" xfId="0" applyAlignment="1" applyProtection="1">
      <alignment horizontal="left" vertical="top"/>
    </xf>
    <xf numFmtId="0" fontId="58" fillId="5" borderId="0" xfId="200" applyFont="1" applyFill="1" applyAlignment="1">
      <alignment horizontal="left"/>
    </xf>
    <xf numFmtId="0" fontId="77" fillId="0" borderId="0" xfId="25" applyFont="1" applyAlignment="1" applyProtection="1">
      <alignment vertical="center"/>
    </xf>
    <xf numFmtId="0" fontId="1" fillId="0" borderId="0" xfId="200"/>
    <xf numFmtId="0" fontId="61" fillId="0" borderId="0" xfId="200" applyFont="1" applyAlignment="1">
      <alignment horizontal="left"/>
    </xf>
    <xf numFmtId="0" fontId="9" fillId="0" borderId="0" xfId="200" applyFont="1" applyAlignment="1">
      <alignment horizontal="left"/>
    </xf>
    <xf numFmtId="0" fontId="59" fillId="0" borderId="0" xfId="200" applyFont="1" applyAlignment="1">
      <alignment horizontal="left"/>
    </xf>
    <xf numFmtId="0" fontId="1" fillId="0" borderId="0" xfId="200" applyAlignment="1" applyProtection="1">
      <alignment horizontal="left" vertical="top"/>
      <protection locked="0"/>
    </xf>
    <xf numFmtId="37" fontId="61" fillId="0" borderId="68" xfId="0" applyNumberFormat="1" applyFont="1" applyBorder="1" applyAlignment="1">
      <alignment horizontal="right"/>
      <protection locked="0"/>
    </xf>
    <xf numFmtId="2" fontId="61" fillId="0" borderId="68" xfId="0" applyNumberFormat="1" applyFont="1" applyBorder="1" applyAlignment="1">
      <alignment horizontal="right"/>
      <protection locked="0"/>
    </xf>
    <xf numFmtId="173" fontId="61" fillId="0" borderId="68" xfId="0" applyNumberFormat="1" applyFont="1" applyBorder="1" applyAlignment="1">
      <alignment horizontal="right"/>
      <protection locked="0"/>
    </xf>
    <xf numFmtId="0" fontId="208" fillId="0" borderId="68" xfId="192" applyFont="1" applyBorder="1" applyAlignment="1" applyProtection="1"/>
    <xf numFmtId="0" fontId="67" fillId="0" borderId="0" xfId="192" applyFont="1" applyAlignment="1">
      <alignment horizontal="left" vertical="center"/>
      <protection locked="0"/>
    </xf>
    <xf numFmtId="0" fontId="27" fillId="0" borderId="0" xfId="192" applyAlignment="1">
      <alignment horizontal="left" vertical="center"/>
      <protection locked="0"/>
    </xf>
    <xf numFmtId="0" fontId="27" fillId="0" borderId="0" xfId="192" applyAlignment="1">
      <alignment horizontal="left" vertical="top"/>
      <protection locked="0"/>
    </xf>
    <xf numFmtId="0" fontId="266" fillId="0" borderId="0" xfId="192" applyFont="1" applyAlignment="1">
      <alignment horizontal="center" vertical="center"/>
      <protection locked="0"/>
    </xf>
    <xf numFmtId="2" fontId="266" fillId="0" borderId="0" xfId="192" applyNumberFormat="1" applyFont="1" applyAlignment="1">
      <alignment horizontal="center" vertical="center"/>
      <protection locked="0"/>
    </xf>
    <xf numFmtId="0" fontId="71" fillId="0" borderId="0" xfId="192" applyFont="1" applyAlignment="1">
      <alignment horizontal="right" vertical="center"/>
      <protection locked="0"/>
    </xf>
    <xf numFmtId="0" fontId="215" fillId="0" borderId="68" xfId="192" applyFont="1" applyBorder="1" applyAlignment="1" applyProtection="1"/>
    <xf numFmtId="172" fontId="208" fillId="0" borderId="68" xfId="192" applyNumberFormat="1" applyFont="1" applyBorder="1" applyAlignment="1" applyProtection="1"/>
    <xf numFmtId="0" fontId="67" fillId="0" borderId="0" xfId="192" applyFont="1" applyAlignment="1">
      <alignment horizontal="left" vertical="top"/>
      <protection locked="0"/>
    </xf>
    <xf numFmtId="172" fontId="54" fillId="0" borderId="68" xfId="192" applyNumberFormat="1" applyFont="1" applyBorder="1" applyAlignment="1">
      <alignment horizontal="right"/>
      <protection locked="0"/>
    </xf>
    <xf numFmtId="0" fontId="77" fillId="0" borderId="0" xfId="192" applyFont="1" applyAlignment="1">
      <alignment horizontal="left" vertical="center"/>
      <protection locked="0"/>
    </xf>
    <xf numFmtId="49" fontId="9" fillId="0" borderId="68" xfId="0" applyNumberFormat="1" applyFont="1" applyBorder="1" applyAlignment="1">
      <alignment horizontal="right"/>
      <protection locked="0"/>
    </xf>
    <xf numFmtId="49" fontId="10" fillId="0" borderId="68" xfId="176" applyNumberFormat="1" applyFont="1" applyBorder="1"/>
    <xf numFmtId="0" fontId="67" fillId="0" borderId="0" xfId="36" applyFont="1" applyAlignment="1" applyProtection="1">
      <alignment horizontal="right" vertical="center"/>
      <protection locked="0"/>
    </xf>
    <xf numFmtId="0" fontId="27" fillId="0" borderId="0" xfId="123" applyAlignment="1">
      <alignment horizontal="left" vertical="top"/>
      <protection locked="0"/>
    </xf>
    <xf numFmtId="0" fontId="71" fillId="0" borderId="0" xfId="36" applyFont="1" applyAlignment="1" applyProtection="1">
      <alignment horizontal="right" vertical="center"/>
      <protection locked="0"/>
    </xf>
    <xf numFmtId="0" fontId="89" fillId="0" borderId="0" xfId="123" applyFont="1" applyAlignment="1">
      <alignment horizontal="left" vertical="top"/>
      <protection locked="0"/>
    </xf>
    <xf numFmtId="0" fontId="12" fillId="0" borderId="0" xfId="123" applyFont="1" applyAlignment="1">
      <alignment horizontal="left" vertical="top"/>
      <protection locked="0"/>
    </xf>
    <xf numFmtId="0" fontId="71" fillId="0" borderId="0" xfId="36" applyFont="1" applyAlignment="1" applyProtection="1">
      <alignment horizontal="left" vertical="center"/>
      <protection locked="0"/>
    </xf>
    <xf numFmtId="0" fontId="89" fillId="0" borderId="68" xfId="0" applyFont="1" applyBorder="1" applyAlignment="1">
      <alignment horizontal="left" vertical="top"/>
      <protection locked="0"/>
    </xf>
    <xf numFmtId="0" fontId="184" fillId="0" borderId="0" xfId="0" applyFont="1" applyAlignment="1">
      <alignment horizontal="right" vertical="center"/>
      <protection locked="0"/>
    </xf>
    <xf numFmtId="0" fontId="42" fillId="0" borderId="0" xfId="122" applyFill="1" applyAlignment="1" applyProtection="1">
      <alignment horizontal="left" vertical="center"/>
      <protection locked="0"/>
    </xf>
    <xf numFmtId="0" fontId="42" fillId="0" borderId="0" xfId="122" applyFill="1" applyAlignment="1" applyProtection="1">
      <alignment horizontal="left" vertical="top"/>
      <protection locked="0"/>
    </xf>
    <xf numFmtId="49" fontId="9" fillId="0" borderId="68" xfId="178" applyNumberFormat="1" applyFont="1" applyBorder="1" applyAlignment="1">
      <alignment horizontal="right"/>
      <protection locked="0"/>
    </xf>
    <xf numFmtId="172" fontId="97" fillId="0" borderId="68" xfId="0" applyNumberFormat="1" applyFont="1" applyBorder="1" applyAlignment="1">
      <alignment horizontal="left" wrapText="1"/>
      <protection locked="0"/>
    </xf>
    <xf numFmtId="0" fontId="166" fillId="0" borderId="0" xfId="0" applyFont="1" applyAlignment="1">
      <alignment horizontal="left" vertical="center"/>
      <protection locked="0"/>
    </xf>
    <xf numFmtId="0" fontId="9" fillId="0" borderId="68" xfId="123" applyFont="1" applyBorder="1" applyAlignment="1" applyProtection="1">
      <alignment horizontal="left" wrapText="1"/>
    </xf>
    <xf numFmtId="0" fontId="9" fillId="0" borderId="68" xfId="123" applyFont="1" applyBorder="1" applyAlignment="1">
      <alignment horizontal="left" wrapText="1"/>
      <protection locked="0"/>
    </xf>
    <xf numFmtId="172" fontId="9" fillId="0" borderId="68" xfId="123" applyNumberFormat="1" applyFont="1" applyBorder="1" applyAlignment="1">
      <alignment horizontal="right"/>
      <protection locked="0"/>
    </xf>
    <xf numFmtId="4" fontId="9" fillId="0" borderId="68" xfId="123" applyNumberFormat="1" applyFont="1" applyBorder="1" applyAlignment="1">
      <alignment horizontal="right"/>
      <protection locked="0"/>
    </xf>
    <xf numFmtId="172" fontId="54" fillId="0" borderId="0" xfId="0" applyNumberFormat="1" applyFont="1" applyAlignment="1">
      <alignment horizontal="left" vertical="top"/>
      <protection locked="0"/>
    </xf>
    <xf numFmtId="0" fontId="54" fillId="0" borderId="68" xfId="123" applyFont="1" applyBorder="1" applyAlignment="1">
      <alignment horizontal="left" wrapText="1"/>
      <protection locked="0"/>
    </xf>
    <xf numFmtId="172" fontId="54" fillId="0" borderId="68" xfId="123" applyNumberFormat="1" applyFont="1" applyBorder="1" applyAlignment="1">
      <alignment horizontal="right"/>
      <protection locked="0"/>
    </xf>
    <xf numFmtId="0" fontId="54" fillId="0" borderId="0" xfId="0" applyFont="1" applyAlignment="1">
      <alignment horizontal="left" vertical="center"/>
      <protection locked="0"/>
    </xf>
    <xf numFmtId="0" fontId="215" fillId="0" borderId="68" xfId="192" applyFont="1" applyBorder="1" applyAlignment="1" applyProtection="1">
      <alignment vertical="center" wrapText="1"/>
    </xf>
    <xf numFmtId="173" fontId="9" fillId="0" borderId="69" xfId="0" applyNumberFormat="1" applyFont="1" applyBorder="1" applyAlignment="1">
      <alignment horizontal="right"/>
      <protection locked="0"/>
    </xf>
    <xf numFmtId="39" fontId="9" fillId="0" borderId="64" xfId="0" applyNumberFormat="1" applyFont="1" applyBorder="1" applyAlignment="1">
      <alignment horizontal="right"/>
      <protection locked="0"/>
    </xf>
    <xf numFmtId="0" fontId="0" fillId="0" borderId="64" xfId="0" applyBorder="1" applyAlignment="1">
      <alignment horizontal="left" vertical="top"/>
      <protection locked="0"/>
    </xf>
    <xf numFmtId="49" fontId="9" fillId="0" borderId="64" xfId="0" applyNumberFormat="1" applyFont="1" applyBorder="1" applyAlignment="1">
      <alignment horizontal="right"/>
      <protection locked="0"/>
    </xf>
    <xf numFmtId="0" fontId="9" fillId="0" borderId="64" xfId="0" applyFont="1" applyBorder="1" applyAlignment="1">
      <alignment horizontal="left" wrapText="1"/>
      <protection locked="0"/>
    </xf>
    <xf numFmtId="172" fontId="9" fillId="0" borderId="64" xfId="0" applyNumberFormat="1" applyFont="1" applyBorder="1" applyAlignment="1">
      <alignment horizontal="right"/>
      <protection locked="0"/>
    </xf>
    <xf numFmtId="4" fontId="9" fillId="0" borderId="64" xfId="0" applyNumberFormat="1" applyFont="1" applyBorder="1" applyAlignment="1">
      <alignment horizontal="right"/>
      <protection locked="0"/>
    </xf>
    <xf numFmtId="4" fontId="9" fillId="0" borderId="65" xfId="129" applyNumberFormat="1" applyFont="1" applyBorder="1" applyAlignment="1" applyProtection="1">
      <alignment horizontal="right"/>
      <protection locked="0"/>
    </xf>
    <xf numFmtId="39" fontId="9" fillId="0" borderId="64" xfId="0" applyNumberFormat="1" applyFont="1" applyBorder="1" applyAlignment="1">
      <alignment horizontal="center"/>
      <protection locked="0"/>
    </xf>
    <xf numFmtId="172" fontId="9" fillId="0" borderId="64" xfId="190" applyNumberFormat="1" applyFont="1" applyBorder="1" applyAlignment="1" applyProtection="1">
      <alignment horizontal="right"/>
      <protection locked="0"/>
    </xf>
    <xf numFmtId="0" fontId="54" fillId="0" borderId="64" xfId="0" applyFont="1" applyBorder="1" applyAlignment="1">
      <alignment horizontal="left" wrapText="1"/>
      <protection locked="0"/>
    </xf>
    <xf numFmtId="172" fontId="54" fillId="0" borderId="64" xfId="0" applyNumberFormat="1" applyFont="1" applyBorder="1" applyAlignment="1">
      <alignment horizontal="right"/>
      <protection locked="0"/>
    </xf>
    <xf numFmtId="49" fontId="9" fillId="0" borderId="64" xfId="178" applyNumberFormat="1" applyFont="1" applyBorder="1" applyAlignment="1">
      <alignment horizontal="right"/>
      <protection locked="0"/>
    </xf>
    <xf numFmtId="0" fontId="61" fillId="0" borderId="64" xfId="0" applyFont="1" applyBorder="1" applyAlignment="1">
      <alignment horizontal="left" wrapText="1"/>
      <protection locked="0"/>
    </xf>
    <xf numFmtId="172" fontId="61" fillId="0" borderId="64" xfId="0" applyNumberFormat="1" applyFont="1" applyBorder="1" applyAlignment="1">
      <alignment horizontal="right"/>
      <protection locked="0"/>
    </xf>
    <xf numFmtId="37" fontId="9" fillId="0" borderId="64" xfId="0" applyNumberFormat="1" applyFont="1" applyBorder="1" applyAlignment="1">
      <alignment horizontal="right"/>
      <protection locked="0"/>
    </xf>
    <xf numFmtId="39" fontId="9" fillId="0" borderId="64" xfId="192" applyNumberFormat="1" applyFont="1" applyBorder="1" applyAlignment="1">
      <alignment horizontal="center"/>
      <protection locked="0"/>
    </xf>
    <xf numFmtId="39" fontId="0" fillId="0" borderId="0" xfId="0" applyNumberFormat="1" applyAlignment="1">
      <alignment horizontal="left" vertical="top"/>
      <protection locked="0"/>
    </xf>
    <xf numFmtId="0" fontId="173" fillId="0" borderId="0" xfId="0" applyFont="1" applyAlignment="1">
      <alignment horizontal="left" vertical="center"/>
      <protection locked="0"/>
    </xf>
    <xf numFmtId="0" fontId="9" fillId="0" borderId="64" xfId="192" applyFont="1" applyBorder="1" applyAlignment="1">
      <alignment horizontal="left" wrapText="1"/>
      <protection locked="0"/>
    </xf>
    <xf numFmtId="172" fontId="208" fillId="0" borderId="64" xfId="0" applyNumberFormat="1" applyFont="1" applyBorder="1" applyAlignment="1" applyProtection="1"/>
    <xf numFmtId="0" fontId="267" fillId="0" borderId="0" xfId="36" applyFont="1" applyAlignment="1" applyProtection="1">
      <alignment horizontal="right" vertical="center"/>
      <protection locked="0"/>
    </xf>
    <xf numFmtId="0" fontId="71" fillId="0" borderId="0" xfId="123" applyFont="1" applyAlignment="1">
      <alignment horizontal="left" vertical="top"/>
      <protection locked="0"/>
    </xf>
    <xf numFmtId="0" fontId="268" fillId="0" borderId="0" xfId="36" applyFont="1" applyAlignment="1" applyProtection="1">
      <alignment horizontal="right" vertical="center"/>
      <protection locked="0"/>
    </xf>
    <xf numFmtId="172" fontId="12" fillId="0" borderId="0" xfId="0" applyNumberFormat="1" applyFont="1" applyAlignment="1">
      <alignment horizontal="left" vertical="top"/>
      <protection locked="0"/>
    </xf>
    <xf numFmtId="0" fontId="137" fillId="0" borderId="64" xfId="0" applyFont="1" applyBorder="1" applyAlignment="1">
      <alignment horizontal="left" wrapText="1"/>
      <protection locked="0"/>
    </xf>
    <xf numFmtId="0" fontId="9" fillId="0" borderId="64" xfId="123" applyFont="1" applyBorder="1" applyAlignment="1" applyProtection="1">
      <alignment horizontal="left" wrapText="1"/>
    </xf>
    <xf numFmtId="1" fontId="9" fillId="0" borderId="64" xfId="192" applyNumberFormat="1" applyFont="1" applyBorder="1" applyAlignment="1">
      <alignment horizontal="right"/>
      <protection locked="0"/>
    </xf>
    <xf numFmtId="0" fontId="10" fillId="0" borderId="64" xfId="192" applyFont="1" applyBorder="1" applyAlignment="1" applyProtection="1"/>
    <xf numFmtId="0" fontId="27" fillId="0" borderId="0" xfId="192" applyAlignment="1" applyProtection="1"/>
    <xf numFmtId="0" fontId="67" fillId="0" borderId="0" xfId="192" applyFont="1" applyAlignment="1" applyProtection="1"/>
    <xf numFmtId="1" fontId="9" fillId="0" borderId="34" xfId="192" applyNumberFormat="1" applyFont="1" applyBorder="1" applyAlignment="1">
      <alignment horizontal="right"/>
      <protection locked="0"/>
    </xf>
    <xf numFmtId="0" fontId="9" fillId="0" borderId="34" xfId="192" applyFont="1" applyBorder="1" applyAlignment="1">
      <alignment horizontal="left" wrapText="1"/>
      <protection locked="0"/>
    </xf>
    <xf numFmtId="0" fontId="54" fillId="0" borderId="34" xfId="123" applyFont="1" applyBorder="1" applyAlignment="1">
      <alignment horizontal="left" wrapText="1"/>
      <protection locked="0"/>
    </xf>
    <xf numFmtId="172" fontId="54" fillId="0" borderId="34" xfId="123" applyNumberFormat="1" applyFont="1" applyBorder="1" applyAlignment="1">
      <alignment horizontal="right"/>
      <protection locked="0"/>
    </xf>
    <xf numFmtId="4" fontId="9" fillId="0" borderId="34" xfId="201" applyNumberFormat="1" applyFont="1" applyBorder="1" applyAlignment="1" applyProtection="1">
      <alignment horizontal="right"/>
      <protection locked="0"/>
    </xf>
    <xf numFmtId="39" fontId="9" fillId="0" borderId="34" xfId="201" applyNumberFormat="1" applyFont="1" applyBorder="1" applyAlignment="1" applyProtection="1">
      <alignment horizontal="right"/>
      <protection locked="0"/>
    </xf>
    <xf numFmtId="39" fontId="9" fillId="0" borderId="34" xfId="192" applyNumberFormat="1" applyFont="1" applyBorder="1" applyAlignment="1">
      <alignment horizontal="center"/>
      <protection locked="0"/>
    </xf>
    <xf numFmtId="0" fontId="36" fillId="0" borderId="0" xfId="3" applyFont="1"/>
    <xf numFmtId="37" fontId="9" fillId="0" borderId="18" xfId="123" applyNumberFormat="1" applyFont="1" applyBorder="1" applyAlignment="1">
      <alignment horizontal="right"/>
      <protection locked="0"/>
    </xf>
    <xf numFmtId="0" fontId="9" fillId="0" borderId="18" xfId="123" applyFont="1" applyBorder="1" applyAlignment="1">
      <alignment horizontal="left" wrapText="1"/>
      <protection locked="0"/>
    </xf>
    <xf numFmtId="0" fontId="54" fillId="0" borderId="18" xfId="123" applyFont="1" applyBorder="1" applyAlignment="1">
      <alignment horizontal="left" wrapText="1"/>
      <protection locked="0"/>
    </xf>
    <xf numFmtId="172" fontId="54" fillId="0" borderId="18" xfId="123" applyNumberFormat="1" applyFont="1" applyBorder="1" applyAlignment="1">
      <alignment horizontal="right"/>
      <protection locked="0"/>
    </xf>
    <xf numFmtId="4" fontId="9" fillId="0" borderId="18" xfId="123" applyNumberFormat="1" applyFont="1" applyBorder="1" applyAlignment="1">
      <alignment horizontal="right"/>
      <protection locked="0"/>
    </xf>
    <xf numFmtId="172" fontId="9" fillId="0" borderId="18" xfId="192" applyNumberFormat="1" applyFont="1" applyBorder="1" applyAlignment="1">
      <alignment horizontal="right" wrapText="1"/>
      <protection locked="0"/>
    </xf>
    <xf numFmtId="49" fontId="9" fillId="0" borderId="18" xfId="178" applyNumberFormat="1" applyFont="1" applyBorder="1" applyAlignment="1">
      <alignment horizontal="right"/>
      <protection locked="0"/>
    </xf>
    <xf numFmtId="172" fontId="208" fillId="0" borderId="18" xfId="0" applyNumberFormat="1" applyFont="1" applyBorder="1" applyAlignment="1" applyProtection="1"/>
    <xf numFmtId="0" fontId="67" fillId="0" borderId="0" xfId="123" applyFont="1" applyAlignment="1">
      <alignment horizontal="left" vertical="center"/>
      <protection locked="0"/>
    </xf>
    <xf numFmtId="0" fontId="89" fillId="0" borderId="0" xfId="45" applyFont="1" applyAlignment="1">
      <alignment horizontal="left" vertical="top"/>
      <protection locked="0"/>
    </xf>
    <xf numFmtId="1" fontId="9" fillId="0" borderId="69" xfId="178" applyNumberFormat="1" applyFont="1" applyBorder="1" applyAlignment="1">
      <alignment horizontal="right"/>
      <protection locked="0"/>
    </xf>
    <xf numFmtId="0" fontId="12" fillId="0" borderId="0" xfId="0" applyFont="1" applyAlignment="1">
      <alignment horizontal="left" vertical="center"/>
      <protection locked="0"/>
    </xf>
    <xf numFmtId="0" fontId="54" fillId="0" borderId="69" xfId="0" applyFont="1" applyBorder="1" applyAlignment="1">
      <alignment horizontal="left" wrapText="1"/>
      <protection locked="0"/>
    </xf>
    <xf numFmtId="2" fontId="54" fillId="0" borderId="18" xfId="0" applyNumberFormat="1" applyFont="1" applyBorder="1" applyAlignment="1">
      <alignment horizontal="right" wrapText="1"/>
      <protection locked="0"/>
    </xf>
    <xf numFmtId="0" fontId="269" fillId="0" borderId="0" xfId="0" applyFont="1" applyAlignment="1">
      <alignment horizontal="left" vertical="center"/>
      <protection locked="0"/>
    </xf>
    <xf numFmtId="0" fontId="270" fillId="0" borderId="0" xfId="45" applyFont="1" applyAlignment="1">
      <alignment horizontal="left" vertical="top"/>
      <protection locked="0"/>
    </xf>
    <xf numFmtId="0" fontId="131" fillId="0" borderId="0" xfId="45" applyFont="1" applyAlignment="1">
      <alignment horizontal="left" vertical="top"/>
      <protection locked="0"/>
    </xf>
    <xf numFmtId="0" fontId="271" fillId="0" borderId="0" xfId="45" applyFont="1" applyAlignment="1">
      <alignment horizontal="left" vertical="top"/>
      <protection locked="0"/>
    </xf>
    <xf numFmtId="0" fontId="272" fillId="0" borderId="0" xfId="45" applyFont="1" applyAlignment="1">
      <alignment horizontal="left" vertical="top"/>
      <protection locked="0"/>
    </xf>
    <xf numFmtId="172" fontId="9" fillId="0" borderId="18" xfId="192" applyNumberFormat="1" applyFont="1" applyBorder="1" applyAlignment="1">
      <alignment horizontal="right"/>
      <protection locked="0"/>
    </xf>
    <xf numFmtId="172" fontId="89" fillId="0" borderId="0" xfId="192" applyNumberFormat="1" applyFont="1" applyAlignment="1">
      <alignment horizontal="left" vertical="top"/>
      <protection locked="0"/>
    </xf>
    <xf numFmtId="172" fontId="89" fillId="0" borderId="18" xfId="155" applyNumberFormat="1" applyFont="1" applyBorder="1" applyAlignment="1">
      <alignment horizontal="left" vertical="top"/>
      <protection locked="0"/>
    </xf>
    <xf numFmtId="49" fontId="54" fillId="0" borderId="18" xfId="25" applyNumberFormat="1" applyFont="1" applyBorder="1" applyAlignment="1">
      <alignment horizontal="right"/>
      <protection locked="0"/>
    </xf>
    <xf numFmtId="0" fontId="54" fillId="0" borderId="18" xfId="44" applyFont="1" applyBorder="1" applyAlignment="1">
      <alignment horizontal="left" vertical="center" wrapText="1"/>
      <protection locked="0"/>
    </xf>
    <xf numFmtId="49" fontId="80" fillId="0" borderId="18" xfId="0" applyNumberFormat="1" applyFont="1" applyBorder="1" applyAlignment="1">
      <alignment horizontal="right"/>
      <protection locked="0"/>
    </xf>
    <xf numFmtId="4" fontId="80" fillId="0" borderId="18" xfId="0" applyNumberFormat="1" applyFont="1" applyBorder="1" applyAlignment="1">
      <alignment horizontal="right"/>
      <protection locked="0"/>
    </xf>
    <xf numFmtId="1" fontId="208" fillId="0" borderId="18" xfId="199" applyNumberFormat="1" applyFont="1" applyBorder="1" applyAlignment="1">
      <alignment horizontal="right"/>
    </xf>
    <xf numFmtId="0" fontId="10" fillId="0" borderId="18" xfId="199" applyFont="1" applyBorder="1" applyAlignment="1">
      <alignment horizontal="left"/>
    </xf>
    <xf numFmtId="0" fontId="10" fillId="0" borderId="18" xfId="199" applyFont="1" applyBorder="1"/>
    <xf numFmtId="172" fontId="10" fillId="0" borderId="18" xfId="199" applyNumberFormat="1" applyFont="1" applyBorder="1"/>
    <xf numFmtId="4" fontId="9" fillId="0" borderId="18" xfId="199" applyNumberFormat="1" applyFont="1" applyBorder="1" applyAlignment="1" applyProtection="1">
      <alignment horizontal="right"/>
      <protection locked="0"/>
    </xf>
    <xf numFmtId="39" fontId="9" fillId="0" borderId="18" xfId="199" applyNumberFormat="1" applyFont="1" applyBorder="1" applyAlignment="1" applyProtection="1">
      <alignment horizontal="center"/>
      <protection locked="0"/>
    </xf>
    <xf numFmtId="0" fontId="1" fillId="0" borderId="0" xfId="202" applyAlignment="1" applyProtection="1">
      <alignment vertical="top"/>
      <protection locked="0"/>
    </xf>
    <xf numFmtId="0" fontId="169" fillId="0" borderId="0" xfId="202" applyFont="1" applyAlignment="1" applyProtection="1">
      <alignment horizontal="left" vertical="top"/>
      <protection locked="0"/>
    </xf>
    <xf numFmtId="0" fontId="1" fillId="0" borderId="0" xfId="202"/>
    <xf numFmtId="0" fontId="1" fillId="0" borderId="0" xfId="0" applyFont="1" applyAlignment="1" applyProtection="1"/>
    <xf numFmtId="37" fontId="61" fillId="0" borderId="69" xfId="0" applyNumberFormat="1" applyFont="1" applyBorder="1" applyAlignment="1">
      <alignment horizontal="right"/>
      <protection locked="0"/>
    </xf>
    <xf numFmtId="0" fontId="61" fillId="0" borderId="69" xfId="0" applyFont="1" applyBorder="1" applyAlignment="1">
      <alignment horizontal="left" wrapText="1"/>
      <protection locked="0"/>
    </xf>
    <xf numFmtId="2" fontId="61" fillId="0" borderId="69" xfId="0" applyNumberFormat="1" applyFont="1" applyBorder="1" applyAlignment="1">
      <alignment horizontal="right"/>
      <protection locked="0"/>
    </xf>
    <xf numFmtId="39" fontId="61" fillId="0" borderId="69" xfId="0" applyNumberFormat="1" applyFont="1" applyBorder="1" applyAlignment="1">
      <alignment horizontal="right"/>
      <protection locked="0"/>
    </xf>
    <xf numFmtId="0" fontId="0" fillId="0" borderId="69" xfId="0" applyBorder="1" applyAlignment="1">
      <alignment vertical="top"/>
      <protection locked="0"/>
    </xf>
    <xf numFmtId="37" fontId="9" fillId="0" borderId="69" xfId="0" applyNumberFormat="1" applyFont="1" applyBorder="1" applyAlignment="1">
      <alignment horizontal="right"/>
      <protection locked="0"/>
    </xf>
    <xf numFmtId="0" fontId="9" fillId="0" borderId="69" xfId="0" applyFont="1" applyBorder="1" applyAlignment="1">
      <alignment horizontal="left" wrapText="1"/>
      <protection locked="0"/>
    </xf>
    <xf numFmtId="4" fontId="9" fillId="0" borderId="69" xfId="0" applyNumberFormat="1" applyFont="1" applyBorder="1" applyAlignment="1">
      <alignment horizontal="right"/>
      <protection locked="0"/>
    </xf>
    <xf numFmtId="39" fontId="9" fillId="0" borderId="69" xfId="0" applyNumberFormat="1" applyFont="1" applyBorder="1" applyAlignment="1">
      <alignment horizontal="right"/>
      <protection locked="0"/>
    </xf>
    <xf numFmtId="39" fontId="9" fillId="0" borderId="69" xfId="0" applyNumberFormat="1" applyFont="1" applyBorder="1" applyAlignment="1">
      <alignment horizontal="center"/>
      <protection locked="0"/>
    </xf>
    <xf numFmtId="172" fontId="54" fillId="0" borderId="69" xfId="0" applyNumberFormat="1" applyFont="1" applyBorder="1" applyAlignment="1">
      <alignment horizontal="right"/>
      <protection locked="0"/>
    </xf>
    <xf numFmtId="0" fontId="54" fillId="0" borderId="69" xfId="0" applyFont="1" applyBorder="1" applyAlignment="1">
      <alignment horizontal="left" vertical="center" wrapText="1"/>
      <protection locked="0"/>
    </xf>
    <xf numFmtId="172" fontId="12" fillId="0" borderId="69" xfId="0" applyNumberFormat="1" applyFont="1" applyBorder="1" applyAlignment="1">
      <alignment horizontal="left" vertical="top"/>
      <protection locked="0"/>
    </xf>
    <xf numFmtId="0" fontId="230" fillId="0" borderId="70" xfId="0" applyFont="1" applyBorder="1" applyAlignment="1">
      <alignment vertical="top"/>
      <protection locked="0"/>
    </xf>
    <xf numFmtId="4" fontId="9" fillId="0" borderId="69" xfId="129" applyNumberFormat="1" applyFont="1" applyBorder="1" applyAlignment="1" applyProtection="1">
      <alignment horizontal="right"/>
      <protection locked="0"/>
    </xf>
    <xf numFmtId="0" fontId="132" fillId="0" borderId="0" xfId="0" applyFont="1" applyAlignment="1">
      <alignment horizontal="right" vertical="center"/>
      <protection locked="0"/>
    </xf>
    <xf numFmtId="0" fontId="71" fillId="0" borderId="0" xfId="0" applyFont="1" applyAlignment="1">
      <alignment horizontal="right" vertical="top"/>
      <protection locked="0"/>
    </xf>
    <xf numFmtId="2" fontId="54" fillId="0" borderId="18" xfId="0" applyNumberFormat="1" applyFont="1" applyBorder="1" applyAlignment="1">
      <alignment horizontal="right"/>
      <protection locked="0"/>
    </xf>
    <xf numFmtId="0" fontId="61" fillId="0" borderId="0" xfId="0" applyFont="1" applyAlignment="1">
      <alignment horizontal="left" vertical="top"/>
      <protection locked="0"/>
    </xf>
    <xf numFmtId="0" fontId="9" fillId="0" borderId="0" xfId="0" applyFont="1" applyAlignment="1">
      <alignment horizontal="right" vertical="top"/>
      <protection locked="0"/>
    </xf>
    <xf numFmtId="39" fontId="81" fillId="0" borderId="18" xfId="0" applyNumberFormat="1" applyFont="1" applyBorder="1" applyAlignment="1">
      <alignment horizontal="right"/>
      <protection locked="0"/>
    </xf>
    <xf numFmtId="172" fontId="9" fillId="0" borderId="69" xfId="0" applyNumberFormat="1" applyFont="1" applyBorder="1" applyAlignment="1">
      <alignment horizontal="right"/>
      <protection locked="0"/>
    </xf>
    <xf numFmtId="49" fontId="9" fillId="0" borderId="69" xfId="0" applyNumberFormat="1" applyFont="1" applyBorder="1" applyAlignment="1">
      <alignment horizontal="left" wrapText="1"/>
      <protection locked="0"/>
    </xf>
    <xf numFmtId="0" fontId="54" fillId="0" borderId="69" xfId="13" applyFont="1" applyBorder="1" applyAlignment="1">
      <alignment horizontal="left" wrapText="1"/>
      <protection locked="0"/>
    </xf>
    <xf numFmtId="172" fontId="61" fillId="0" borderId="69" xfId="0" applyNumberFormat="1" applyFont="1" applyBorder="1" applyAlignment="1">
      <alignment horizontal="right"/>
      <protection locked="0"/>
    </xf>
    <xf numFmtId="1" fontId="9" fillId="0" borderId="69" xfId="44" applyNumberFormat="1" applyFont="1" applyBorder="1" applyAlignment="1">
      <alignment horizontal="right"/>
      <protection locked="0"/>
    </xf>
    <xf numFmtId="0" fontId="9" fillId="0" borderId="69" xfId="44" applyFont="1" applyBorder="1" applyAlignment="1">
      <alignment horizontal="left" wrapText="1"/>
      <protection locked="0"/>
    </xf>
    <xf numFmtId="172" fontId="9" fillId="0" borderId="69" xfId="190" applyNumberFormat="1" applyFont="1" applyBorder="1" applyAlignment="1" applyProtection="1">
      <alignment horizontal="right"/>
      <protection locked="0"/>
    </xf>
    <xf numFmtId="39" fontId="9" fillId="0" borderId="69" xfId="44" applyNumberFormat="1" applyFont="1" applyBorder="1" applyAlignment="1">
      <alignment horizontal="center"/>
      <protection locked="0"/>
    </xf>
    <xf numFmtId="0" fontId="54" fillId="0" borderId="69" xfId="44" applyFont="1" applyBorder="1" applyAlignment="1">
      <alignment horizontal="left" wrapText="1"/>
      <protection locked="0"/>
    </xf>
    <xf numFmtId="172" fontId="9" fillId="0" borderId="69" xfId="44" applyNumberFormat="1" applyFont="1" applyBorder="1" applyAlignment="1">
      <alignment horizontal="right"/>
      <protection locked="0"/>
    </xf>
    <xf numFmtId="4" fontId="9" fillId="0" borderId="69" xfId="44" applyNumberFormat="1" applyFont="1" applyBorder="1" applyAlignment="1">
      <alignment horizontal="right"/>
      <protection locked="0"/>
    </xf>
    <xf numFmtId="1" fontId="61" fillId="0" borderId="69" xfId="44" applyNumberFormat="1" applyFont="1" applyBorder="1" applyAlignment="1">
      <alignment horizontal="right"/>
      <protection locked="0"/>
    </xf>
    <xf numFmtId="49" fontId="61" fillId="0" borderId="69" xfId="44" applyNumberFormat="1" applyFont="1" applyBorder="1" applyAlignment="1">
      <alignment horizontal="left" wrapText="1"/>
      <protection locked="0"/>
    </xf>
    <xf numFmtId="0" fontId="76" fillId="0" borderId="69" xfId="44" applyFont="1" applyBorder="1" applyAlignment="1">
      <alignment horizontal="center" vertical="center" wrapText="1"/>
      <protection locked="0"/>
    </xf>
    <xf numFmtId="172" fontId="29" fillId="0" borderId="69" xfId="44" applyNumberFormat="1" applyBorder="1" applyAlignment="1">
      <alignment horizontal="left" vertical="top"/>
      <protection locked="0"/>
    </xf>
    <xf numFmtId="4" fontId="61" fillId="0" borderId="69" xfId="44" applyNumberFormat="1" applyFont="1" applyBorder="1" applyAlignment="1">
      <alignment horizontal="right"/>
      <protection locked="0"/>
    </xf>
    <xf numFmtId="39" fontId="9" fillId="0" borderId="69" xfId="44" applyNumberFormat="1" applyFont="1" applyBorder="1" applyAlignment="1">
      <alignment horizontal="right" vertical="center"/>
      <protection locked="0"/>
    </xf>
    <xf numFmtId="4" fontId="67" fillId="0" borderId="0" xfId="44" applyNumberFormat="1" applyFont="1" applyAlignment="1">
      <alignment horizontal="left" vertical="center"/>
      <protection locked="0"/>
    </xf>
    <xf numFmtId="37" fontId="9" fillId="0" borderId="69" xfId="178" applyNumberFormat="1" applyFont="1" applyBorder="1" applyAlignment="1">
      <alignment horizontal="right"/>
      <protection locked="0"/>
    </xf>
    <xf numFmtId="172" fontId="54" fillId="0" borderId="69" xfId="44" applyNumberFormat="1" applyFont="1" applyBorder="1" applyAlignment="1">
      <alignment horizontal="right"/>
      <protection locked="0"/>
    </xf>
    <xf numFmtId="0" fontId="61" fillId="0" borderId="69" xfId="44" applyFont="1" applyBorder="1" applyAlignment="1">
      <alignment horizontal="left" wrapText="1"/>
      <protection locked="0"/>
    </xf>
    <xf numFmtId="39" fontId="76" fillId="0" borderId="69" xfId="44" applyNumberFormat="1" applyFont="1" applyBorder="1" applyAlignment="1">
      <alignment horizontal="right" vertical="center"/>
      <protection locked="0"/>
    </xf>
    <xf numFmtId="4" fontId="71" fillId="0" borderId="0" xfId="44" applyNumberFormat="1" applyFont="1" applyAlignment="1">
      <alignment horizontal="left" vertical="center"/>
      <protection locked="0"/>
    </xf>
    <xf numFmtId="37" fontId="9" fillId="0" borderId="69" xfId="38" applyNumberFormat="1" applyFont="1" applyBorder="1" applyAlignment="1">
      <alignment horizontal="right"/>
      <protection locked="0"/>
    </xf>
    <xf numFmtId="49" fontId="9" fillId="0" borderId="69" xfId="38" applyNumberFormat="1" applyFont="1" applyBorder="1" applyAlignment="1">
      <alignment horizontal="left" wrapText="1"/>
      <protection locked="0"/>
    </xf>
    <xf numFmtId="0" fontId="9" fillId="0" borderId="18" xfId="203" applyFont="1" applyBorder="1" applyAlignment="1">
      <alignment horizontal="left" wrapText="1"/>
      <protection locked="0"/>
    </xf>
    <xf numFmtId="0" fontId="9" fillId="0" borderId="18" xfId="38" applyFont="1" applyBorder="1" applyAlignment="1">
      <alignment horizontal="left" wrapText="1"/>
      <protection locked="0"/>
    </xf>
    <xf numFmtId="2" fontId="9" fillId="0" borderId="18" xfId="38" applyNumberFormat="1" applyFont="1" applyBorder="1" applyAlignment="1">
      <alignment horizontal="right"/>
      <protection locked="0"/>
    </xf>
    <xf numFmtId="39" fontId="9" fillId="0" borderId="18" xfId="38" applyNumberFormat="1" applyFont="1" applyBorder="1" applyAlignment="1">
      <alignment horizontal="right"/>
      <protection locked="0"/>
    </xf>
    <xf numFmtId="0" fontId="12" fillId="0" borderId="0" xfId="38" applyAlignment="1">
      <alignment horizontal="right" vertical="center"/>
      <protection locked="0"/>
    </xf>
    <xf numFmtId="0" fontId="85" fillId="0" borderId="0" xfId="38" applyFont="1" applyAlignment="1">
      <alignment horizontal="left" vertical="center"/>
      <protection locked="0"/>
    </xf>
    <xf numFmtId="0" fontId="12" fillId="0" borderId="0" xfId="38" applyAlignment="1">
      <alignment horizontal="left" vertical="center"/>
      <protection locked="0"/>
    </xf>
    <xf numFmtId="0" fontId="252" fillId="0" borderId="0" xfId="38" applyFont="1" applyAlignment="1">
      <alignment horizontal="left" vertical="center"/>
      <protection locked="0"/>
    </xf>
    <xf numFmtId="0" fontId="12" fillId="0" borderId="0" xfId="38" applyAlignment="1" applyProtection="1"/>
    <xf numFmtId="0" fontId="95" fillId="0" borderId="0" xfId="38" applyFont="1" applyAlignment="1">
      <alignment horizontal="left" vertical="center"/>
      <protection locked="0"/>
    </xf>
    <xf numFmtId="0" fontId="12" fillId="0" borderId="0" xfId="38" applyAlignment="1">
      <alignment horizontal="left" vertical="top"/>
      <protection locked="0"/>
    </xf>
    <xf numFmtId="37" fontId="80" fillId="0" borderId="69" xfId="38" applyNumberFormat="1" applyFont="1" applyBorder="1" applyAlignment="1">
      <alignment horizontal="right"/>
      <protection locked="0"/>
    </xf>
    <xf numFmtId="0" fontId="80" fillId="0" borderId="69" xfId="38" applyFont="1" applyBorder="1" applyAlignment="1">
      <alignment horizontal="left" wrapText="1"/>
      <protection locked="0"/>
    </xf>
    <xf numFmtId="0" fontId="54" fillId="0" borderId="69" xfId="38" applyFont="1" applyBorder="1" applyAlignment="1">
      <alignment horizontal="left" wrapText="1"/>
      <protection locked="0"/>
    </xf>
    <xf numFmtId="2" fontId="54" fillId="0" borderId="69" xfId="38" applyNumberFormat="1" applyFont="1" applyBorder="1" applyAlignment="1">
      <alignment horizontal="right"/>
      <protection locked="0"/>
    </xf>
    <xf numFmtId="39" fontId="80" fillId="0" borderId="69" xfId="38" applyNumberFormat="1" applyFont="1" applyBorder="1" applyAlignment="1">
      <alignment horizontal="right"/>
      <protection locked="0"/>
    </xf>
    <xf numFmtId="39" fontId="9" fillId="0" borderId="69" xfId="38" applyNumberFormat="1" applyFont="1" applyBorder="1" applyAlignment="1">
      <alignment horizontal="right"/>
      <protection locked="0"/>
    </xf>
    <xf numFmtId="0" fontId="12" fillId="0" borderId="69" xfId="38" applyBorder="1" applyAlignment="1">
      <alignment horizontal="left" vertical="center"/>
      <protection locked="0"/>
    </xf>
    <xf numFmtId="0" fontId="85" fillId="0" borderId="0" xfId="38" applyFont="1" applyAlignment="1" applyProtection="1">
      <alignment vertical="center"/>
    </xf>
    <xf numFmtId="0" fontId="233" fillId="0" borderId="0" xfId="38" applyFont="1" applyAlignment="1">
      <alignment horizontal="left" vertical="center"/>
      <protection locked="0"/>
    </xf>
    <xf numFmtId="0" fontId="83" fillId="0" borderId="0" xfId="38" applyFont="1" applyAlignment="1">
      <alignment horizontal="left" vertical="top"/>
      <protection locked="0"/>
    </xf>
    <xf numFmtId="0" fontId="85" fillId="0" borderId="0" xfId="38" applyFont="1" applyAlignment="1">
      <alignment horizontal="left" vertical="top"/>
      <protection locked="0"/>
    </xf>
    <xf numFmtId="37" fontId="116" fillId="0" borderId="69" xfId="38" applyNumberFormat="1" applyFont="1" applyBorder="1" applyAlignment="1">
      <alignment horizontal="right"/>
      <protection locked="0"/>
    </xf>
    <xf numFmtId="0" fontId="116" fillId="0" borderId="69" xfId="38" applyFont="1" applyBorder="1" applyAlignment="1">
      <alignment horizontal="left" wrapText="1"/>
      <protection locked="0"/>
    </xf>
    <xf numFmtId="2" fontId="116" fillId="0" borderId="69" xfId="38" applyNumberFormat="1" applyFont="1" applyBorder="1" applyAlignment="1">
      <alignment horizontal="right"/>
      <protection locked="0"/>
    </xf>
    <xf numFmtId="39" fontId="116" fillId="0" borderId="69" xfId="38" applyNumberFormat="1" applyFont="1" applyBorder="1" applyAlignment="1">
      <alignment horizontal="right"/>
      <protection locked="0"/>
    </xf>
    <xf numFmtId="39" fontId="9" fillId="0" borderId="69" xfId="38" applyNumberFormat="1" applyFont="1" applyBorder="1" applyAlignment="1">
      <alignment horizontal="center" wrapText="1"/>
      <protection locked="0"/>
    </xf>
    <xf numFmtId="0" fontId="217" fillId="0" borderId="0" xfId="38" applyFont="1" applyAlignment="1" applyProtection="1">
      <alignment horizontal="left" vertical="center"/>
    </xf>
    <xf numFmtId="0" fontId="54" fillId="0" borderId="0" xfId="38" applyFont="1" applyAlignment="1">
      <alignment horizontal="left" wrapText="1"/>
      <protection locked="0"/>
    </xf>
    <xf numFmtId="0" fontId="12" fillId="0" borderId="0" xfId="38" applyAlignment="1" applyProtection="1">
      <alignment vertical="center"/>
    </xf>
    <xf numFmtId="0" fontId="229" fillId="0" borderId="0" xfId="38" applyFont="1" applyAlignment="1" applyProtection="1">
      <alignment vertical="center"/>
    </xf>
    <xf numFmtId="0" fontId="12" fillId="0" borderId="69" xfId="38" applyBorder="1" applyAlignment="1">
      <alignment horizontal="left" vertical="top"/>
      <protection locked="0"/>
    </xf>
    <xf numFmtId="0" fontId="33" fillId="0" borderId="0" xfId="204" applyFill="1" applyAlignment="1" applyProtection="1">
      <alignment vertical="center"/>
    </xf>
    <xf numFmtId="0" fontId="85" fillId="0" borderId="0" xfId="38" applyFont="1" applyAlignment="1" applyProtection="1">
      <alignment horizontal="left" vertical="center"/>
    </xf>
    <xf numFmtId="0" fontId="95" fillId="0" borderId="0" xfId="38" applyFont="1" applyAlignment="1" applyProtection="1">
      <alignment vertical="center"/>
    </xf>
    <xf numFmtId="0" fontId="83" fillId="0" borderId="0" xfId="38" applyFont="1" applyAlignment="1">
      <alignment horizontal="left" vertical="center"/>
      <protection locked="0"/>
    </xf>
    <xf numFmtId="1" fontId="9" fillId="0" borderId="18" xfId="203" applyNumberFormat="1" applyFont="1" applyBorder="1" applyAlignment="1">
      <alignment horizontal="right"/>
      <protection locked="0"/>
    </xf>
    <xf numFmtId="37" fontId="9" fillId="0" borderId="69" xfId="3" applyNumberFormat="1" applyFont="1" applyBorder="1" applyAlignment="1" applyProtection="1">
      <alignment horizontal="right"/>
      <protection locked="0"/>
    </xf>
    <xf numFmtId="0" fontId="9" fillId="0" borderId="69" xfId="3" applyFont="1" applyBorder="1" applyAlignment="1" applyProtection="1">
      <alignment horizontal="left" wrapText="1"/>
      <protection locked="0"/>
    </xf>
    <xf numFmtId="0" fontId="54" fillId="0" borderId="69" xfId="3" applyFont="1" applyBorder="1" applyAlignment="1" applyProtection="1">
      <alignment horizontal="left" wrapText="1"/>
      <protection locked="0"/>
    </xf>
    <xf numFmtId="0" fontId="9" fillId="0" borderId="69" xfId="38" applyFont="1" applyBorder="1" applyAlignment="1">
      <alignment horizontal="left" wrapText="1"/>
      <protection locked="0"/>
    </xf>
    <xf numFmtId="39" fontId="9" fillId="0" borderId="69" xfId="38" applyNumberFormat="1" applyFont="1" applyBorder="1" applyAlignment="1">
      <alignment horizontal="center"/>
      <protection locked="0"/>
    </xf>
    <xf numFmtId="0" fontId="12" fillId="0" borderId="69" xfId="38" applyBorder="1" applyAlignment="1">
      <alignment horizontal="center" vertical="top"/>
      <protection locked="0"/>
    </xf>
    <xf numFmtId="0" fontId="101" fillId="0" borderId="0" xfId="38" applyFont="1" applyAlignment="1">
      <alignment horizontal="left" vertical="center"/>
      <protection locked="0"/>
    </xf>
    <xf numFmtId="0" fontId="83" fillId="0" borderId="0" xfId="38" applyFont="1" applyAlignment="1">
      <alignment horizontal="left"/>
      <protection locked="0"/>
    </xf>
    <xf numFmtId="0" fontId="101" fillId="0" borderId="0" xfId="38" applyFont="1" applyAlignment="1">
      <alignment horizontal="left" vertical="top"/>
      <protection locked="0"/>
    </xf>
    <xf numFmtId="2" fontId="9" fillId="0" borderId="69" xfId="0" applyNumberFormat="1" applyFont="1" applyBorder="1" applyAlignment="1">
      <alignment horizontal="right"/>
      <protection locked="0"/>
    </xf>
    <xf numFmtId="2" fontId="54" fillId="0" borderId="69" xfId="0" applyNumberFormat="1" applyFont="1" applyBorder="1" applyAlignment="1">
      <alignment horizontal="right"/>
      <protection locked="0"/>
    </xf>
    <xf numFmtId="39" fontId="9" fillId="0" borderId="69" xfId="0" applyNumberFormat="1" applyFont="1" applyBorder="1" applyAlignment="1">
      <alignment horizontal="left"/>
      <protection locked="0"/>
    </xf>
    <xf numFmtId="0" fontId="12" fillId="0" borderId="69" xfId="0" applyFont="1" applyBorder="1" applyAlignment="1">
      <alignment horizontal="left" vertical="top"/>
      <protection locked="0"/>
    </xf>
    <xf numFmtId="37" fontId="9" fillId="0" borderId="71" xfId="0" applyNumberFormat="1" applyFont="1" applyBorder="1" applyAlignment="1">
      <alignment horizontal="right"/>
      <protection locked="0"/>
    </xf>
    <xf numFmtId="0" fontId="9" fillId="0" borderId="71" xfId="0" applyFont="1" applyBorder="1" applyAlignment="1">
      <alignment horizontal="left" wrapText="1"/>
      <protection locked="0"/>
    </xf>
    <xf numFmtId="0" fontId="54" fillId="0" borderId="71" xfId="13" applyFont="1" applyBorder="1" applyAlignment="1">
      <alignment horizontal="left" wrapText="1"/>
      <protection locked="0"/>
    </xf>
    <xf numFmtId="172" fontId="9" fillId="0" borderId="71" xfId="0" applyNumberFormat="1" applyFont="1" applyBorder="1" applyAlignment="1">
      <alignment horizontal="right"/>
      <protection locked="0"/>
    </xf>
    <xf numFmtId="39" fontId="9" fillId="0" borderId="71" xfId="0" applyNumberFormat="1" applyFont="1" applyBorder="1" applyAlignment="1">
      <alignment horizontal="right"/>
      <protection locked="0"/>
    </xf>
    <xf numFmtId="39" fontId="9" fillId="0" borderId="71" xfId="0" applyNumberFormat="1" applyFont="1" applyBorder="1" applyAlignment="1">
      <alignment horizontal="center"/>
      <protection locked="0"/>
    </xf>
    <xf numFmtId="39" fontId="61" fillId="0" borderId="39" xfId="0" applyNumberFormat="1" applyFont="1" applyBorder="1" applyAlignment="1">
      <alignment horizontal="right"/>
      <protection locked="0"/>
    </xf>
    <xf numFmtId="173" fontId="0" fillId="0" borderId="0" xfId="0" applyNumberFormat="1" applyAlignment="1">
      <alignment horizontal="left" vertical="top"/>
      <protection locked="0"/>
    </xf>
    <xf numFmtId="4" fontId="9" fillId="0" borderId="69" xfId="130" applyNumberFormat="1" applyFont="1" applyBorder="1" applyAlignment="1">
      <alignment horizontal="right"/>
      <protection locked="0"/>
    </xf>
    <xf numFmtId="39" fontId="9" fillId="0" borderId="69" xfId="3" applyNumberFormat="1" applyFont="1" applyBorder="1" applyAlignment="1" applyProtection="1">
      <alignment horizontal="center"/>
      <protection locked="0"/>
    </xf>
    <xf numFmtId="37" fontId="68" fillId="0" borderId="69" xfId="0" applyNumberFormat="1" applyFont="1" applyBorder="1" applyAlignment="1">
      <alignment horizontal="right"/>
      <protection locked="0"/>
    </xf>
    <xf numFmtId="9" fontId="80" fillId="0" borderId="69" xfId="0" applyNumberFormat="1" applyFont="1" applyBorder="1" applyAlignment="1">
      <alignment horizontal="left" wrapText="1"/>
      <protection locked="0"/>
    </xf>
    <xf numFmtId="0" fontId="68" fillId="0" borderId="69" xfId="0" applyFont="1" applyBorder="1" applyAlignment="1">
      <alignment horizontal="left" wrapText="1"/>
      <protection locked="0"/>
    </xf>
    <xf numFmtId="4" fontId="68" fillId="0" borderId="69" xfId="0" applyNumberFormat="1" applyFont="1" applyBorder="1" applyAlignment="1">
      <alignment horizontal="right"/>
      <protection locked="0"/>
    </xf>
    <xf numFmtId="4" fontId="68" fillId="0" borderId="69" xfId="130" applyNumberFormat="1" applyFont="1" applyBorder="1" applyAlignment="1">
      <alignment horizontal="right"/>
      <protection locked="0"/>
    </xf>
    <xf numFmtId="39" fontId="68" fillId="0" borderId="69" xfId="12" applyNumberFormat="1" applyFont="1" applyBorder="1" applyAlignment="1">
      <alignment horizontal="center"/>
      <protection locked="0"/>
    </xf>
    <xf numFmtId="0" fontId="74" fillId="0" borderId="69" xfId="0" applyFont="1" applyBorder="1" applyAlignment="1">
      <alignment horizontal="left" wrapText="1"/>
      <protection locked="0"/>
    </xf>
    <xf numFmtId="0" fontId="75" fillId="0" borderId="69" xfId="0" applyFont="1" applyBorder="1" applyAlignment="1">
      <alignment horizontal="left" wrapText="1"/>
      <protection locked="0"/>
    </xf>
    <xf numFmtId="172" fontId="75" fillId="0" borderId="69" xfId="0" applyNumberFormat="1" applyFont="1" applyBorder="1" applyAlignment="1">
      <alignment horizontal="right"/>
      <protection locked="0"/>
    </xf>
    <xf numFmtId="4" fontId="74" fillId="0" borderId="69" xfId="0" applyNumberFormat="1" applyFont="1" applyBorder="1" applyAlignment="1">
      <alignment horizontal="right"/>
      <protection locked="0"/>
    </xf>
    <xf numFmtId="4" fontId="74" fillId="0" borderId="69" xfId="130" applyNumberFormat="1" applyFont="1" applyBorder="1" applyAlignment="1">
      <alignment horizontal="right"/>
      <protection locked="0"/>
    </xf>
    <xf numFmtId="39" fontId="74" fillId="0" borderId="69" xfId="12" applyNumberFormat="1" applyFont="1" applyBorder="1" applyAlignment="1">
      <alignment horizontal="center"/>
      <protection locked="0"/>
    </xf>
    <xf numFmtId="37" fontId="74" fillId="0" borderId="69" xfId="0" applyNumberFormat="1" applyFont="1" applyBorder="1" applyAlignment="1">
      <alignment horizontal="right"/>
      <protection locked="0"/>
    </xf>
    <xf numFmtId="0" fontId="231" fillId="0" borderId="69" xfId="0" applyFont="1" applyBorder="1" applyAlignment="1">
      <alignment horizontal="left" wrapText="1"/>
      <protection locked="0"/>
    </xf>
    <xf numFmtId="4" fontId="75" fillId="0" borderId="69" xfId="0" applyNumberFormat="1" applyFont="1" applyBorder="1" applyAlignment="1">
      <alignment horizontal="right"/>
      <protection locked="0"/>
    </xf>
    <xf numFmtId="180" fontId="232" fillId="0" borderId="69" xfId="12" applyNumberFormat="1" applyFont="1" applyBorder="1" applyAlignment="1">
      <alignment vertical="center"/>
      <protection locked="0"/>
    </xf>
    <xf numFmtId="180" fontId="232" fillId="0" borderId="69" xfId="12" applyNumberFormat="1" applyFont="1" applyBorder="1" applyAlignment="1">
      <alignment horizontal="right" vertical="center"/>
      <protection locked="0"/>
    </xf>
    <xf numFmtId="172" fontId="54" fillId="0" borderId="69" xfId="3" applyNumberFormat="1" applyFont="1" applyBorder="1" applyAlignment="1" applyProtection="1">
      <alignment horizontal="right"/>
      <protection locked="0"/>
    </xf>
    <xf numFmtId="0" fontId="59" fillId="5" borderId="0" xfId="154" applyFont="1" applyFill="1" applyAlignment="1">
      <alignment horizontal="left"/>
    </xf>
    <xf numFmtId="0" fontId="28" fillId="5" borderId="0" xfId="154" applyFill="1" applyAlignment="1" applyProtection="1">
      <alignment horizontal="left" vertical="top"/>
      <protection locked="0"/>
    </xf>
    <xf numFmtId="0" fontId="9" fillId="5" borderId="0" xfId="154" applyFont="1" applyFill="1" applyAlignment="1">
      <alignment horizontal="left"/>
    </xf>
    <xf numFmtId="0" fontId="76" fillId="5" borderId="0" xfId="154" applyFont="1" applyFill="1" applyAlignment="1">
      <alignment horizontal="left" vertical="center"/>
    </xf>
    <xf numFmtId="37" fontId="61" fillId="0" borderId="48" xfId="140" applyNumberFormat="1" applyFont="1" applyBorder="1" applyAlignment="1" applyProtection="1">
      <alignment horizontal="right"/>
      <protection locked="0"/>
    </xf>
    <xf numFmtId="0" fontId="61" fillId="0" borderId="48" xfId="140" applyFont="1" applyBorder="1" applyAlignment="1" applyProtection="1">
      <alignment horizontal="left" wrapText="1"/>
      <protection locked="0"/>
    </xf>
    <xf numFmtId="176" fontId="61" fillId="0" borderId="48" xfId="140" applyNumberFormat="1" applyFont="1" applyBorder="1" applyAlignment="1" applyProtection="1">
      <alignment horizontal="right"/>
      <protection locked="0"/>
    </xf>
    <xf numFmtId="39" fontId="61" fillId="0" borderId="48" xfId="140" applyNumberFormat="1" applyFont="1" applyBorder="1" applyAlignment="1" applyProtection="1">
      <alignment horizontal="right"/>
      <protection locked="0"/>
    </xf>
    <xf numFmtId="39" fontId="61" fillId="0" borderId="69" xfId="25" applyNumberFormat="1" applyFont="1" applyBorder="1" applyAlignment="1">
      <alignment horizontal="right"/>
      <protection locked="0"/>
    </xf>
    <xf numFmtId="0" fontId="24" fillId="0" borderId="48" xfId="140" applyBorder="1" applyAlignment="1" applyProtection="1">
      <alignment horizontal="left" vertical="top"/>
      <protection locked="0"/>
    </xf>
    <xf numFmtId="37" fontId="61" fillId="0" borderId="69" xfId="154" applyNumberFormat="1" applyFont="1" applyBorder="1" applyAlignment="1" applyProtection="1">
      <alignment horizontal="right"/>
      <protection locked="0"/>
    </xf>
    <xf numFmtId="0" fontId="61" fillId="0" borderId="69" xfId="154" applyFont="1" applyBorder="1" applyAlignment="1" applyProtection="1">
      <alignment horizontal="left" wrapText="1"/>
      <protection locked="0"/>
    </xf>
    <xf numFmtId="2" fontId="61" fillId="0" borderId="69" xfId="154" applyNumberFormat="1" applyFont="1" applyBorder="1" applyAlignment="1" applyProtection="1">
      <alignment horizontal="right"/>
      <protection locked="0"/>
    </xf>
    <xf numFmtId="4" fontId="61" fillId="0" borderId="69" xfId="154" applyNumberFormat="1" applyFont="1" applyBorder="1" applyAlignment="1" applyProtection="1">
      <alignment horizontal="right"/>
      <protection locked="0"/>
    </xf>
    <xf numFmtId="0" fontId="28" fillId="0" borderId="69" xfId="154" applyBorder="1" applyAlignment="1" applyProtection="1">
      <alignment vertical="top"/>
      <protection locked="0"/>
    </xf>
    <xf numFmtId="37" fontId="9" fillId="0" borderId="69" xfId="142" applyNumberFormat="1" applyFont="1" applyBorder="1" applyAlignment="1" applyProtection="1">
      <alignment horizontal="right"/>
      <protection locked="0"/>
    </xf>
    <xf numFmtId="0" fontId="9" fillId="0" borderId="69" xfId="142" applyFont="1" applyBorder="1" applyAlignment="1" applyProtection="1">
      <alignment horizontal="left" wrapText="1"/>
      <protection locked="0"/>
    </xf>
    <xf numFmtId="39" fontId="9" fillId="0" borderId="69" xfId="3" applyNumberFormat="1" applyFont="1" applyBorder="1" applyAlignment="1" applyProtection="1">
      <alignment horizontal="right"/>
      <protection locked="0"/>
    </xf>
    <xf numFmtId="0" fontId="12" fillId="0" borderId="0" xfId="25" applyAlignment="1" applyProtection="1"/>
    <xf numFmtId="1" fontId="9" fillId="0" borderId="69" xfId="205" applyNumberFormat="1" applyFont="1" applyBorder="1" applyAlignment="1" applyProtection="1">
      <alignment horizontal="right"/>
      <protection locked="0"/>
    </xf>
    <xf numFmtId="0" fontId="9" fillId="0" borderId="69" xfId="205" applyFont="1" applyBorder="1" applyAlignment="1" applyProtection="1">
      <alignment horizontal="left" wrapText="1"/>
      <protection locked="0"/>
    </xf>
    <xf numFmtId="4" fontId="9" fillId="0" borderId="69" xfId="205" applyNumberFormat="1" applyFont="1" applyBorder="1" applyAlignment="1" applyProtection="1">
      <alignment horizontal="right"/>
      <protection locked="0"/>
    </xf>
    <xf numFmtId="1" fontId="68" fillId="0" borderId="69" xfId="205" applyNumberFormat="1" applyFont="1" applyBorder="1" applyAlignment="1" applyProtection="1">
      <alignment horizontal="right"/>
      <protection locked="0"/>
    </xf>
    <xf numFmtId="0" fontId="68" fillId="0" borderId="69" xfId="205" applyFont="1" applyBorder="1" applyAlignment="1" applyProtection="1">
      <alignment horizontal="left" wrapText="1"/>
      <protection locked="0"/>
    </xf>
    <xf numFmtId="4" fontId="68" fillId="0" borderId="69" xfId="205" applyNumberFormat="1" applyFont="1" applyBorder="1" applyAlignment="1" applyProtection="1">
      <alignment horizontal="right"/>
      <protection locked="0"/>
    </xf>
    <xf numFmtId="39" fontId="68" fillId="0" borderId="69" xfId="205" applyNumberFormat="1" applyFont="1" applyBorder="1" applyAlignment="1" applyProtection="1">
      <alignment horizontal="center"/>
      <protection locked="0"/>
    </xf>
    <xf numFmtId="1" fontId="9" fillId="0" borderId="69" xfId="33" applyNumberFormat="1" applyFont="1" applyBorder="1" applyAlignment="1" applyProtection="1">
      <alignment horizontal="right" wrapText="1"/>
      <protection locked="0"/>
    </xf>
    <xf numFmtId="49" fontId="9" fillId="0" borderId="69" xfId="33" applyNumberFormat="1" applyFont="1" applyBorder="1" applyAlignment="1" applyProtection="1">
      <alignment horizontal="left" wrapText="1"/>
      <protection locked="0"/>
    </xf>
    <xf numFmtId="0" fontId="54" fillId="0" borderId="69" xfId="33" applyFont="1" applyBorder="1" applyAlignment="1" applyProtection="1">
      <alignment horizontal="left" wrapText="1"/>
      <protection locked="0"/>
    </xf>
    <xf numFmtId="4" fontId="54" fillId="0" borderId="69" xfId="33" applyNumberFormat="1" applyFont="1" applyBorder="1" applyAlignment="1" applyProtection="1">
      <alignment horizontal="right"/>
      <protection locked="0"/>
    </xf>
    <xf numFmtId="4" fontId="9" fillId="0" borderId="69" xfId="33" applyNumberFormat="1" applyFont="1" applyBorder="1" applyAlignment="1" applyProtection="1">
      <alignment horizontal="right"/>
      <protection locked="0"/>
    </xf>
    <xf numFmtId="39" fontId="9" fillId="0" borderId="69" xfId="33" applyNumberFormat="1" applyFont="1" applyBorder="1" applyAlignment="1" applyProtection="1">
      <alignment horizontal="center"/>
      <protection locked="0"/>
    </xf>
    <xf numFmtId="39" fontId="61" fillId="0" borderId="69" xfId="154" applyNumberFormat="1" applyFont="1" applyBorder="1" applyAlignment="1" applyProtection="1">
      <alignment horizontal="right"/>
      <protection locked="0"/>
    </xf>
    <xf numFmtId="1" fontId="9" fillId="0" borderId="69" xfId="154" applyNumberFormat="1" applyFont="1" applyBorder="1" applyAlignment="1" applyProtection="1">
      <alignment horizontal="right"/>
      <protection locked="0"/>
    </xf>
    <xf numFmtId="49" fontId="9" fillId="0" borderId="69" xfId="154" applyNumberFormat="1" applyFont="1" applyBorder="1" applyAlignment="1" applyProtection="1">
      <alignment horizontal="left" wrapText="1"/>
      <protection locked="0"/>
    </xf>
    <xf numFmtId="0" fontId="9" fillId="0" borderId="69" xfId="154" applyFont="1" applyBorder="1" applyAlignment="1" applyProtection="1">
      <alignment horizontal="left" wrapText="1"/>
      <protection locked="0"/>
    </xf>
    <xf numFmtId="4" fontId="9" fillId="0" borderId="69" xfId="154" applyNumberFormat="1" applyFont="1" applyBorder="1" applyAlignment="1" applyProtection="1">
      <alignment horizontal="right"/>
      <protection locked="0"/>
    </xf>
    <xf numFmtId="39" fontId="9" fillId="0" borderId="69" xfId="154" applyNumberFormat="1" applyFont="1" applyBorder="1" applyAlignment="1" applyProtection="1">
      <alignment horizontal="center"/>
      <protection locked="0"/>
    </xf>
    <xf numFmtId="0" fontId="80" fillId="0" borderId="69" xfId="154" applyFont="1" applyBorder="1" applyAlignment="1" applyProtection="1">
      <alignment horizontal="left" wrapText="1"/>
      <protection locked="0"/>
    </xf>
    <xf numFmtId="0" fontId="54" fillId="0" borderId="69" xfId="154" applyFont="1" applyBorder="1" applyAlignment="1" applyProtection="1">
      <alignment horizontal="left" wrapText="1"/>
      <protection locked="0"/>
    </xf>
    <xf numFmtId="0" fontId="28" fillId="0" borderId="69" xfId="154" applyBorder="1" applyAlignment="1" applyProtection="1">
      <alignment horizontal="left" vertical="top"/>
      <protection locked="0"/>
    </xf>
    <xf numFmtId="0" fontId="28" fillId="0" borderId="69" xfId="154" applyBorder="1" applyAlignment="1" applyProtection="1">
      <alignment horizontal="center" vertical="top"/>
      <protection locked="0"/>
    </xf>
    <xf numFmtId="0" fontId="83" fillId="0" borderId="69" xfId="154" applyFont="1" applyBorder="1" applyAlignment="1" applyProtection="1">
      <alignment horizontal="right" vertical="center"/>
      <protection locked="0"/>
    </xf>
    <xf numFmtId="0" fontId="28" fillId="0" borderId="69" xfId="154" applyBorder="1" applyAlignment="1" applyProtection="1">
      <alignment horizontal="left" vertical="top" wrapText="1"/>
      <protection locked="0"/>
    </xf>
    <xf numFmtId="0" fontId="61" fillId="0" borderId="69" xfId="25" applyFont="1" applyBorder="1" applyAlignment="1">
      <alignment horizontal="left" wrapText="1"/>
      <protection locked="0"/>
    </xf>
    <xf numFmtId="4" fontId="61" fillId="0" borderId="69" xfId="25" applyNumberFormat="1" applyFont="1" applyBorder="1" applyAlignment="1">
      <alignment horizontal="right"/>
      <protection locked="0"/>
    </xf>
    <xf numFmtId="1" fontId="61" fillId="0" borderId="69" xfId="154" applyNumberFormat="1" applyFont="1" applyBorder="1" applyAlignment="1" applyProtection="1">
      <alignment horizontal="right"/>
      <protection locked="0"/>
    </xf>
    <xf numFmtId="37" fontId="9" fillId="0" borderId="69" xfId="154" applyNumberFormat="1" applyFont="1" applyBorder="1" applyAlignment="1" applyProtection="1">
      <alignment horizontal="right"/>
      <protection locked="0"/>
    </xf>
    <xf numFmtId="39" fontId="9" fillId="0" borderId="69" xfId="154" applyNumberFormat="1" applyFont="1" applyBorder="1" applyAlignment="1" applyProtection="1">
      <alignment horizontal="right"/>
      <protection locked="0"/>
    </xf>
    <xf numFmtId="0" fontId="89" fillId="0" borderId="69" xfId="154" applyFont="1" applyBorder="1" applyAlignment="1" applyProtection="1">
      <alignment horizontal="left" vertical="top"/>
      <protection locked="0"/>
    </xf>
    <xf numFmtId="49" fontId="61" fillId="0" borderId="69" xfId="154" applyNumberFormat="1" applyFont="1" applyBorder="1" applyAlignment="1" applyProtection="1">
      <alignment horizontal="left" wrapText="1"/>
      <protection locked="0"/>
    </xf>
    <xf numFmtId="1" fontId="9" fillId="0" borderId="69" xfId="33" applyNumberFormat="1" applyFont="1" applyBorder="1" applyAlignment="1" applyProtection="1">
      <alignment horizontal="right"/>
      <protection locked="0"/>
    </xf>
    <xf numFmtId="0" fontId="9" fillId="0" borderId="69" xfId="142" applyFont="1" applyBorder="1" applyAlignment="1">
      <alignment horizontal="left"/>
    </xf>
    <xf numFmtId="0" fontId="68" fillId="0" borderId="69" xfId="33" applyFont="1" applyBorder="1" applyAlignment="1" applyProtection="1">
      <alignment horizontal="left" wrapText="1"/>
      <protection locked="0"/>
    </xf>
    <xf numFmtId="0" fontId="9" fillId="0" borderId="69" xfId="33" applyFont="1" applyBorder="1" applyAlignment="1" applyProtection="1">
      <alignment horizontal="left" wrapText="1"/>
      <protection locked="0"/>
    </xf>
    <xf numFmtId="0" fontId="29" fillId="0" borderId="0" xfId="33" applyFont="1" applyAlignment="1" applyProtection="1">
      <alignment vertical="top"/>
      <protection locked="0"/>
    </xf>
    <xf numFmtId="0" fontId="68" fillId="0" borderId="69" xfId="154" applyFont="1" applyBorder="1" applyAlignment="1" applyProtection="1">
      <alignment horizontal="left" wrapText="1"/>
      <protection locked="0"/>
    </xf>
    <xf numFmtId="39" fontId="54" fillId="0" borderId="69" xfId="154" applyNumberFormat="1" applyFont="1" applyBorder="1" applyAlignment="1" applyProtection="1">
      <alignment horizontal="right"/>
      <protection locked="0"/>
    </xf>
    <xf numFmtId="0" fontId="54" fillId="0" borderId="69" xfId="34" applyFont="1" applyBorder="1" applyAlignment="1" applyProtection="1">
      <alignment horizontal="left" vertical="center" wrapText="1"/>
      <protection locked="0"/>
    </xf>
    <xf numFmtId="37" fontId="80" fillId="0" borderId="69" xfId="154" applyNumberFormat="1" applyFont="1" applyBorder="1" applyAlignment="1" applyProtection="1">
      <alignment horizontal="right"/>
      <protection locked="0"/>
    </xf>
    <xf numFmtId="39" fontId="80" fillId="0" borderId="69" xfId="154" applyNumberFormat="1" applyFont="1" applyBorder="1" applyAlignment="1" applyProtection="1">
      <alignment horizontal="right"/>
      <protection locked="0"/>
    </xf>
    <xf numFmtId="49" fontId="80" fillId="0" borderId="69" xfId="154" applyNumberFormat="1" applyFont="1" applyBorder="1" applyAlignment="1" applyProtection="1">
      <alignment horizontal="left" wrapText="1"/>
      <protection locked="0"/>
    </xf>
    <xf numFmtId="39" fontId="9" fillId="0" borderId="69" xfId="205" applyNumberFormat="1" applyFont="1" applyBorder="1" applyAlignment="1" applyProtection="1">
      <alignment horizontal="center"/>
      <protection locked="0"/>
    </xf>
    <xf numFmtId="0" fontId="54" fillId="0" borderId="69" xfId="154" applyFont="1" applyBorder="1" applyAlignment="1" applyProtection="1">
      <alignment horizontal="left" vertical="center" wrapText="1"/>
      <protection locked="0"/>
    </xf>
    <xf numFmtId="1" fontId="9" fillId="0" borderId="69" xfId="38" applyNumberFormat="1" applyFont="1" applyBorder="1" applyAlignment="1">
      <alignment horizontal="right"/>
      <protection locked="0"/>
    </xf>
    <xf numFmtId="4" fontId="9" fillId="0" borderId="69" xfId="38" applyNumberFormat="1" applyFont="1" applyBorder="1" applyAlignment="1">
      <alignment horizontal="right"/>
      <protection locked="0"/>
    </xf>
    <xf numFmtId="1" fontId="80" fillId="0" borderId="69" xfId="38" applyNumberFormat="1" applyFont="1" applyBorder="1" applyAlignment="1">
      <alignment horizontal="right"/>
      <protection locked="0"/>
    </xf>
    <xf numFmtId="4" fontId="80" fillId="0" borderId="69" xfId="38" applyNumberFormat="1" applyFont="1" applyBorder="1" applyAlignment="1">
      <alignment horizontal="right"/>
      <protection locked="0"/>
    </xf>
    <xf numFmtId="49" fontId="80" fillId="0" borderId="69" xfId="38" applyNumberFormat="1" applyFont="1" applyBorder="1" applyAlignment="1">
      <alignment horizontal="left" wrapText="1"/>
      <protection locked="0"/>
    </xf>
    <xf numFmtId="0" fontId="54" fillId="0" borderId="69" xfId="34" applyFont="1" applyBorder="1" applyAlignment="1" applyProtection="1">
      <alignment horizontal="left" wrapText="1"/>
      <protection locked="0"/>
    </xf>
    <xf numFmtId="1" fontId="80" fillId="0" borderId="69" xfId="154" applyNumberFormat="1" applyFont="1" applyBorder="1" applyAlignment="1" applyProtection="1">
      <alignment horizontal="right"/>
      <protection locked="0"/>
    </xf>
    <xf numFmtId="37" fontId="9" fillId="0" borderId="69" xfId="33" applyNumberFormat="1" applyFont="1" applyBorder="1" applyAlignment="1" applyProtection="1">
      <alignment horizontal="right"/>
      <protection locked="0"/>
    </xf>
    <xf numFmtId="0" fontId="9" fillId="0" borderId="69" xfId="34" applyFont="1" applyBorder="1" applyAlignment="1" applyProtection="1">
      <alignment horizontal="left" wrapText="1"/>
      <protection locked="0"/>
    </xf>
    <xf numFmtId="0" fontId="9" fillId="0" borderId="69" xfId="33" applyFont="1" applyBorder="1" applyAlignment="1">
      <alignment horizontal="left"/>
    </xf>
    <xf numFmtId="0" fontId="9" fillId="0" borderId="69" xfId="33" applyFont="1" applyBorder="1" applyAlignment="1">
      <alignment horizontal="left" wrapText="1"/>
    </xf>
    <xf numFmtId="0" fontId="9" fillId="0" borderId="69" xfId="33" applyFont="1" applyBorder="1" applyAlignment="1">
      <alignment horizontal="left" shrinkToFit="1"/>
    </xf>
    <xf numFmtId="4" fontId="9" fillId="0" borderId="69" xfId="33" applyNumberFormat="1" applyFont="1" applyBorder="1" applyAlignment="1" applyProtection="1">
      <alignment shrinkToFit="1"/>
      <protection locked="0"/>
    </xf>
    <xf numFmtId="39" fontId="9" fillId="0" borderId="69" xfId="33" applyNumberFormat="1" applyFont="1" applyBorder="1" applyAlignment="1" applyProtection="1">
      <alignment horizontal="right"/>
      <protection locked="0"/>
    </xf>
    <xf numFmtId="0" fontId="34" fillId="0" borderId="0" xfId="33" applyAlignment="1" applyProtection="1">
      <alignment vertical="top"/>
      <protection locked="0"/>
    </xf>
    <xf numFmtId="39" fontId="9" fillId="0" borderId="69" xfId="142" applyNumberFormat="1" applyFont="1" applyBorder="1" applyAlignment="1" applyProtection="1">
      <alignment horizontal="center"/>
      <protection locked="0"/>
    </xf>
    <xf numFmtId="1" fontId="9" fillId="0" borderId="69" xfId="12" applyNumberFormat="1" applyFont="1" applyBorder="1" applyAlignment="1">
      <alignment horizontal="right"/>
      <protection locked="0"/>
    </xf>
    <xf numFmtId="0" fontId="9" fillId="0" borderId="69" xfId="12" applyFont="1" applyBorder="1" applyAlignment="1">
      <alignment horizontal="left" wrapText="1"/>
      <protection locked="0"/>
    </xf>
    <xf numFmtId="4" fontId="9" fillId="0" borderId="69" xfId="12" applyNumberFormat="1" applyFont="1" applyBorder="1" applyAlignment="1">
      <alignment horizontal="right"/>
      <protection locked="0"/>
    </xf>
    <xf numFmtId="39" fontId="9" fillId="0" borderId="69" xfId="12" applyNumberFormat="1" applyFont="1" applyBorder="1" applyAlignment="1">
      <alignment horizontal="right"/>
      <protection locked="0"/>
    </xf>
    <xf numFmtId="49" fontId="9" fillId="0" borderId="69" xfId="154" applyNumberFormat="1" applyFont="1" applyBorder="1" applyAlignment="1" applyProtection="1">
      <alignment horizontal="right" wrapText="1"/>
      <protection locked="0"/>
    </xf>
    <xf numFmtId="39" fontId="9" fillId="0" borderId="69" xfId="34" applyNumberFormat="1" applyFont="1" applyBorder="1" applyAlignment="1" applyProtection="1">
      <alignment horizontal="center"/>
      <protection locked="0"/>
    </xf>
    <xf numFmtId="0" fontId="204" fillId="0" borderId="69" xfId="154" applyFont="1" applyBorder="1" applyAlignment="1" applyProtection="1">
      <alignment horizontal="left" wrapText="1"/>
      <protection locked="0"/>
    </xf>
    <xf numFmtId="39" fontId="204" fillId="0" borderId="69" xfId="154" applyNumberFormat="1" applyFont="1" applyBorder="1" applyAlignment="1" applyProtection="1">
      <alignment horizontal="right"/>
      <protection locked="0"/>
    </xf>
    <xf numFmtId="39" fontId="204" fillId="0" borderId="69" xfId="154" applyNumberFormat="1" applyFont="1" applyBorder="1" applyAlignment="1" applyProtection="1">
      <alignment horizontal="center"/>
      <protection locked="0"/>
    </xf>
    <xf numFmtId="49" fontId="9" fillId="0" borderId="69" xfId="89" applyNumberFormat="1" applyFont="1" applyBorder="1" applyAlignment="1" applyProtection="1">
      <alignment horizontal="right"/>
      <protection locked="0"/>
    </xf>
    <xf numFmtId="0" fontId="9" fillId="0" borderId="69" xfId="89" applyFont="1" applyBorder="1" applyAlignment="1" applyProtection="1">
      <alignment horizontal="left" wrapText="1"/>
      <protection locked="0"/>
    </xf>
    <xf numFmtId="172" fontId="9" fillId="0" borderId="69" xfId="205" applyNumberFormat="1" applyFont="1" applyBorder="1" applyAlignment="1" applyProtection="1">
      <alignment horizontal="right"/>
      <protection locked="0"/>
    </xf>
    <xf numFmtId="4" fontId="9" fillId="0" borderId="69" xfId="89" applyNumberFormat="1" applyFont="1" applyBorder="1" applyAlignment="1" applyProtection="1">
      <alignment horizontal="right"/>
      <protection locked="0"/>
    </xf>
    <xf numFmtId="39" fontId="9" fillId="0" borderId="69" xfId="89" applyNumberFormat="1" applyFont="1" applyBorder="1" applyAlignment="1" applyProtection="1">
      <alignment horizontal="center"/>
      <protection locked="0"/>
    </xf>
    <xf numFmtId="0" fontId="54" fillId="0" borderId="69" xfId="89" applyFont="1" applyBorder="1" applyAlignment="1" applyProtection="1">
      <alignment horizontal="left" wrapText="1"/>
      <protection locked="0"/>
    </xf>
    <xf numFmtId="172" fontId="54" fillId="0" borderId="69" xfId="89" applyNumberFormat="1" applyFont="1" applyBorder="1" applyAlignment="1" applyProtection="1">
      <alignment horizontal="right"/>
      <protection locked="0"/>
    </xf>
    <xf numFmtId="4" fontId="116" fillId="0" borderId="69" xfId="89" applyNumberFormat="1" applyFont="1" applyBorder="1" applyAlignment="1" applyProtection="1">
      <alignment horizontal="right"/>
      <protection locked="0"/>
    </xf>
    <xf numFmtId="0" fontId="28" fillId="0" borderId="69" xfId="89" applyBorder="1" applyAlignment="1" applyProtection="1">
      <alignment horizontal="left" vertical="top"/>
      <protection locked="0"/>
    </xf>
    <xf numFmtId="0" fontId="80" fillId="0" borderId="69" xfId="89" applyFont="1" applyBorder="1" applyAlignment="1" applyProtection="1">
      <alignment horizontal="left" wrapText="1"/>
      <protection locked="0"/>
    </xf>
    <xf numFmtId="4" fontId="80" fillId="0" borderId="69" xfId="89" applyNumberFormat="1" applyFont="1" applyBorder="1" applyAlignment="1" applyProtection="1">
      <alignment horizontal="right"/>
      <protection locked="0"/>
    </xf>
    <xf numFmtId="49" fontId="80" fillId="0" borderId="69" xfId="89" applyNumberFormat="1" applyFont="1" applyBorder="1" applyAlignment="1" applyProtection="1">
      <alignment horizontal="right"/>
      <protection locked="0"/>
    </xf>
    <xf numFmtId="0" fontId="68" fillId="0" borderId="69" xfId="89" applyFont="1" applyBorder="1" applyAlignment="1" applyProtection="1">
      <alignment horizontal="left" wrapText="1"/>
      <protection locked="0"/>
    </xf>
    <xf numFmtId="49" fontId="80" fillId="0" borderId="69" xfId="89" applyNumberFormat="1" applyFont="1" applyBorder="1" applyAlignment="1" applyProtection="1">
      <alignment horizontal="left" wrapText="1"/>
      <protection locked="0"/>
    </xf>
    <xf numFmtId="0" fontId="107" fillId="0" borderId="69" xfId="12" applyFont="1" applyBorder="1" applyAlignment="1">
      <alignment horizontal="center" vertical="center" wrapText="1"/>
      <protection locked="0"/>
    </xf>
    <xf numFmtId="172" fontId="54" fillId="0" borderId="69" xfId="89" applyNumberFormat="1" applyFont="1" applyBorder="1" applyAlignment="1" applyProtection="1">
      <alignment horizontal="right" wrapText="1"/>
      <protection locked="0"/>
    </xf>
    <xf numFmtId="173" fontId="80" fillId="0" borderId="69" xfId="154" applyNumberFormat="1" applyFont="1" applyBorder="1" applyAlignment="1" applyProtection="1">
      <alignment horizontal="right"/>
      <protection locked="0"/>
    </xf>
    <xf numFmtId="173" fontId="9" fillId="0" borderId="69" xfId="154" applyNumberFormat="1" applyFont="1" applyBorder="1" applyAlignment="1" applyProtection="1">
      <alignment horizontal="right"/>
      <protection locked="0"/>
    </xf>
    <xf numFmtId="4" fontId="80" fillId="0" borderId="69" xfId="154" applyNumberFormat="1" applyFont="1" applyBorder="1" applyAlignment="1" applyProtection="1">
      <alignment horizontal="right"/>
      <protection locked="0"/>
    </xf>
    <xf numFmtId="49" fontId="9" fillId="0" borderId="69" xfId="89" applyNumberFormat="1" applyFont="1" applyBorder="1" applyAlignment="1" applyProtection="1">
      <alignment horizontal="left" wrapText="1"/>
      <protection locked="0"/>
    </xf>
    <xf numFmtId="0" fontId="9" fillId="0" borderId="69" xfId="89" applyFont="1" applyBorder="1" applyAlignment="1">
      <alignment horizontal="left"/>
    </xf>
    <xf numFmtId="172" fontId="9" fillId="0" borderId="69" xfId="89" applyNumberFormat="1" applyFont="1" applyBorder="1" applyAlignment="1" applyProtection="1">
      <alignment horizontal="right"/>
      <protection locked="0"/>
    </xf>
    <xf numFmtId="0" fontId="9" fillId="0" borderId="69" xfId="154" applyFont="1" applyBorder="1" applyAlignment="1">
      <alignment horizontal="left"/>
    </xf>
    <xf numFmtId="0" fontId="9" fillId="0" borderId="69" xfId="154" applyFont="1" applyBorder="1" applyAlignment="1" applyProtection="1">
      <alignment horizontal="left" vertical="center" wrapText="1"/>
      <protection locked="0"/>
    </xf>
    <xf numFmtId="0" fontId="80" fillId="0" borderId="69" xfId="154" applyFont="1" applyBorder="1" applyAlignment="1" applyProtection="1">
      <alignment horizontal="left" vertical="center" wrapText="1"/>
      <protection locked="0"/>
    </xf>
    <xf numFmtId="0" fontId="28" fillId="0" borderId="69" xfId="154" applyBorder="1" applyAlignment="1" applyProtection="1">
      <alignment horizontal="left" vertical="center"/>
      <protection locked="0"/>
    </xf>
    <xf numFmtId="37" fontId="61" fillId="0" borderId="18" xfId="154" applyNumberFormat="1" applyFont="1" applyBorder="1" applyAlignment="1" applyProtection="1">
      <alignment horizontal="right"/>
      <protection locked="0"/>
    </xf>
    <xf numFmtId="49" fontId="61" fillId="0" borderId="18" xfId="154" applyNumberFormat="1" applyFont="1" applyBorder="1" applyAlignment="1" applyProtection="1">
      <alignment horizontal="left" wrapText="1"/>
      <protection locked="0"/>
    </xf>
    <xf numFmtId="0" fontId="61" fillId="0" borderId="18" xfId="154" applyFont="1" applyBorder="1" applyAlignment="1" applyProtection="1">
      <alignment horizontal="left" wrapText="1"/>
      <protection locked="0"/>
    </xf>
    <xf numFmtId="39" fontId="61" fillId="0" borderId="18" xfId="154" applyNumberFormat="1" applyFont="1" applyBorder="1" applyAlignment="1" applyProtection="1">
      <alignment horizontal="right"/>
      <protection locked="0"/>
    </xf>
    <xf numFmtId="0" fontId="83" fillId="0" borderId="18" xfId="154" applyFont="1" applyBorder="1" applyAlignment="1" applyProtection="1">
      <alignment horizontal="right" vertical="center"/>
      <protection locked="0"/>
    </xf>
    <xf numFmtId="39" fontId="116" fillId="0" borderId="69" xfId="33" applyNumberFormat="1" applyFont="1" applyBorder="1" applyAlignment="1" applyProtection="1">
      <alignment horizontal="right"/>
      <protection locked="0"/>
    </xf>
    <xf numFmtId="0" fontId="34" fillId="0" borderId="69" xfId="33" applyBorder="1" applyAlignment="1" applyProtection="1">
      <alignment horizontal="left" vertical="top"/>
      <protection locked="0"/>
    </xf>
    <xf numFmtId="39" fontId="116" fillId="0" borderId="69" xfId="154" applyNumberFormat="1" applyFont="1" applyBorder="1" applyAlignment="1" applyProtection="1">
      <alignment horizontal="right"/>
      <protection locked="0"/>
    </xf>
    <xf numFmtId="37" fontId="80" fillId="0" borderId="69" xfId="33" applyNumberFormat="1" applyFont="1" applyBorder="1" applyAlignment="1" applyProtection="1">
      <alignment horizontal="right"/>
      <protection locked="0"/>
    </xf>
    <xf numFmtId="49" fontId="80" fillId="0" borderId="69" xfId="33" applyNumberFormat="1" applyFont="1" applyBorder="1" applyAlignment="1" applyProtection="1">
      <alignment horizontal="left" wrapText="1"/>
      <protection locked="0"/>
    </xf>
    <xf numFmtId="0" fontId="80" fillId="0" borderId="69" xfId="33" applyFont="1" applyBorder="1" applyAlignment="1" applyProtection="1">
      <alignment horizontal="left" wrapText="1"/>
      <protection locked="0"/>
    </xf>
    <xf numFmtId="37" fontId="61" fillId="0" borderId="69" xfId="34" applyNumberFormat="1" applyFont="1" applyBorder="1" applyAlignment="1" applyProtection="1">
      <alignment horizontal="right"/>
      <protection locked="0"/>
    </xf>
    <xf numFmtId="0" fontId="61" fillId="0" borderId="69" xfId="34" applyFont="1" applyBorder="1" applyAlignment="1" applyProtection="1">
      <alignment horizontal="left" wrapText="1"/>
      <protection locked="0"/>
    </xf>
    <xf numFmtId="39" fontId="61" fillId="0" borderId="69" xfId="34" applyNumberFormat="1" applyFont="1" applyBorder="1" applyAlignment="1" applyProtection="1">
      <alignment horizontal="right"/>
      <protection locked="0"/>
    </xf>
    <xf numFmtId="0" fontId="29" fillId="0" borderId="69" xfId="34" applyFont="1" applyBorder="1" applyAlignment="1" applyProtection="1">
      <alignment horizontal="left" vertical="top"/>
      <protection locked="0"/>
    </xf>
    <xf numFmtId="0" fontId="29" fillId="0" borderId="0" xfId="34" applyFont="1"/>
    <xf numFmtId="49" fontId="9" fillId="0" borderId="69" xfId="12" applyNumberFormat="1" applyFont="1" applyBorder="1" applyAlignment="1">
      <alignment horizontal="right" wrapText="1"/>
      <protection locked="0"/>
    </xf>
    <xf numFmtId="49" fontId="9" fillId="0" borderId="69" xfId="12" applyNumberFormat="1" applyFont="1" applyBorder="1" applyAlignment="1">
      <alignment horizontal="left" wrapText="1"/>
      <protection locked="0"/>
    </xf>
    <xf numFmtId="4" fontId="9" fillId="0" borderId="69" xfId="154" applyNumberFormat="1" applyFont="1" applyBorder="1" applyAlignment="1" applyProtection="1">
      <alignment shrinkToFit="1"/>
      <protection locked="0"/>
    </xf>
    <xf numFmtId="37" fontId="9" fillId="0" borderId="69" xfId="12" applyNumberFormat="1" applyFont="1" applyBorder="1" applyAlignment="1">
      <alignment horizontal="right"/>
      <protection locked="0"/>
    </xf>
    <xf numFmtId="0" fontId="54" fillId="0" borderId="69" xfId="12" applyFont="1" applyBorder="1" applyAlignment="1">
      <alignment horizontal="left" wrapText="1"/>
      <protection locked="0"/>
    </xf>
    <xf numFmtId="39" fontId="9" fillId="0" borderId="69" xfId="12" applyNumberFormat="1" applyFont="1" applyBorder="1" applyAlignment="1">
      <alignment horizontal="center"/>
      <protection locked="0"/>
    </xf>
    <xf numFmtId="39" fontId="80" fillId="0" borderId="69" xfId="33" applyNumberFormat="1" applyFont="1" applyBorder="1" applyAlignment="1" applyProtection="1">
      <alignment horizontal="right"/>
      <protection locked="0"/>
    </xf>
    <xf numFmtId="176" fontId="80" fillId="0" borderId="0" xfId="154" applyNumberFormat="1" applyFont="1" applyAlignment="1" applyProtection="1">
      <alignment horizontal="right"/>
      <protection locked="0"/>
    </xf>
    <xf numFmtId="0" fontId="172" fillId="0" borderId="0" xfId="25" applyFont="1" applyAlignment="1" applyProtection="1">
      <alignment horizontal="left" vertical="center"/>
    </xf>
    <xf numFmtId="0" fontId="112" fillId="0" borderId="0" xfId="140" applyFont="1" applyAlignment="1" applyProtection="1">
      <alignment horizontal="left" vertical="center"/>
      <protection locked="0"/>
    </xf>
    <xf numFmtId="2" fontId="162" fillId="0" borderId="0" xfId="140" applyNumberFormat="1" applyFont="1" applyAlignment="1" applyProtection="1">
      <alignment horizontal="left" vertical="center"/>
      <protection locked="0"/>
    </xf>
    <xf numFmtId="0" fontId="166" fillId="0" borderId="0" xfId="25" applyFont="1" applyAlignment="1" applyProtection="1">
      <alignment vertical="center"/>
    </xf>
    <xf numFmtId="0" fontId="71" fillId="0" borderId="0" xfId="25" applyFont="1" applyAlignment="1" applyProtection="1"/>
    <xf numFmtId="0" fontId="171" fillId="0" borderId="0" xfId="154" applyFont="1" applyAlignment="1" applyProtection="1">
      <alignment horizontal="left" vertical="center"/>
      <protection locked="0"/>
    </xf>
    <xf numFmtId="0" fontId="145" fillId="0" borderId="0" xfId="25" applyFont="1" applyAlignment="1">
      <alignment horizontal="left" vertical="center"/>
      <protection locked="0"/>
    </xf>
    <xf numFmtId="0" fontId="142" fillId="0" borderId="0" xfId="154" applyFont="1" applyAlignment="1" applyProtection="1">
      <alignment vertical="center"/>
      <protection locked="0"/>
    </xf>
    <xf numFmtId="2" fontId="151" fillId="0" borderId="0" xfId="154" applyNumberFormat="1" applyFont="1" applyAlignment="1" applyProtection="1">
      <alignment horizontal="left" vertical="center"/>
      <protection locked="0"/>
    </xf>
    <xf numFmtId="2" fontId="101" fillId="0" borderId="0" xfId="154" applyNumberFormat="1" applyFont="1" applyAlignment="1" applyProtection="1">
      <alignment horizontal="left" vertical="center"/>
      <protection locked="0"/>
    </xf>
    <xf numFmtId="0" fontId="101" fillId="0" borderId="0" xfId="154" applyFont="1" applyAlignment="1" applyProtection="1">
      <alignment horizontal="left" vertical="center"/>
      <protection locked="0"/>
    </xf>
    <xf numFmtId="0" fontId="29" fillId="0" borderId="0" xfId="154" applyFont="1" applyAlignment="1" applyProtection="1">
      <alignment horizontal="left" vertical="top"/>
      <protection locked="0"/>
    </xf>
    <xf numFmtId="2" fontId="82" fillId="0" borderId="0" xfId="154" applyNumberFormat="1" applyFont="1" applyAlignment="1" applyProtection="1">
      <alignment horizontal="left" vertical="center"/>
      <protection locked="0"/>
    </xf>
    <xf numFmtId="0" fontId="273" fillId="0" borderId="0" xfId="154" applyFont="1" applyAlignment="1" applyProtection="1">
      <alignment horizontal="left" vertical="top"/>
      <protection locked="0"/>
    </xf>
    <xf numFmtId="0" fontId="104" fillId="0" borderId="0" xfId="154" applyFont="1" applyAlignment="1" applyProtection="1">
      <alignment horizontal="left" vertical="center"/>
      <protection locked="0"/>
    </xf>
    <xf numFmtId="0" fontId="28" fillId="0" borderId="0" xfId="154" applyAlignment="1" applyProtection="1">
      <alignment horizontal="left"/>
      <protection locked="0"/>
    </xf>
    <xf numFmtId="0" fontId="100" fillId="0" borderId="0" xfId="33" applyFont="1" applyAlignment="1" applyProtection="1">
      <alignment horizontal="left" vertical="top"/>
      <protection locked="0"/>
    </xf>
    <xf numFmtId="0" fontId="145" fillId="0" borderId="0" xfId="154" applyFont="1" applyAlignment="1" applyProtection="1">
      <alignment horizontal="left" vertical="center"/>
      <protection locked="0"/>
    </xf>
    <xf numFmtId="0" fontId="201" fillId="0" borderId="0" xfId="154" applyFont="1" applyAlignment="1" applyProtection="1">
      <alignment horizontal="left" vertical="top"/>
      <protection locked="0"/>
    </xf>
    <xf numFmtId="0" fontId="17" fillId="0" borderId="0" xfId="154" applyFont="1" applyAlignment="1">
      <alignment vertical="center"/>
    </xf>
    <xf numFmtId="0" fontId="66" fillId="0" borderId="0" xfId="33" applyFont="1" applyAlignment="1" applyProtection="1">
      <alignment horizontal="right" vertical="top"/>
      <protection locked="0"/>
    </xf>
    <xf numFmtId="0" fontId="60" fillId="0" borderId="0" xfId="89" applyFont="1" applyAlignment="1" applyProtection="1">
      <alignment horizontal="left" vertical="center"/>
      <protection locked="0"/>
    </xf>
    <xf numFmtId="0" fontId="72" fillId="0" borderId="0" xfId="89" applyFont="1" applyAlignment="1" applyProtection="1">
      <alignment horizontal="left" vertical="center"/>
      <protection locked="0"/>
    </xf>
    <xf numFmtId="0" fontId="90" fillId="0" borderId="0" xfId="32" applyFont="1" applyAlignment="1" applyProtection="1">
      <alignment horizontal="left" vertical="center"/>
      <protection locked="0"/>
    </xf>
    <xf numFmtId="8" fontId="28" fillId="0" borderId="0" xfId="89" applyNumberFormat="1" applyAlignment="1" applyProtection="1">
      <alignment horizontal="left" vertical="top"/>
      <protection locked="0"/>
    </xf>
    <xf numFmtId="0" fontId="134" fillId="0" borderId="0" xfId="89" applyFont="1" applyAlignment="1" applyProtection="1">
      <alignment horizontal="left" vertical="center"/>
      <protection locked="0"/>
    </xf>
    <xf numFmtId="0" fontId="95" fillId="0" borderId="0" xfId="154" applyFont="1" applyAlignment="1" applyProtection="1">
      <alignment horizontal="left" vertical="center"/>
      <protection locked="0"/>
    </xf>
    <xf numFmtId="0" fontId="258" fillId="0" borderId="0" xfId="154" applyFont="1" applyAlignment="1" applyProtection="1">
      <alignment horizontal="left" vertical="center"/>
      <protection locked="0"/>
    </xf>
    <xf numFmtId="172" fontId="9" fillId="0" borderId="69" xfId="3" applyNumberFormat="1" applyFont="1" applyBorder="1" applyAlignment="1" applyProtection="1">
      <alignment horizontal="right" wrapText="1"/>
      <protection locked="0"/>
    </xf>
    <xf numFmtId="172" fontId="68" fillId="0" borderId="69" xfId="205" applyNumberFormat="1" applyFont="1" applyBorder="1" applyAlignment="1" applyProtection="1">
      <alignment horizontal="right"/>
      <protection locked="0"/>
    </xf>
    <xf numFmtId="172" fontId="54" fillId="0" borderId="69" xfId="33" applyNumberFormat="1" applyFont="1" applyBorder="1" applyAlignment="1" applyProtection="1">
      <alignment horizontal="right"/>
      <protection locked="0"/>
    </xf>
    <xf numFmtId="172" fontId="61" fillId="0" borderId="69" xfId="154" applyNumberFormat="1" applyFont="1" applyBorder="1" applyAlignment="1" applyProtection="1">
      <alignment horizontal="right"/>
      <protection locked="0"/>
    </xf>
    <xf numFmtId="172" fontId="9" fillId="0" borderId="69" xfId="154" applyNumberFormat="1" applyFont="1" applyBorder="1" applyAlignment="1" applyProtection="1">
      <alignment horizontal="right"/>
      <protection locked="0"/>
    </xf>
    <xf numFmtId="172" fontId="54" fillId="0" borderId="69" xfId="154" applyNumberFormat="1" applyFont="1" applyBorder="1" applyAlignment="1" applyProtection="1">
      <alignment horizontal="right"/>
      <protection locked="0"/>
    </xf>
    <xf numFmtId="172" fontId="61" fillId="0" borderId="69" xfId="25" applyNumberFormat="1" applyFont="1" applyBorder="1" applyAlignment="1">
      <alignment horizontal="right"/>
      <protection locked="0"/>
    </xf>
    <xf numFmtId="172" fontId="9" fillId="0" borderId="69" xfId="154" applyNumberFormat="1" applyFont="1" applyBorder="1" applyProtection="1">
      <protection locked="0"/>
    </xf>
    <xf numFmtId="172" fontId="61" fillId="0" borderId="69" xfId="154" applyNumberFormat="1" applyFont="1" applyBorder="1" applyAlignment="1" applyProtection="1">
      <alignment horizontal="left" wrapText="1"/>
      <protection locked="0"/>
    </xf>
    <xf numFmtId="172" fontId="9" fillId="0" borderId="69" xfId="33" applyNumberFormat="1" applyFont="1" applyBorder="1" applyAlignment="1" applyProtection="1">
      <alignment horizontal="right"/>
      <protection locked="0"/>
    </xf>
    <xf numFmtId="172" fontId="68" fillId="0" borderId="69" xfId="154" applyNumberFormat="1" applyFont="1" applyBorder="1" applyAlignment="1" applyProtection="1">
      <alignment horizontal="right" wrapText="1"/>
      <protection locked="0"/>
    </xf>
    <xf numFmtId="172" fontId="9" fillId="0" borderId="69" xfId="38" applyNumberFormat="1" applyFont="1" applyBorder="1" applyAlignment="1">
      <alignment horizontal="right"/>
      <protection locked="0"/>
    </xf>
    <xf numFmtId="172" fontId="80" fillId="0" borderId="69" xfId="38" applyNumberFormat="1" applyFont="1" applyBorder="1" applyAlignment="1">
      <alignment horizontal="right"/>
      <protection locked="0"/>
    </xf>
    <xf numFmtId="172" fontId="54" fillId="0" borderId="69" xfId="38" applyNumberFormat="1" applyFont="1" applyBorder="1" applyAlignment="1">
      <alignment horizontal="right"/>
      <protection locked="0"/>
    </xf>
    <xf numFmtId="172" fontId="9" fillId="0" borderId="69" xfId="33" applyNumberFormat="1" applyFont="1" applyBorder="1" applyAlignment="1">
      <alignment shrinkToFit="1"/>
    </xf>
    <xf numFmtId="172" fontId="54" fillId="0" borderId="69" xfId="33" applyNumberFormat="1" applyFont="1" applyBorder="1" applyAlignment="1" applyProtection="1">
      <alignment horizontal="right" wrapText="1"/>
      <protection locked="0"/>
    </xf>
    <xf numFmtId="172" fontId="29" fillId="0" borderId="0" xfId="26" applyNumberFormat="1" applyAlignment="1">
      <alignment horizontal="left" vertical="top"/>
      <protection locked="0"/>
    </xf>
    <xf numFmtId="172" fontId="54" fillId="0" borderId="69" xfId="12" applyNumberFormat="1" applyFont="1" applyBorder="1" applyAlignment="1">
      <alignment horizontal="right"/>
      <protection locked="0"/>
    </xf>
    <xf numFmtId="172" fontId="54" fillId="0" borderId="69" xfId="154" applyNumberFormat="1" applyFont="1" applyBorder="1" applyProtection="1">
      <protection locked="0"/>
    </xf>
    <xf numFmtId="172" fontId="54" fillId="0" borderId="69" xfId="154" applyNumberFormat="1" applyFont="1" applyBorder="1" applyAlignment="1" applyProtection="1">
      <alignment horizontal="right" wrapText="1"/>
      <protection locked="0"/>
    </xf>
    <xf numFmtId="172" fontId="28" fillId="0" borderId="0" xfId="154" applyNumberFormat="1" applyAlignment="1" applyProtection="1">
      <alignment horizontal="left" vertical="top"/>
      <protection locked="0"/>
    </xf>
    <xf numFmtId="172" fontId="9" fillId="0" borderId="69" xfId="154" applyNumberFormat="1" applyFont="1" applyBorder="1" applyAlignment="1" applyProtection="1">
      <alignment horizontal="right" vertical="center"/>
      <protection locked="0"/>
    </xf>
    <xf numFmtId="172" fontId="54" fillId="0" borderId="69" xfId="154" applyNumberFormat="1" applyFont="1" applyBorder="1" applyAlignment="1" applyProtection="1">
      <alignment horizontal="right" vertical="center"/>
      <protection locked="0"/>
    </xf>
    <xf numFmtId="172" fontId="61" fillId="0" borderId="18" xfId="154" applyNumberFormat="1" applyFont="1" applyBorder="1" applyAlignment="1" applyProtection="1">
      <alignment horizontal="right"/>
      <protection locked="0"/>
    </xf>
    <xf numFmtId="172" fontId="61" fillId="0" borderId="69" xfId="34" applyNumberFormat="1" applyFont="1" applyBorder="1" applyAlignment="1" applyProtection="1">
      <alignment horizontal="right"/>
      <protection locked="0"/>
    </xf>
    <xf numFmtId="172" fontId="9" fillId="0" borderId="69" xfId="12" applyNumberFormat="1" applyFont="1" applyBorder="1" applyAlignment="1">
      <alignment horizontal="right"/>
      <protection locked="0"/>
    </xf>
    <xf numFmtId="37" fontId="274" fillId="0" borderId="34" xfId="142" applyNumberFormat="1" applyFont="1" applyBorder="1" applyAlignment="1" applyProtection="1">
      <alignment horizontal="right"/>
      <protection locked="0"/>
    </xf>
    <xf numFmtId="1" fontId="274" fillId="0" borderId="34" xfId="142" applyNumberFormat="1" applyFont="1" applyBorder="1" applyAlignment="1">
      <alignment horizontal="right" wrapText="1"/>
    </xf>
    <xf numFmtId="49" fontId="274" fillId="0" borderId="34" xfId="178" applyNumberFormat="1" applyFont="1" applyBorder="1" applyAlignment="1">
      <alignment horizontal="right"/>
      <protection locked="0"/>
    </xf>
    <xf numFmtId="172" fontId="274" fillId="0" borderId="34" xfId="154" applyNumberFormat="1" applyFont="1" applyBorder="1" applyAlignment="1" applyProtection="1">
      <alignment horizontal="right"/>
      <protection locked="0"/>
    </xf>
    <xf numFmtId="49" fontId="274" fillId="0" borderId="34" xfId="154" applyNumberFormat="1" applyFont="1" applyBorder="1" applyAlignment="1" applyProtection="1">
      <alignment horizontal="right"/>
      <protection locked="0"/>
    </xf>
    <xf numFmtId="0" fontId="274" fillId="0" borderId="34" xfId="154" applyFont="1" applyBorder="1" applyAlignment="1" applyProtection="1">
      <alignment horizontal="left" wrapText="1"/>
      <protection locked="0"/>
    </xf>
    <xf numFmtId="0" fontId="274" fillId="0" borderId="34" xfId="3" applyFont="1" applyBorder="1" applyAlignment="1" applyProtection="1">
      <alignment horizontal="left" wrapText="1"/>
      <protection locked="0"/>
    </xf>
    <xf numFmtId="4" fontId="274" fillId="9" borderId="34" xfId="154" applyNumberFormat="1" applyFont="1" applyFill="1" applyBorder="1" applyAlignment="1" applyProtection="1">
      <alignment horizontal="right"/>
      <protection locked="0"/>
    </xf>
    <xf numFmtId="39" fontId="274" fillId="0" borderId="34" xfId="12" applyNumberFormat="1" applyFont="1" applyBorder="1" applyAlignment="1">
      <alignment horizontal="center"/>
      <protection locked="0"/>
    </xf>
    <xf numFmtId="4" fontId="274" fillId="0" borderId="34" xfId="154" applyNumberFormat="1" applyFont="1" applyBorder="1" applyAlignment="1" applyProtection="1">
      <alignment horizontal="right"/>
      <protection locked="0"/>
    </xf>
    <xf numFmtId="172" fontId="274" fillId="0" borderId="34" xfId="154" applyNumberFormat="1" applyFont="1" applyBorder="1" applyProtection="1">
      <protection locked="0"/>
    </xf>
    <xf numFmtId="4" fontId="274" fillId="0" borderId="34" xfId="183" applyNumberFormat="1" applyFont="1" applyBorder="1" applyAlignment="1" applyProtection="1">
      <alignment horizontal="right"/>
      <protection locked="0"/>
    </xf>
    <xf numFmtId="39" fontId="274" fillId="0" borderId="34" xfId="154" applyNumberFormat="1" applyFont="1" applyBorder="1" applyAlignment="1" applyProtection="1">
      <alignment horizontal="center"/>
      <protection locked="0"/>
    </xf>
    <xf numFmtId="39" fontId="275" fillId="0" borderId="0" xfId="154" applyNumberFormat="1" applyFont="1" applyAlignment="1" applyProtection="1">
      <alignment horizontal="center"/>
      <protection locked="0"/>
    </xf>
    <xf numFmtId="0" fontId="276" fillId="0" borderId="0" xfId="154" applyFont="1"/>
    <xf numFmtId="0" fontId="277" fillId="0" borderId="0" xfId="154" applyFont="1"/>
    <xf numFmtId="176" fontId="277" fillId="0" borderId="0" xfId="154" applyNumberFormat="1" applyFont="1" applyAlignment="1" applyProtection="1">
      <alignment horizontal="right" vertical="top"/>
      <protection locked="0"/>
    </xf>
    <xf numFmtId="0" fontId="278" fillId="0" borderId="34" xfId="154" applyFont="1" applyBorder="1" applyAlignment="1" applyProtection="1">
      <alignment horizontal="right" vertical="center"/>
      <protection locked="0"/>
    </xf>
    <xf numFmtId="0" fontId="279" fillId="0" borderId="0" xfId="154" applyFont="1" applyAlignment="1" applyProtection="1">
      <alignment horizontal="left" vertical="center"/>
      <protection locked="0"/>
    </xf>
    <xf numFmtId="0" fontId="280" fillId="0" borderId="37" xfId="154" applyFont="1" applyBorder="1" applyAlignment="1" applyProtection="1">
      <alignment horizontal="left" vertical="top"/>
      <protection locked="0"/>
    </xf>
    <xf numFmtId="0" fontId="276" fillId="0" borderId="0" xfId="154" applyFont="1" applyAlignment="1">
      <alignment vertical="top" wrapText="1"/>
    </xf>
    <xf numFmtId="0" fontId="277" fillId="0" borderId="0" xfId="154" applyFont="1" applyAlignment="1">
      <alignment vertical="top"/>
    </xf>
    <xf numFmtId="0" fontId="281" fillId="0" borderId="0" xfId="146" applyFont="1" applyFill="1" applyBorder="1" applyAlignment="1" applyProtection="1">
      <alignment horizontal="left" vertical="top"/>
      <protection locked="0"/>
    </xf>
    <xf numFmtId="0" fontId="282" fillId="0" borderId="0" xfId="154" applyFont="1" applyAlignment="1" applyProtection="1">
      <alignment horizontal="left" vertical="center"/>
      <protection locked="0"/>
    </xf>
    <xf numFmtId="0" fontId="280" fillId="0" borderId="37" xfId="154" applyFont="1" applyBorder="1" applyAlignment="1" applyProtection="1">
      <alignment horizontal="center" vertical="top" wrapText="1"/>
      <protection locked="0"/>
    </xf>
    <xf numFmtId="1" fontId="274" fillId="0" borderId="34" xfId="142" applyNumberFormat="1" applyFont="1" applyBorder="1" applyAlignment="1" applyProtection="1">
      <alignment horizontal="right"/>
      <protection locked="0"/>
    </xf>
    <xf numFmtId="0" fontId="60" fillId="0" borderId="0" xfId="154" applyFont="1" applyAlignment="1">
      <alignment horizontal="left" vertical="top"/>
    </xf>
    <xf numFmtId="2" fontId="64" fillId="0" borderId="0" xfId="154" applyNumberFormat="1" applyFont="1" applyAlignment="1" applyProtection="1">
      <alignment horizontal="left" vertical="center"/>
      <protection locked="0"/>
    </xf>
    <xf numFmtId="0" fontId="65" fillId="0" borderId="0" xfId="154" applyFont="1" applyAlignment="1" applyProtection="1">
      <alignment horizontal="left" vertical="top"/>
      <protection locked="0"/>
    </xf>
    <xf numFmtId="0" fontId="57" fillId="0" borderId="0" xfId="154" applyFont="1" applyAlignment="1" applyProtection="1">
      <alignment horizontal="left" vertical="center"/>
      <protection locked="0"/>
    </xf>
    <xf numFmtId="0" fontId="66" fillId="0" borderId="0" xfId="154" applyFont="1" applyAlignment="1" applyProtection="1">
      <alignment horizontal="right" vertical="top"/>
      <protection locked="0"/>
    </xf>
    <xf numFmtId="0" fontId="71" fillId="0" borderId="0" xfId="25" applyFont="1" applyAlignment="1" applyProtection="1">
      <alignment vertical="center"/>
    </xf>
    <xf numFmtId="0" fontId="72" fillId="0" borderId="0" xfId="154" applyFont="1" applyAlignment="1" applyProtection="1">
      <alignment horizontal="left" vertical="center"/>
      <protection locked="0"/>
    </xf>
    <xf numFmtId="0" fontId="72" fillId="0" borderId="0" xfId="33" applyFont="1" applyAlignment="1" applyProtection="1">
      <alignment horizontal="left" vertical="center"/>
      <protection locked="0"/>
    </xf>
    <xf numFmtId="39" fontId="60" fillId="0" borderId="0" xfId="154" applyNumberFormat="1" applyFont="1" applyAlignment="1" applyProtection="1">
      <alignment horizontal="left" vertical="center"/>
      <protection locked="0"/>
    </xf>
    <xf numFmtId="0" fontId="67" fillId="0" borderId="0" xfId="26" applyFont="1" applyAlignment="1" applyProtection="1"/>
    <xf numFmtId="0" fontId="76" fillId="0" borderId="0" xfId="3" applyFont="1" applyAlignment="1">
      <alignment vertical="center"/>
    </xf>
    <xf numFmtId="2" fontId="77" fillId="0" borderId="0" xfId="140" applyNumberFormat="1" applyFont="1" applyAlignment="1" applyProtection="1">
      <alignment horizontal="left" vertical="center"/>
      <protection locked="0"/>
    </xf>
    <xf numFmtId="2" fontId="24" fillId="0" borderId="0" xfId="140" applyNumberFormat="1" applyAlignment="1" applyProtection="1">
      <alignment horizontal="left" vertical="top"/>
      <protection locked="0"/>
    </xf>
    <xf numFmtId="2" fontId="67" fillId="0" borderId="0" xfId="140" applyNumberFormat="1" applyFont="1"/>
    <xf numFmtId="0" fontId="11" fillId="0" borderId="0" xfId="142" applyAlignment="1" applyProtection="1">
      <alignment horizontal="left" vertical="center"/>
      <protection locked="0"/>
    </xf>
    <xf numFmtId="0" fontId="79" fillId="0" borderId="0" xfId="140" applyFont="1" applyAlignment="1" applyProtection="1">
      <alignment horizontal="left" vertical="center"/>
      <protection locked="0"/>
    </xf>
    <xf numFmtId="0" fontId="68" fillId="0" borderId="35" xfId="3" applyFont="1" applyBorder="1" applyAlignment="1" applyProtection="1">
      <alignment horizontal="left" wrapText="1"/>
      <protection locked="0"/>
    </xf>
    <xf numFmtId="0" fontId="12" fillId="0" borderId="0" xfId="89" applyFont="1" applyAlignment="1" applyProtection="1">
      <alignment horizontal="left" vertical="center"/>
      <protection locked="0"/>
    </xf>
    <xf numFmtId="0" fontId="9" fillId="0" borderId="0" xfId="142" applyFont="1" applyAlignment="1" applyProtection="1">
      <alignment horizontal="left" vertical="top"/>
      <protection locked="0"/>
    </xf>
    <xf numFmtId="0" fontId="17" fillId="0" borderId="0" xfId="142" applyFont="1" applyAlignment="1" applyProtection="1">
      <alignment horizontal="left" vertical="top"/>
      <protection locked="0"/>
    </xf>
    <xf numFmtId="0" fontId="29" fillId="0" borderId="0" xfId="142" applyFont="1" applyAlignment="1" applyProtection="1">
      <alignment horizontal="left" vertical="top"/>
      <protection locked="0"/>
    </xf>
    <xf numFmtId="0" fontId="84" fillId="0" borderId="0" xfId="142" applyFont="1" applyAlignment="1" applyProtection="1">
      <alignment horizontal="left" vertical="top"/>
      <protection locked="0"/>
    </xf>
    <xf numFmtId="0" fontId="85" fillId="0" borderId="0" xfId="142" applyFont="1" applyAlignment="1" applyProtection="1">
      <alignment horizontal="left" vertical="top"/>
      <protection locked="0"/>
    </xf>
    <xf numFmtId="0" fontId="68" fillId="0" borderId="0" xfId="142" applyFont="1" applyAlignment="1" applyProtection="1">
      <alignment horizontal="left" vertical="top"/>
      <protection locked="0"/>
    </xf>
    <xf numFmtId="0" fontId="90" fillId="0" borderId="0" xfId="38" applyFont="1" applyAlignment="1">
      <alignment vertical="center"/>
      <protection locked="0"/>
    </xf>
    <xf numFmtId="0" fontId="91" fillId="0" borderId="0" xfId="154" applyFont="1" applyAlignment="1" applyProtection="1">
      <alignment horizontal="left" vertical="center"/>
      <protection locked="0"/>
    </xf>
    <xf numFmtId="0" fontId="9" fillId="0" borderId="0" xfId="142" applyFont="1" applyAlignment="1" applyProtection="1">
      <alignment horizontal="left" vertical="center"/>
      <protection locked="0"/>
    </xf>
    <xf numFmtId="0" fontId="9" fillId="0" borderId="0" xfId="154" applyFont="1" applyAlignment="1" applyProtection="1">
      <alignment horizontal="left" vertical="top"/>
      <protection locked="0"/>
    </xf>
    <xf numFmtId="0" fontId="72" fillId="0" borderId="0" xfId="154" applyFont="1" applyAlignment="1" applyProtection="1">
      <alignment horizontal="left" vertical="top"/>
      <protection locked="0"/>
    </xf>
    <xf numFmtId="0" fontId="92" fillId="0" borderId="0" xfId="154" applyFont="1" applyAlignment="1" applyProtection="1">
      <alignment horizontal="right" vertical="top"/>
      <protection locked="0"/>
    </xf>
    <xf numFmtId="0" fontId="92" fillId="0" borderId="0" xfId="154" applyFont="1" applyAlignment="1" applyProtection="1">
      <alignment horizontal="left" vertical="top"/>
      <protection locked="0"/>
    </xf>
    <xf numFmtId="0" fontId="93" fillId="0" borderId="0" xfId="154" applyFont="1" applyAlignment="1" applyProtection="1">
      <alignment horizontal="left" vertical="top"/>
      <protection locked="0"/>
    </xf>
    <xf numFmtId="0" fontId="94" fillId="0" borderId="0" xfId="154" applyFont="1" applyAlignment="1" applyProtection="1">
      <alignment horizontal="left" vertical="top"/>
      <protection locked="0"/>
    </xf>
    <xf numFmtId="0" fontId="90" fillId="0" borderId="0" xfId="154" applyFont="1" applyAlignment="1" applyProtection="1">
      <alignment horizontal="center" vertical="center"/>
      <protection locked="0"/>
    </xf>
    <xf numFmtId="0" fontId="36" fillId="0" borderId="0" xfId="25" applyFont="1" applyAlignment="1">
      <alignment horizontal="left" vertical="top"/>
      <protection locked="0"/>
    </xf>
    <xf numFmtId="0" fontId="95" fillId="0" borderId="0" xfId="25" applyFont="1" applyAlignment="1">
      <alignment horizontal="left" vertical="top"/>
      <protection locked="0"/>
    </xf>
    <xf numFmtId="0" fontId="11" fillId="0" borderId="0" xfId="25" applyFont="1" applyAlignment="1">
      <alignment vertical="top" wrapText="1"/>
      <protection locked="0"/>
    </xf>
    <xf numFmtId="0" fontId="62" fillId="0" borderId="0" xfId="154" applyFont="1" applyAlignment="1" applyProtection="1">
      <alignment horizontal="left" vertical="center"/>
      <protection locked="0"/>
    </xf>
    <xf numFmtId="0" fontId="96" fillId="0" borderId="0" xfId="154" applyFont="1" applyAlignment="1" applyProtection="1">
      <alignment horizontal="left" vertical="center"/>
      <protection locked="0"/>
    </xf>
    <xf numFmtId="0" fontId="96" fillId="0" borderId="0" xfId="154" applyFont="1" applyAlignment="1" applyProtection="1">
      <alignment horizontal="left" vertical="top"/>
      <protection locked="0"/>
    </xf>
    <xf numFmtId="0" fontId="137" fillId="0" borderId="0" xfId="142" applyFont="1" applyAlignment="1" applyProtection="1">
      <alignment horizontal="left" vertical="center"/>
      <protection locked="0"/>
    </xf>
    <xf numFmtId="0" fontId="36" fillId="0" borderId="0" xfId="142" applyFont="1" applyAlignment="1" applyProtection="1">
      <alignment horizontal="left" vertical="top"/>
      <protection locked="0"/>
    </xf>
    <xf numFmtId="0" fontId="97" fillId="0" borderId="0" xfId="142" applyFont="1" applyAlignment="1" applyProtection="1">
      <alignment horizontal="left" vertical="top"/>
      <protection locked="0"/>
    </xf>
    <xf numFmtId="0" fontId="93" fillId="0" borderId="0" xfId="142" applyFont="1" applyAlignment="1" applyProtection="1">
      <alignment horizontal="left" vertical="top"/>
      <protection locked="0"/>
    </xf>
    <xf numFmtId="49" fontId="36" fillId="0" borderId="0" xfId="154" applyNumberFormat="1" applyFont="1" applyAlignment="1" applyProtection="1">
      <alignment horizontal="left" vertical="center"/>
      <protection locked="0"/>
    </xf>
    <xf numFmtId="0" fontId="98" fillId="0" borderId="0" xfId="154" applyFont="1" applyAlignment="1" applyProtection="1">
      <alignment horizontal="right" vertical="center"/>
      <protection locked="0"/>
    </xf>
    <xf numFmtId="0" fontId="57" fillId="0" borderId="0" xfId="154" applyFont="1" applyAlignment="1" applyProtection="1">
      <alignment vertical="top"/>
      <protection locked="0"/>
    </xf>
    <xf numFmtId="173" fontId="38" fillId="0" borderId="0" xfId="154" applyNumberFormat="1" applyFont="1" applyAlignment="1" applyProtection="1">
      <alignment vertical="center"/>
      <protection locked="0"/>
    </xf>
    <xf numFmtId="0" fontId="99" fillId="0" borderId="0" xfId="154" applyFont="1" applyAlignment="1" applyProtection="1">
      <alignment vertical="center"/>
      <protection locked="0"/>
    </xf>
    <xf numFmtId="0" fontId="36" fillId="0" borderId="0" xfId="154" applyFont="1" applyAlignment="1" applyProtection="1">
      <alignment horizontal="left" vertical="top"/>
      <protection locked="0"/>
    </xf>
    <xf numFmtId="0" fontId="97" fillId="0" borderId="0" xfId="154" applyFont="1" applyAlignment="1" applyProtection="1">
      <alignment horizontal="left" vertical="top"/>
      <protection locked="0"/>
    </xf>
    <xf numFmtId="0" fontId="102" fillId="0" borderId="0" xfId="154" applyFont="1" applyAlignment="1" applyProtection="1">
      <alignment vertical="center"/>
      <protection locked="0"/>
    </xf>
    <xf numFmtId="0" fontId="103" fillId="0" borderId="0" xfId="154" applyFont="1" applyAlignment="1" applyProtection="1">
      <alignment horizontal="left" vertical="center"/>
      <protection locked="0"/>
    </xf>
    <xf numFmtId="2" fontId="105" fillId="0" borderId="0" xfId="154" applyNumberFormat="1" applyFont="1" applyAlignment="1" applyProtection="1">
      <alignment horizontal="left" vertical="center"/>
      <protection locked="0"/>
    </xf>
    <xf numFmtId="0" fontId="57" fillId="0" borderId="0" xfId="154" applyFont="1" applyAlignment="1" applyProtection="1">
      <alignment horizontal="center" vertical="center"/>
      <protection locked="0"/>
    </xf>
    <xf numFmtId="0" fontId="72" fillId="0" borderId="0" xfId="154" applyFont="1" applyAlignment="1" applyProtection="1">
      <alignment horizontal="right" vertical="top"/>
      <protection locked="0"/>
    </xf>
    <xf numFmtId="0" fontId="93" fillId="0" borderId="0" xfId="154" applyFont="1" applyAlignment="1" applyProtection="1">
      <alignment vertical="top"/>
      <protection locked="0"/>
    </xf>
    <xf numFmtId="0" fontId="72" fillId="0" borderId="0" xfId="154" applyFont="1" applyAlignment="1" applyProtection="1">
      <alignment vertical="top"/>
      <protection locked="0"/>
    </xf>
    <xf numFmtId="0" fontId="72" fillId="0" borderId="0" xfId="154" applyFont="1" applyAlignment="1" applyProtection="1">
      <alignment horizontal="right"/>
      <protection locked="0"/>
    </xf>
    <xf numFmtId="0" fontId="17" fillId="0" borderId="0" xfId="12" applyFont="1" applyAlignment="1">
      <alignment horizontal="left" vertical="top"/>
      <protection locked="0"/>
    </xf>
    <xf numFmtId="0" fontId="85" fillId="0" borderId="0" xfId="12" applyFont="1" applyAlignment="1">
      <alignment horizontal="left" vertical="top"/>
      <protection locked="0"/>
    </xf>
    <xf numFmtId="0" fontId="95" fillId="0" borderId="0" xfId="12" applyFont="1" applyAlignment="1">
      <alignment horizontal="left" vertical="top"/>
      <protection locked="0"/>
    </xf>
    <xf numFmtId="0" fontId="11" fillId="0" borderId="0" xfId="26" applyFont="1" applyAlignment="1">
      <alignment horizontal="left" vertical="top"/>
      <protection locked="0"/>
    </xf>
    <xf numFmtId="0" fontId="36" fillId="0" borderId="0" xfId="12" applyFont="1" applyAlignment="1">
      <alignment horizontal="left" vertical="center"/>
      <protection locked="0"/>
    </xf>
    <xf numFmtId="4" fontId="108" fillId="0" borderId="0" xfId="154" applyNumberFormat="1" applyFont="1" applyAlignment="1" applyProtection="1">
      <alignment horizontal="left" vertical="center"/>
      <protection locked="0"/>
    </xf>
    <xf numFmtId="0" fontId="109" fillId="0" borderId="0" xfId="154" applyFont="1" applyAlignment="1" applyProtection="1">
      <alignment horizontal="left" vertical="center"/>
      <protection locked="0"/>
    </xf>
    <xf numFmtId="37" fontId="73" fillId="0" borderId="0" xfId="154" applyNumberFormat="1" applyFont="1" applyAlignment="1" applyProtection="1">
      <alignment horizontal="right"/>
      <protection locked="0"/>
    </xf>
    <xf numFmtId="0" fontId="73" fillId="0" borderId="0" xfId="154" applyFont="1" applyAlignment="1" applyProtection="1">
      <alignment horizontal="left" wrapText="1"/>
      <protection locked="0"/>
    </xf>
    <xf numFmtId="0" fontId="75" fillId="0" borderId="0" xfId="154" applyFont="1" applyAlignment="1" applyProtection="1">
      <alignment horizontal="left" wrapText="1"/>
      <protection locked="0"/>
    </xf>
    <xf numFmtId="2" fontId="73" fillId="0" borderId="0" xfId="154" applyNumberFormat="1" applyFont="1" applyAlignment="1" applyProtection="1">
      <alignment horizontal="right"/>
      <protection locked="0"/>
    </xf>
    <xf numFmtId="39" fontId="73" fillId="0" borderId="0" xfId="154" applyNumberFormat="1" applyFont="1" applyAlignment="1" applyProtection="1">
      <alignment horizontal="right"/>
      <protection locked="0"/>
    </xf>
    <xf numFmtId="0" fontId="109" fillId="0" borderId="0" xfId="154" applyFont="1" applyAlignment="1" applyProtection="1">
      <alignment horizontal="right" vertical="center"/>
      <protection locked="0"/>
    </xf>
    <xf numFmtId="0" fontId="99" fillId="0" borderId="0" xfId="154" applyFont="1" applyAlignment="1" applyProtection="1">
      <alignment horizontal="left" vertical="center"/>
      <protection locked="0"/>
    </xf>
    <xf numFmtId="0" fontId="110" fillId="0" borderId="0" xfId="154" applyFont="1" applyAlignment="1" applyProtection="1">
      <alignment horizontal="left" vertical="center"/>
      <protection locked="0"/>
    </xf>
    <xf numFmtId="0" fontId="92" fillId="0" borderId="0" xfId="154" applyFont="1" applyAlignment="1" applyProtection="1">
      <alignment horizontal="right"/>
      <protection locked="0"/>
    </xf>
    <xf numFmtId="0" fontId="62" fillId="0" borderId="0" xfId="12" applyFont="1" applyAlignment="1">
      <alignment horizontal="center" vertical="center"/>
      <protection locked="0"/>
    </xf>
    <xf numFmtId="0" fontId="68" fillId="0" borderId="0" xfId="154" applyFont="1" applyAlignment="1">
      <alignment horizontal="left"/>
    </xf>
    <xf numFmtId="0" fontId="112" fillId="0" borderId="0" xfId="23" applyFont="1" applyAlignment="1">
      <alignment horizontal="left" vertical="center"/>
      <protection locked="0"/>
    </xf>
    <xf numFmtId="0" fontId="18" fillId="0" borderId="0" xfId="23" applyFont="1" applyAlignment="1">
      <alignment horizontal="right" vertical="top"/>
      <protection locked="0"/>
    </xf>
    <xf numFmtId="0" fontId="9" fillId="0" borderId="0" xfId="142" applyFont="1" applyAlignment="1" applyProtection="1">
      <alignment vertical="top"/>
      <protection locked="0"/>
    </xf>
    <xf numFmtId="172" fontId="113" fillId="0" borderId="0" xfId="154" applyNumberFormat="1" applyFont="1" applyAlignment="1" applyProtection="1">
      <alignment horizontal="right" vertical="top"/>
      <protection locked="0"/>
    </xf>
    <xf numFmtId="0" fontId="62" fillId="0" borderId="0" xfId="33" applyFont="1" applyAlignment="1" applyProtection="1">
      <alignment horizontal="left" vertical="center"/>
      <protection locked="0"/>
    </xf>
    <xf numFmtId="0" fontId="61" fillId="0" borderId="0" xfId="33" applyFont="1" applyAlignment="1" applyProtection="1">
      <alignment horizontal="left" vertical="center"/>
      <protection locked="0"/>
    </xf>
    <xf numFmtId="4" fontId="97" fillId="0" borderId="0" xfId="142" applyNumberFormat="1" applyFont="1" applyAlignment="1" applyProtection="1">
      <alignment horizontal="left" vertical="top"/>
      <protection locked="0"/>
    </xf>
    <xf numFmtId="0" fontId="115" fillId="0" borderId="0" xfId="142" applyFont="1" applyAlignment="1" applyProtection="1">
      <alignment horizontal="left" vertical="top"/>
      <protection locked="0"/>
    </xf>
    <xf numFmtId="0" fontId="60" fillId="0" borderId="0" xfId="33" applyFont="1" applyAlignment="1" applyProtection="1">
      <alignment horizontal="left" vertical="center"/>
      <protection locked="0"/>
    </xf>
    <xf numFmtId="0" fontId="90" fillId="0" borderId="0" xfId="142" applyFont="1" applyAlignment="1" applyProtection="1">
      <alignment horizontal="left" vertical="center"/>
      <protection locked="0"/>
    </xf>
    <xf numFmtId="0" fontId="96" fillId="0" borderId="0" xfId="142" applyFont="1" applyAlignment="1" applyProtection="1">
      <alignment horizontal="left" vertical="top"/>
      <protection locked="0"/>
    </xf>
    <xf numFmtId="4" fontId="11" fillId="0" borderId="0" xfId="142" applyNumberFormat="1" applyAlignment="1" applyProtection="1">
      <alignment horizontal="right"/>
      <protection locked="0"/>
    </xf>
    <xf numFmtId="0" fontId="9" fillId="0" borderId="0" xfId="23" applyFont="1" applyAlignment="1">
      <alignment horizontal="left" vertical="top"/>
      <protection locked="0"/>
    </xf>
    <xf numFmtId="4" fontId="9" fillId="0" borderId="0" xfId="23" applyNumberFormat="1" applyFont="1" applyAlignment="1">
      <alignment horizontal="left" vertical="top"/>
      <protection locked="0"/>
    </xf>
    <xf numFmtId="0" fontId="57" fillId="0" borderId="0" xfId="154" applyFont="1" applyAlignment="1" applyProtection="1">
      <alignment horizontal="right" vertical="center"/>
      <protection locked="0"/>
    </xf>
    <xf numFmtId="0" fontId="3" fillId="0" borderId="0" xfId="154" applyFont="1" applyAlignment="1" applyProtection="1">
      <alignment horizontal="left" vertical="center"/>
      <protection locked="0"/>
    </xf>
    <xf numFmtId="174" fontId="28" fillId="0" borderId="0" xfId="154" applyNumberFormat="1" applyAlignment="1" applyProtection="1">
      <alignment horizontal="left" vertical="center"/>
      <protection locked="0"/>
    </xf>
    <xf numFmtId="0" fontId="57" fillId="0" borderId="0" xfId="154" applyFont="1" applyAlignment="1" applyProtection="1">
      <alignment horizontal="right" vertical="center" wrapText="1"/>
      <protection locked="0"/>
    </xf>
    <xf numFmtId="174" fontId="28" fillId="0" borderId="0" xfId="154" applyNumberFormat="1" applyAlignment="1" applyProtection="1">
      <alignment horizontal="right" vertical="center"/>
      <protection locked="0"/>
    </xf>
    <xf numFmtId="0" fontId="57" fillId="0" borderId="0" xfId="154" applyFont="1" applyAlignment="1" applyProtection="1">
      <alignment horizontal="center" vertical="center" wrapText="1"/>
      <protection locked="0"/>
    </xf>
    <xf numFmtId="0" fontId="119" fillId="0" borderId="0" xfId="154" applyFont="1" applyAlignment="1" applyProtection="1">
      <alignment horizontal="right" vertical="center"/>
      <protection locked="0"/>
    </xf>
    <xf numFmtId="174" fontId="120" fillId="0" borderId="0" xfId="154" applyNumberFormat="1" applyFont="1" applyAlignment="1" applyProtection="1">
      <alignment horizontal="right" vertical="center"/>
      <protection locked="0"/>
    </xf>
    <xf numFmtId="0" fontId="121" fillId="0" borderId="0" xfId="142" applyFont="1" applyAlignment="1" applyProtection="1">
      <alignment vertical="top" wrapText="1"/>
      <protection locked="0"/>
    </xf>
    <xf numFmtId="174" fontId="122" fillId="0" borderId="0" xfId="154" applyNumberFormat="1" applyFont="1" applyAlignment="1" applyProtection="1">
      <alignment horizontal="right" vertical="center"/>
      <protection locked="0"/>
    </xf>
    <xf numFmtId="174" fontId="86" fillId="0" borderId="0" xfId="154" applyNumberFormat="1" applyFont="1" applyAlignment="1" applyProtection="1">
      <alignment horizontal="left" vertical="center"/>
      <protection locked="0"/>
    </xf>
    <xf numFmtId="39" fontId="123" fillId="0" borderId="0" xfId="142" applyNumberFormat="1" applyFont="1" applyAlignment="1" applyProtection="1">
      <alignment horizontal="right" vertical="center"/>
      <protection locked="0"/>
    </xf>
    <xf numFmtId="4" fontId="113" fillId="0" borderId="0" xfId="142" applyNumberFormat="1" applyFont="1" applyAlignment="1" applyProtection="1">
      <alignment horizontal="right" vertical="top"/>
      <protection locked="0"/>
    </xf>
    <xf numFmtId="0" fontId="72" fillId="0" borderId="0" xfId="142" applyFont="1" applyAlignment="1" applyProtection="1">
      <alignment vertical="top"/>
      <protection locked="0"/>
    </xf>
    <xf numFmtId="0" fontId="96" fillId="0" borderId="0" xfId="142" applyFont="1" applyAlignment="1" applyProtection="1">
      <alignment vertical="top"/>
      <protection locked="0"/>
    </xf>
    <xf numFmtId="0" fontId="97" fillId="0" borderId="0" xfId="142" applyFont="1" applyAlignment="1" applyProtection="1">
      <alignment vertical="top"/>
      <protection locked="0"/>
    </xf>
    <xf numFmtId="0" fontId="11" fillId="0" borderId="0" xfId="142" applyAlignment="1" applyProtection="1">
      <alignment horizontal="right" vertical="top"/>
      <protection locked="0"/>
    </xf>
    <xf numFmtId="0" fontId="124" fillId="0" borderId="0" xfId="154" applyFont="1" applyAlignment="1" applyProtection="1">
      <alignment horizontal="right" vertical="center"/>
      <protection locked="0"/>
    </xf>
    <xf numFmtId="0" fontId="122" fillId="0" borderId="0" xfId="154" applyFont="1" applyAlignment="1" applyProtection="1">
      <alignment horizontal="left" vertical="center"/>
      <protection locked="0"/>
    </xf>
    <xf numFmtId="0" fontId="115" fillId="0" borderId="0" xfId="142" applyFont="1" applyAlignment="1" applyProtection="1">
      <alignment vertical="top" wrapText="1"/>
      <protection locked="0"/>
    </xf>
    <xf numFmtId="0" fontId="86" fillId="0" borderId="0" xfId="142" applyFont="1" applyAlignment="1" applyProtection="1">
      <alignment vertical="top"/>
      <protection locked="0"/>
    </xf>
    <xf numFmtId="2" fontId="125" fillId="0" borderId="0" xfId="142" applyNumberFormat="1" applyFont="1" applyAlignment="1" applyProtection="1">
      <alignment horizontal="right" vertical="center"/>
      <protection locked="0"/>
    </xf>
    <xf numFmtId="0" fontId="126" fillId="0" borderId="0" xfId="142" applyFont="1" applyAlignment="1" applyProtection="1">
      <alignment vertical="center"/>
      <protection locked="0"/>
    </xf>
    <xf numFmtId="0" fontId="127" fillId="0" borderId="0" xfId="142" applyFont="1" applyAlignment="1" applyProtection="1">
      <alignment vertical="top"/>
      <protection locked="0"/>
    </xf>
    <xf numFmtId="0" fontId="128" fillId="0" borderId="0" xfId="142" applyFont="1" applyAlignment="1" applyProtection="1">
      <alignment vertical="top"/>
      <protection locked="0"/>
    </xf>
    <xf numFmtId="0" fontId="11" fillId="0" borderId="0" xfId="142" applyAlignment="1" applyProtection="1">
      <alignment vertical="center"/>
      <protection locked="0"/>
    </xf>
    <xf numFmtId="0" fontId="88" fillId="0" borderId="0" xfId="142" applyFont="1" applyAlignment="1" applyProtection="1">
      <alignment horizontal="left" vertical="center"/>
      <protection locked="0"/>
    </xf>
    <xf numFmtId="0" fontId="129" fillId="0" borderId="0" xfId="142" applyFont="1" applyAlignment="1" applyProtection="1">
      <alignment vertical="top"/>
      <protection locked="0"/>
    </xf>
    <xf numFmtId="0" fontId="130" fillId="0" borderId="0" xfId="142" applyFont="1" applyAlignment="1" applyProtection="1">
      <alignment horizontal="left" vertical="center"/>
      <protection locked="0"/>
    </xf>
    <xf numFmtId="0" fontId="96" fillId="0" borderId="0" xfId="142" applyFont="1" applyAlignment="1" applyProtection="1">
      <alignment vertical="center"/>
      <protection locked="0"/>
    </xf>
    <xf numFmtId="39" fontId="57" fillId="0" borderId="0" xfId="154" applyNumberFormat="1" applyFont="1" applyAlignment="1" applyProtection="1">
      <alignment vertical="top"/>
      <protection locked="0"/>
    </xf>
    <xf numFmtId="0" fontId="12" fillId="0" borderId="0" xfId="154" applyFont="1" applyAlignment="1" applyProtection="1">
      <alignment horizontal="left" vertical="top"/>
      <protection locked="0"/>
    </xf>
    <xf numFmtId="0" fontId="38" fillId="0" borderId="0" xfId="154" applyFont="1" applyAlignment="1" applyProtection="1">
      <alignment horizontal="left" vertical="top"/>
      <protection locked="0"/>
    </xf>
    <xf numFmtId="0" fontId="131" fillId="0" borderId="0" xfId="25" applyFont="1" applyAlignment="1">
      <alignment horizontal="left" vertical="top"/>
      <protection locked="0"/>
    </xf>
    <xf numFmtId="0" fontId="73" fillId="0" borderId="0" xfId="25" applyFont="1" applyAlignment="1">
      <alignment horizontal="left" vertical="top"/>
      <protection locked="0"/>
    </xf>
    <xf numFmtId="0" fontId="134" fillId="0" borderId="0" xfId="142" applyFont="1" applyAlignment="1" applyProtection="1">
      <alignment horizontal="left" vertical="center"/>
      <protection locked="0"/>
    </xf>
    <xf numFmtId="4" fontId="11" fillId="0" borderId="0" xfId="142" applyNumberFormat="1" applyAlignment="1" applyProtection="1">
      <alignment horizontal="right" vertical="top"/>
      <protection locked="0"/>
    </xf>
    <xf numFmtId="0" fontId="9" fillId="0" borderId="0" xfId="142" applyFont="1"/>
    <xf numFmtId="0" fontId="137" fillId="0" borderId="0" xfId="23" applyFont="1" applyAlignment="1">
      <alignment horizontal="left" vertical="top"/>
      <protection locked="0"/>
    </xf>
    <xf numFmtId="0" fontId="61" fillId="0" borderId="0" xfId="23" applyFont="1" applyAlignment="1">
      <alignment horizontal="left" vertical="center"/>
      <protection locked="0"/>
    </xf>
    <xf numFmtId="0" fontId="81" fillId="0" borderId="0" xfId="23" applyFont="1" applyAlignment="1">
      <alignment horizontal="left" vertical="center"/>
      <protection locked="0"/>
    </xf>
    <xf numFmtId="0" fontId="17" fillId="0" borderId="0" xfId="23" applyFont="1" applyAlignment="1">
      <alignment horizontal="left"/>
      <protection locked="0"/>
    </xf>
    <xf numFmtId="0" fontId="11" fillId="0" borderId="0" xfId="25" applyFont="1" applyAlignment="1">
      <alignment horizontal="right" vertical="top"/>
      <protection locked="0"/>
    </xf>
    <xf numFmtId="0" fontId="12" fillId="0" borderId="0" xfId="25" applyAlignment="1">
      <alignment vertical="top" wrapText="1"/>
      <protection locked="0"/>
    </xf>
    <xf numFmtId="0" fontId="17" fillId="0" borderId="0" xfId="23" applyFont="1" applyAlignment="1">
      <alignment horizontal="right"/>
      <protection locked="0"/>
    </xf>
    <xf numFmtId="0" fontId="9" fillId="0" borderId="0" xfId="25" applyFont="1" applyAlignment="1">
      <alignment horizontal="left" vertical="top"/>
      <protection locked="0"/>
    </xf>
    <xf numFmtId="173" fontId="12" fillId="0" borderId="0" xfId="25" applyNumberFormat="1" applyAlignment="1">
      <alignment horizontal="left" vertical="top"/>
      <protection locked="0"/>
    </xf>
    <xf numFmtId="4" fontId="139" fillId="0" borderId="0" xfId="142" applyNumberFormat="1" applyFont="1" applyAlignment="1" applyProtection="1">
      <alignment horizontal="center"/>
      <protection locked="0"/>
    </xf>
    <xf numFmtId="0" fontId="140" fillId="0" borderId="0" xfId="142" applyFont="1" applyAlignment="1" applyProtection="1">
      <alignment horizontal="left"/>
      <protection locked="0"/>
    </xf>
    <xf numFmtId="4" fontId="113" fillId="0" borderId="0" xfId="154" applyNumberFormat="1" applyFont="1" applyAlignment="1" applyProtection="1">
      <alignment horizontal="right" vertical="top"/>
      <protection locked="0"/>
    </xf>
    <xf numFmtId="0" fontId="57" fillId="0" borderId="0" xfId="154" applyFont="1" applyAlignment="1" applyProtection="1">
      <alignment horizontal="right" vertical="top"/>
      <protection locked="0"/>
    </xf>
    <xf numFmtId="0" fontId="124" fillId="0" borderId="0" xfId="154" applyFont="1" applyAlignment="1" applyProtection="1">
      <alignment horizontal="right" vertical="top"/>
      <protection locked="0"/>
    </xf>
    <xf numFmtId="174" fontId="28" fillId="0" borderId="0" xfId="154" applyNumberFormat="1" applyAlignment="1" applyProtection="1">
      <alignment horizontal="left" vertical="top"/>
      <protection locked="0"/>
    </xf>
    <xf numFmtId="0" fontId="122" fillId="0" borderId="0" xfId="154" applyFont="1" applyAlignment="1" applyProtection="1">
      <alignment horizontal="right" vertical="top"/>
      <protection locked="0"/>
    </xf>
    <xf numFmtId="0" fontId="122" fillId="0" borderId="0" xfId="154" applyFont="1" applyAlignment="1" applyProtection="1">
      <alignment horizontal="right" vertical="center"/>
      <protection locked="0"/>
    </xf>
    <xf numFmtId="0" fontId="141" fillId="0" borderId="0" xfId="154" applyFont="1" applyAlignment="1" applyProtection="1">
      <alignment horizontal="right" vertical="top"/>
      <protection locked="0"/>
    </xf>
    <xf numFmtId="0" fontId="141" fillId="0" borderId="0" xfId="154" applyFont="1" applyAlignment="1" applyProtection="1">
      <alignment horizontal="left" vertical="top"/>
      <protection locked="0"/>
    </xf>
    <xf numFmtId="173" fontId="57" fillId="0" borderId="0" xfId="154" applyNumberFormat="1" applyFont="1" applyAlignment="1" applyProtection="1">
      <alignment horizontal="center" vertical="center"/>
      <protection locked="0"/>
    </xf>
    <xf numFmtId="2" fontId="11" fillId="0" borderId="0" xfId="3" applyNumberFormat="1" applyAlignment="1" applyProtection="1">
      <alignment horizontal="left" vertical="top"/>
      <protection locked="0"/>
    </xf>
    <xf numFmtId="0" fontId="120" fillId="0" borderId="0" xfId="3" applyFont="1" applyAlignment="1" applyProtection="1">
      <alignment horizontal="right" vertical="top"/>
      <protection locked="0"/>
    </xf>
    <xf numFmtId="39" fontId="130" fillId="0" borderId="0" xfId="3" applyNumberFormat="1" applyFont="1" applyAlignment="1" applyProtection="1">
      <alignment horizontal="center" vertical="center"/>
      <protection locked="0"/>
    </xf>
    <xf numFmtId="0" fontId="100" fillId="0" borderId="0" xfId="3" applyFont="1" applyAlignment="1" applyProtection="1">
      <alignment horizontal="center" vertical="center"/>
      <protection locked="0"/>
    </xf>
    <xf numFmtId="0" fontId="145" fillId="0" borderId="0" xfId="3" applyFont="1" applyAlignment="1" applyProtection="1">
      <alignment horizontal="left" vertical="center"/>
      <protection locked="0"/>
    </xf>
    <xf numFmtId="0" fontId="145" fillId="0" borderId="0" xfId="3" applyFont="1" applyAlignment="1" applyProtection="1">
      <alignment horizontal="left" vertical="top"/>
      <protection locked="0"/>
    </xf>
    <xf numFmtId="0" fontId="146" fillId="0" borderId="0" xfId="154" applyFont="1" applyAlignment="1" applyProtection="1">
      <alignment vertical="top"/>
      <protection locked="0"/>
    </xf>
    <xf numFmtId="4" fontId="130" fillId="0" borderId="0" xfId="3" applyNumberFormat="1" applyFont="1" applyAlignment="1" applyProtection="1">
      <alignment horizontal="center" vertical="center"/>
      <protection locked="0"/>
    </xf>
    <xf numFmtId="0" fontId="147" fillId="0" borderId="0" xfId="142" applyFont="1" applyAlignment="1">
      <alignment horizontal="left" vertical="center"/>
    </xf>
    <xf numFmtId="0" fontId="86" fillId="0" borderId="0" xfId="154" applyFont="1" applyAlignment="1" applyProtection="1">
      <alignment horizontal="left" vertical="top"/>
      <protection locked="0"/>
    </xf>
    <xf numFmtId="0" fontId="97" fillId="0" borderId="0" xfId="154" applyFont="1" applyAlignment="1" applyProtection="1">
      <alignment horizontal="left"/>
      <protection locked="0"/>
    </xf>
    <xf numFmtId="4" fontId="9" fillId="0" borderId="0" xfId="142" applyNumberFormat="1" applyFont="1" applyAlignment="1" applyProtection="1">
      <alignment horizontal="left" vertical="top"/>
      <protection locked="0"/>
    </xf>
    <xf numFmtId="0" fontId="284" fillId="0" borderId="0" xfId="142" applyFont="1" applyAlignment="1" applyProtection="1">
      <alignment vertical="top"/>
      <protection locked="0"/>
    </xf>
    <xf numFmtId="0" fontId="81" fillId="0" borderId="0" xfId="142" applyFont="1" applyAlignment="1" applyProtection="1">
      <alignment horizontal="left" vertical="center"/>
      <protection locked="0"/>
    </xf>
    <xf numFmtId="0" fontId="148" fillId="0" borderId="0" xfId="142" applyFont="1" applyAlignment="1" applyProtection="1">
      <alignment horizontal="left" vertical="top"/>
      <protection locked="0"/>
    </xf>
    <xf numFmtId="0" fontId="149" fillId="0" borderId="0" xfId="142" applyFont="1" applyAlignment="1" applyProtection="1">
      <alignment horizontal="left" vertical="top"/>
      <protection locked="0"/>
    </xf>
    <xf numFmtId="4" fontId="150" fillId="0" borderId="0" xfId="23" applyNumberFormat="1" applyFont="1" applyAlignment="1">
      <alignment horizontal="left" vertical="top"/>
      <protection locked="0"/>
    </xf>
    <xf numFmtId="0" fontId="150" fillId="0" borderId="0" xfId="23" applyFont="1" applyAlignment="1">
      <alignment horizontal="left" vertical="top"/>
      <protection locked="0"/>
    </xf>
    <xf numFmtId="2" fontId="150" fillId="0" borderId="0" xfId="23" applyNumberFormat="1" applyFont="1" applyAlignment="1">
      <alignment horizontal="left" vertical="top"/>
      <protection locked="0"/>
    </xf>
    <xf numFmtId="0" fontId="108" fillId="0" borderId="0" xfId="23" applyFont="1" applyAlignment="1">
      <alignment horizontal="left" vertical="center"/>
      <protection locked="0"/>
    </xf>
    <xf numFmtId="0" fontId="151" fillId="0" borderId="0" xfId="23" applyFont="1" applyAlignment="1">
      <alignment horizontal="left" vertical="center"/>
      <protection locked="0"/>
    </xf>
    <xf numFmtId="0" fontId="50" fillId="0" borderId="0" xfId="23" applyFont="1" applyAlignment="1">
      <alignment horizontal="left" vertical="top"/>
      <protection locked="0"/>
    </xf>
    <xf numFmtId="0" fontId="17" fillId="0" borderId="0" xfId="142" applyFont="1" applyAlignment="1" applyProtection="1">
      <alignment vertical="top"/>
      <protection locked="0"/>
    </xf>
    <xf numFmtId="39" fontId="145" fillId="0" borderId="0" xfId="142" applyNumberFormat="1" applyFont="1" applyAlignment="1" applyProtection="1">
      <alignment vertical="center"/>
      <protection locked="0"/>
    </xf>
    <xf numFmtId="2" fontId="68" fillId="0" borderId="0" xfId="142" applyNumberFormat="1" applyFont="1" applyAlignment="1" applyProtection="1">
      <alignment horizontal="left"/>
      <protection locked="0"/>
    </xf>
    <xf numFmtId="0" fontId="152" fillId="0" borderId="0" xfId="25" applyFont="1" applyAlignment="1">
      <alignment horizontal="left" vertical="center"/>
      <protection locked="0"/>
    </xf>
    <xf numFmtId="0" fontId="147" fillId="0" borderId="0" xfId="154" applyFont="1" applyAlignment="1">
      <alignment horizontal="left" vertical="center"/>
    </xf>
    <xf numFmtId="39" fontId="142" fillId="0" borderId="0" xfId="154" applyNumberFormat="1" applyFont="1" applyAlignment="1">
      <alignment horizontal="left" vertical="center"/>
    </xf>
    <xf numFmtId="0" fontId="54" fillId="0" borderId="35" xfId="154" applyFont="1" applyBorder="1" applyAlignment="1" applyProtection="1">
      <alignment vertical="top"/>
      <protection locked="0"/>
    </xf>
    <xf numFmtId="0" fontId="54" fillId="0" borderId="0" xfId="154" applyFont="1" applyAlignment="1" applyProtection="1">
      <alignment vertical="top"/>
      <protection locked="0"/>
    </xf>
    <xf numFmtId="1" fontId="9" fillId="0" borderId="69" xfId="142" applyNumberFormat="1" applyFont="1" applyBorder="1" applyAlignment="1" applyProtection="1">
      <alignment horizontal="right"/>
      <protection locked="0"/>
    </xf>
    <xf numFmtId="49" fontId="9" fillId="0" borderId="69" xfId="142" applyNumberFormat="1" applyFont="1" applyBorder="1" applyAlignment="1" applyProtection="1">
      <alignment horizontal="left" wrapText="1"/>
      <protection locked="0"/>
    </xf>
    <xf numFmtId="0" fontId="274" fillId="0" borderId="69" xfId="142" applyFont="1" applyBorder="1" applyAlignment="1" applyProtection="1">
      <alignment horizontal="left" wrapText="1"/>
      <protection locked="0"/>
    </xf>
    <xf numFmtId="4" fontId="54" fillId="0" borderId="69" xfId="142" applyNumberFormat="1" applyFont="1" applyBorder="1" applyAlignment="1" applyProtection="1">
      <alignment horizontal="right"/>
      <protection locked="0"/>
    </xf>
    <xf numFmtId="4" fontId="9" fillId="0" borderId="69" xfId="142" applyNumberFormat="1" applyFont="1" applyBorder="1" applyAlignment="1" applyProtection="1">
      <alignment horizontal="right"/>
      <protection locked="0"/>
    </xf>
    <xf numFmtId="0" fontId="11" fillId="0" borderId="69" xfId="142" applyBorder="1" applyAlignment="1" applyProtection="1">
      <alignment vertical="top"/>
      <protection locked="0"/>
    </xf>
    <xf numFmtId="1" fontId="274" fillId="0" borderId="34" xfId="33" applyNumberFormat="1" applyFont="1" applyBorder="1" applyAlignment="1" applyProtection="1">
      <alignment horizontal="right"/>
      <protection locked="0"/>
    </xf>
    <xf numFmtId="0" fontId="9" fillId="0" borderId="34" xfId="33" applyFont="1" applyBorder="1" applyAlignment="1">
      <alignment horizontal="left"/>
    </xf>
    <xf numFmtId="0" fontId="9" fillId="0" borderId="34" xfId="33" applyFont="1" applyBorder="1" applyAlignment="1">
      <alignment horizontal="left" wrapText="1"/>
    </xf>
    <xf numFmtId="0" fontId="9" fillId="0" borderId="34" xfId="33" applyFont="1" applyBorder="1" applyAlignment="1">
      <alignment horizontal="left" shrinkToFit="1"/>
    </xf>
    <xf numFmtId="4" fontId="9" fillId="0" borderId="34" xfId="33" applyNumberFormat="1" applyFont="1" applyBorder="1" applyAlignment="1">
      <alignment shrinkToFit="1"/>
    </xf>
    <xf numFmtId="4" fontId="9" fillId="0" borderId="34" xfId="33" applyNumberFormat="1" applyFont="1" applyBorder="1" applyAlignment="1" applyProtection="1">
      <alignment shrinkToFit="1"/>
      <protection locked="0"/>
    </xf>
    <xf numFmtId="1" fontId="9" fillId="0" borderId="34" xfId="33" applyNumberFormat="1" applyFont="1" applyBorder="1" applyAlignment="1" applyProtection="1">
      <alignment horizontal="right"/>
      <protection locked="0"/>
    </xf>
    <xf numFmtId="4" fontId="54" fillId="0" borderId="34" xfId="33" applyNumberFormat="1" applyFont="1" applyBorder="1" applyAlignment="1" applyProtection="1">
      <alignment horizontal="right" wrapText="1"/>
      <protection locked="0"/>
    </xf>
    <xf numFmtId="4" fontId="29" fillId="0" borderId="34" xfId="26" applyNumberFormat="1" applyBorder="1" applyAlignment="1">
      <alignment horizontal="left" vertical="top"/>
      <protection locked="0"/>
    </xf>
    <xf numFmtId="0" fontId="274" fillId="0" borderId="69" xfId="33" applyFont="1" applyBorder="1" applyAlignment="1" applyProtection="1">
      <alignment horizontal="left" wrapText="1"/>
      <protection locked="0"/>
    </xf>
    <xf numFmtId="4" fontId="29" fillId="0" borderId="69" xfId="26" applyNumberFormat="1" applyBorder="1" applyAlignment="1">
      <alignment horizontal="left" vertical="top"/>
      <protection locked="0"/>
    </xf>
    <xf numFmtId="1" fontId="9" fillId="0" borderId="34" xfId="89" applyNumberFormat="1" applyFont="1" applyBorder="1" applyAlignment="1" applyProtection="1">
      <alignment horizontal="right"/>
      <protection locked="0"/>
    </xf>
    <xf numFmtId="4" fontId="9" fillId="0" borderId="34" xfId="89" applyNumberFormat="1" applyFont="1" applyBorder="1" applyAlignment="1" applyProtection="1">
      <alignment horizontal="right"/>
      <protection locked="0"/>
    </xf>
    <xf numFmtId="39" fontId="9" fillId="0" borderId="34" xfId="89" applyNumberFormat="1" applyFont="1" applyBorder="1" applyAlignment="1" applyProtection="1">
      <alignment horizontal="center"/>
      <protection locked="0"/>
    </xf>
    <xf numFmtId="0" fontId="107" fillId="0" borderId="34" xfId="12" applyFont="1" applyBorder="1" applyAlignment="1">
      <alignment horizontal="center" vertical="center" wrapText="1"/>
      <protection locked="0"/>
    </xf>
    <xf numFmtId="49" fontId="274" fillId="0" borderId="34" xfId="142" applyNumberFormat="1" applyFont="1" applyBorder="1" applyAlignment="1" applyProtection="1">
      <alignment horizontal="left" wrapText="1"/>
      <protection locked="0"/>
    </xf>
    <xf numFmtId="0" fontId="274" fillId="0" borderId="34" xfId="142" applyFont="1" applyBorder="1" applyAlignment="1" applyProtection="1">
      <alignment horizontal="left" wrapText="1"/>
      <protection locked="0"/>
    </xf>
    <xf numFmtId="4" fontId="274" fillId="0" borderId="34" xfId="142" applyNumberFormat="1" applyFont="1" applyBorder="1" applyAlignment="1" applyProtection="1">
      <alignment horizontal="right"/>
      <protection locked="0"/>
    </xf>
    <xf numFmtId="39" fontId="274" fillId="0" borderId="34" xfId="177" applyNumberFormat="1" applyFont="1" applyBorder="1" applyAlignment="1" applyProtection="1">
      <alignment horizontal="center"/>
      <protection locked="0"/>
    </xf>
    <xf numFmtId="0" fontId="283" fillId="0" borderId="34" xfId="142" applyFont="1" applyBorder="1" applyAlignment="1" applyProtection="1">
      <alignment horizontal="center" vertical="center" wrapText="1"/>
      <protection locked="0"/>
    </xf>
    <xf numFmtId="0" fontId="277" fillId="0" borderId="34" xfId="142" applyFont="1" applyBorder="1" applyAlignment="1" applyProtection="1">
      <alignment horizontal="left" vertical="top"/>
      <protection locked="0"/>
    </xf>
    <xf numFmtId="1" fontId="274" fillId="0" borderId="69" xfId="142" applyNumberFormat="1" applyFont="1" applyBorder="1" applyAlignment="1" applyProtection="1">
      <alignment horizontal="right"/>
      <protection locked="0"/>
    </xf>
    <xf numFmtId="49" fontId="274" fillId="0" borderId="69" xfId="142" applyNumberFormat="1" applyFont="1" applyBorder="1" applyAlignment="1" applyProtection="1">
      <alignment horizontal="left" wrapText="1"/>
      <protection locked="0"/>
    </xf>
    <xf numFmtId="0" fontId="283" fillId="0" borderId="69" xfId="142" applyFont="1" applyBorder="1" applyAlignment="1" applyProtection="1">
      <alignment horizontal="center" vertical="center" wrapText="1"/>
      <protection locked="0"/>
    </xf>
    <xf numFmtId="4" fontId="274" fillId="0" borderId="69" xfId="142" applyNumberFormat="1" applyFont="1" applyBorder="1" applyAlignment="1" applyProtection="1">
      <alignment horizontal="right"/>
      <protection locked="0"/>
    </xf>
    <xf numFmtId="0" fontId="277" fillId="0" borderId="69" xfId="142" applyFont="1" applyBorder="1" applyAlignment="1" applyProtection="1">
      <alignment horizontal="left" vertical="top"/>
      <protection locked="0"/>
    </xf>
    <xf numFmtId="37" fontId="274" fillId="0" borderId="34" xfId="12" applyNumberFormat="1" applyFont="1" applyBorder="1" applyAlignment="1">
      <alignment horizontal="right"/>
      <protection locked="0"/>
    </xf>
    <xf numFmtId="0" fontId="274" fillId="0" borderId="34" xfId="12" applyFont="1" applyBorder="1" applyAlignment="1">
      <alignment horizontal="left" wrapText="1"/>
      <protection locked="0"/>
    </xf>
    <xf numFmtId="4" fontId="274" fillId="0" borderId="34" xfId="12" applyNumberFormat="1" applyFont="1" applyBorder="1" applyAlignment="1">
      <alignment horizontal="right"/>
      <protection locked="0"/>
    </xf>
    <xf numFmtId="1" fontId="274" fillId="0" borderId="34" xfId="142" applyNumberFormat="1" applyFont="1" applyBorder="1" applyAlignment="1">
      <alignment horizontal="right"/>
    </xf>
    <xf numFmtId="1" fontId="285" fillId="0" borderId="34" xfId="142" applyNumberFormat="1" applyFont="1" applyBorder="1" applyAlignment="1" applyProtection="1">
      <alignment horizontal="right"/>
      <protection locked="0"/>
    </xf>
    <xf numFmtId="4" fontId="274" fillId="0" borderId="34" xfId="37" applyNumberFormat="1" applyFont="1" applyBorder="1" applyAlignment="1" applyProtection="1">
      <alignment horizontal="right"/>
      <protection locked="0"/>
    </xf>
    <xf numFmtId="37" fontId="282" fillId="0" borderId="34" xfId="154" applyNumberFormat="1" applyFont="1" applyBorder="1" applyAlignment="1" applyProtection="1">
      <alignment horizontal="right"/>
      <protection locked="0"/>
    </xf>
    <xf numFmtId="0" fontId="282" fillId="0" borderId="34" xfId="154" applyFont="1" applyBorder="1" applyAlignment="1" applyProtection="1">
      <alignment horizontal="left" wrapText="1"/>
      <protection locked="0"/>
    </xf>
    <xf numFmtId="4" fontId="282" fillId="0" borderId="34" xfId="154" applyNumberFormat="1" applyFont="1" applyBorder="1" applyAlignment="1" applyProtection="1">
      <alignment horizontal="right"/>
      <protection locked="0"/>
    </xf>
    <xf numFmtId="0" fontId="286" fillId="0" borderId="34" xfId="154" applyFont="1" applyBorder="1" applyAlignment="1" applyProtection="1">
      <alignment horizontal="right" vertical="center"/>
      <protection locked="0"/>
    </xf>
    <xf numFmtId="49" fontId="274" fillId="0" borderId="34" xfId="142" applyNumberFormat="1" applyFont="1" applyBorder="1" applyAlignment="1">
      <alignment horizontal="left" wrapText="1"/>
    </xf>
    <xf numFmtId="0" fontId="274" fillId="0" borderId="34" xfId="142" applyFont="1" applyBorder="1" applyAlignment="1">
      <alignment horizontal="left" wrapText="1"/>
    </xf>
    <xf numFmtId="4" fontId="274" fillId="0" borderId="34" xfId="142" applyNumberFormat="1" applyFont="1" applyBorder="1" applyAlignment="1">
      <alignment horizontal="right"/>
    </xf>
    <xf numFmtId="39" fontId="274" fillId="0" borderId="34" xfId="142" applyNumberFormat="1" applyFont="1" applyBorder="1" applyAlignment="1" applyProtection="1">
      <alignment horizontal="center"/>
      <protection locked="0"/>
    </xf>
    <xf numFmtId="0" fontId="276" fillId="0" borderId="34" xfId="142" applyFont="1" applyBorder="1" applyAlignment="1">
      <alignment horizontal="left" vertical="top"/>
    </xf>
    <xf numFmtId="1" fontId="274" fillId="0" borderId="69" xfId="142" applyNumberFormat="1" applyFont="1" applyBorder="1" applyAlignment="1">
      <alignment horizontal="right"/>
    </xf>
    <xf numFmtId="49" fontId="274" fillId="0" borderId="69" xfId="142" applyNumberFormat="1" applyFont="1" applyBorder="1" applyAlignment="1">
      <alignment horizontal="left" wrapText="1"/>
    </xf>
    <xf numFmtId="0" fontId="274" fillId="0" borderId="69" xfId="142" applyFont="1" applyBorder="1" applyAlignment="1">
      <alignment horizontal="left" wrapText="1"/>
    </xf>
    <xf numFmtId="4" fontId="274" fillId="0" borderId="69" xfId="142" applyNumberFormat="1" applyFont="1" applyBorder="1" applyAlignment="1">
      <alignment horizontal="right"/>
    </xf>
    <xf numFmtId="0" fontId="276" fillId="0" borderId="69" xfId="142" applyFont="1" applyBorder="1" applyAlignment="1">
      <alignment horizontal="left" vertical="top"/>
    </xf>
    <xf numFmtId="1" fontId="274" fillId="0" borderId="34" xfId="154" applyNumberFormat="1" applyFont="1" applyBorder="1" applyAlignment="1" applyProtection="1">
      <alignment horizontal="right"/>
      <protection locked="0"/>
    </xf>
    <xf numFmtId="49" fontId="274" fillId="0" borderId="34" xfId="154" applyNumberFormat="1" applyFont="1" applyBorder="1" applyAlignment="1" applyProtection="1">
      <alignment horizontal="left" wrapText="1"/>
      <protection locked="0"/>
    </xf>
    <xf numFmtId="0" fontId="277" fillId="0" borderId="34" xfId="154" applyFont="1" applyBorder="1" applyAlignment="1" applyProtection="1">
      <alignment vertical="top"/>
      <protection locked="0"/>
    </xf>
    <xf numFmtId="0" fontId="279" fillId="0" borderId="0" xfId="154" applyFont="1" applyAlignment="1" applyProtection="1">
      <alignment horizontal="right" vertical="top"/>
      <protection locked="0"/>
    </xf>
    <xf numFmtId="0" fontId="287" fillId="0" borderId="0" xfId="154" applyFont="1" applyAlignment="1" applyProtection="1">
      <alignment horizontal="left" vertical="top"/>
      <protection locked="0"/>
    </xf>
    <xf numFmtId="0" fontId="277" fillId="0" borderId="0" xfId="154" applyFont="1" applyAlignment="1" applyProtection="1">
      <alignment horizontal="left" vertical="top"/>
      <protection locked="0"/>
    </xf>
    <xf numFmtId="37" fontId="285" fillId="0" borderId="34" xfId="154" applyNumberFormat="1" applyFont="1" applyBorder="1" applyAlignment="1" applyProtection="1">
      <alignment horizontal="right"/>
      <protection locked="0"/>
    </xf>
    <xf numFmtId="39" fontId="274" fillId="0" borderId="69" xfId="142" applyNumberFormat="1" applyFont="1" applyBorder="1" applyAlignment="1" applyProtection="1">
      <alignment horizontal="center"/>
      <protection locked="0"/>
    </xf>
    <xf numFmtId="0" fontId="288" fillId="0" borderId="69" xfId="25" applyFont="1" applyBorder="1" applyAlignment="1" applyProtection="1">
      <alignment horizontal="center" vertical="center"/>
    </xf>
    <xf numFmtId="0" fontId="288" fillId="0" borderId="69" xfId="25" applyFont="1" applyBorder="1" applyAlignment="1" applyProtection="1">
      <alignment horizontal="left" vertical="center"/>
    </xf>
    <xf numFmtId="39" fontId="288" fillId="0" borderId="69" xfId="25" applyNumberFormat="1" applyFont="1" applyBorder="1" applyAlignment="1" applyProtection="1">
      <alignment horizontal="right" vertical="center"/>
    </xf>
    <xf numFmtId="0" fontId="30" fillId="0" borderId="0" xfId="146" applyFill="1" applyAlignment="1" applyProtection="1">
      <alignment horizontal="left"/>
      <protection locked="0"/>
    </xf>
    <xf numFmtId="1" fontId="274" fillId="0" borderId="69" xfId="0" applyNumberFormat="1" applyFont="1" applyBorder="1" applyAlignment="1" applyProtection="1">
      <alignment horizontal="right"/>
    </xf>
    <xf numFmtId="49" fontId="274" fillId="0" borderId="69" xfId="0" applyNumberFormat="1" applyFont="1" applyBorder="1" applyAlignment="1" applyProtection="1">
      <alignment horizontal="left" wrapText="1"/>
    </xf>
    <xf numFmtId="0" fontId="274" fillId="0" borderId="69" xfId="0" applyFont="1" applyBorder="1" applyAlignment="1" applyProtection="1">
      <alignment horizontal="left" wrapText="1"/>
    </xf>
    <xf numFmtId="172" fontId="274" fillId="0" borderId="69" xfId="38" applyNumberFormat="1" applyFont="1" applyBorder="1" applyAlignment="1">
      <alignment horizontal="right"/>
      <protection locked="0"/>
    </xf>
    <xf numFmtId="4" fontId="274" fillId="0" borderId="69" xfId="0" applyNumberFormat="1" applyFont="1" applyBorder="1" applyAlignment="1" applyProtection="1">
      <alignment horizontal="right"/>
    </xf>
    <xf numFmtId="4" fontId="274" fillId="0" borderId="69" xfId="88" applyNumberFormat="1" applyFont="1" applyBorder="1" applyAlignment="1" applyProtection="1">
      <alignment horizontal="right"/>
      <protection locked="0"/>
    </xf>
    <xf numFmtId="39" fontId="274" fillId="0" borderId="69" xfId="0" applyNumberFormat="1" applyFont="1" applyBorder="1" applyAlignment="1">
      <alignment horizontal="center"/>
      <protection locked="0"/>
    </xf>
    <xf numFmtId="172" fontId="274" fillId="0" borderId="69" xfId="0" applyNumberFormat="1" applyFont="1" applyBorder="1" applyAlignment="1" applyProtection="1">
      <alignment horizontal="right"/>
    </xf>
    <xf numFmtId="0" fontId="289" fillId="0" borderId="69" xfId="0" applyFont="1" applyBorder="1" applyAlignment="1" applyProtection="1">
      <alignment horizontal="left" vertical="top"/>
    </xf>
    <xf numFmtId="1" fontId="274" fillId="0" borderId="34" xfId="12" applyNumberFormat="1" applyFont="1" applyBorder="1" applyAlignment="1">
      <alignment horizontal="right"/>
      <protection locked="0"/>
    </xf>
    <xf numFmtId="49" fontId="274" fillId="0" borderId="34" xfId="12" applyNumberFormat="1" applyFont="1" applyBorder="1" applyAlignment="1">
      <alignment horizontal="left" wrapText="1"/>
      <protection locked="0"/>
    </xf>
    <xf numFmtId="4" fontId="274" fillId="0" borderId="37" xfId="12" applyNumberFormat="1" applyFont="1" applyBorder="1" applyAlignment="1">
      <alignment horizontal="right"/>
      <protection locked="0"/>
    </xf>
    <xf numFmtId="0" fontId="276" fillId="0" borderId="34" xfId="142" applyFont="1" applyBorder="1" applyAlignment="1" applyProtection="1">
      <alignment horizontal="left" vertical="top"/>
      <protection locked="0"/>
    </xf>
    <xf numFmtId="49" fontId="274" fillId="0" borderId="34" xfId="142" applyNumberFormat="1" applyFont="1" applyBorder="1" applyAlignment="1" applyProtection="1">
      <alignment wrapText="1"/>
      <protection locked="0"/>
    </xf>
    <xf numFmtId="0" fontId="274" fillId="0" borderId="34" xfId="142" applyFont="1" applyBorder="1" applyAlignment="1">
      <alignment horizontal="left"/>
    </xf>
    <xf numFmtId="0" fontId="274" fillId="0" borderId="34" xfId="142" applyFont="1" applyBorder="1" applyAlignment="1">
      <alignment horizontal="left" shrinkToFit="1"/>
    </xf>
    <xf numFmtId="4" fontId="274" fillId="0" borderId="34" xfId="142" applyNumberFormat="1" applyFont="1" applyBorder="1" applyAlignment="1">
      <alignment shrinkToFit="1"/>
    </xf>
    <xf numFmtId="4" fontId="274" fillId="0" borderId="34" xfId="142" applyNumberFormat="1" applyFont="1" applyBorder="1" applyAlignment="1" applyProtection="1">
      <alignment shrinkToFit="1"/>
      <protection locked="0"/>
    </xf>
    <xf numFmtId="0" fontId="290" fillId="0" borderId="34" xfId="142" applyFont="1" applyBorder="1" applyAlignment="1">
      <alignment horizontal="center" vertical="center" wrapText="1"/>
    </xf>
    <xf numFmtId="0" fontId="279" fillId="0" borderId="34" xfId="142" applyFont="1" applyBorder="1" applyAlignment="1">
      <alignment horizontal="center" vertical="center" wrapText="1"/>
    </xf>
    <xf numFmtId="0" fontId="19" fillId="0" borderId="18" xfId="8" applyFont="1" applyBorder="1" applyAlignment="1">
      <alignment horizontal="left"/>
    </xf>
    <xf numFmtId="0" fontId="11" fillId="0" borderId="18" xfId="8" applyBorder="1"/>
    <xf numFmtId="0" fontId="20" fillId="0" borderId="18" xfId="8" applyFont="1" applyBorder="1" applyAlignment="1">
      <alignment wrapText="1"/>
    </xf>
    <xf numFmtId="0" fontId="17" fillId="0" borderId="18" xfId="8" applyFont="1" applyBorder="1" applyAlignment="1">
      <alignment wrapText="1"/>
    </xf>
    <xf numFmtId="0" fontId="20" fillId="0" borderId="18" xfId="8" applyFont="1" applyBorder="1" applyAlignment="1">
      <alignment horizontal="left" wrapText="1"/>
    </xf>
    <xf numFmtId="0" fontId="20" fillId="0" borderId="57" xfId="8" applyFont="1" applyBorder="1" applyAlignment="1">
      <alignment wrapText="1"/>
    </xf>
    <xf numFmtId="0" fontId="20" fillId="0" borderId="58" xfId="8" applyFont="1" applyBorder="1" applyAlignment="1">
      <alignment wrapText="1"/>
    </xf>
    <xf numFmtId="0" fontId="20" fillId="0" borderId="59" xfId="8" applyFont="1" applyBorder="1" applyAlignment="1">
      <alignment wrapText="1"/>
    </xf>
    <xf numFmtId="0" fontId="10" fillId="0" borderId="0" xfId="8" applyFont="1" applyAlignment="1">
      <alignment horizontal="justify" wrapText="1"/>
    </xf>
    <xf numFmtId="0" fontId="9" fillId="0" borderId="0" xfId="8" applyFont="1" applyAlignment="1">
      <alignment wrapText="1"/>
    </xf>
    <xf numFmtId="0" fontId="9" fillId="0" borderId="0" xfId="8" applyFont="1"/>
    <xf numFmtId="0" fontId="10" fillId="0" borderId="0" xfId="8" applyFont="1" applyAlignment="1">
      <alignment wrapText="1"/>
    </xf>
    <xf numFmtId="0" fontId="11" fillId="0" borderId="0" xfId="8" applyAlignment="1">
      <alignment wrapText="1"/>
    </xf>
    <xf numFmtId="0" fontId="10" fillId="0" borderId="0" xfId="8" applyFont="1" applyAlignment="1">
      <alignment horizontal="left" vertical="center" wrapText="1"/>
    </xf>
    <xf numFmtId="0" fontId="14" fillId="0" borderId="0" xfId="8" applyFont="1" applyAlignment="1">
      <alignment horizontal="center"/>
    </xf>
    <xf numFmtId="0" fontId="11" fillId="0" borderId="0" xfId="8" applyAlignment="1">
      <alignment horizontal="center"/>
    </xf>
    <xf numFmtId="0" fontId="13" fillId="0" borderId="0" xfId="8" applyFont="1" applyAlignment="1">
      <alignment horizontal="center"/>
    </xf>
    <xf numFmtId="0" fontId="16" fillId="0" borderId="0" xfId="8" applyFont="1" applyAlignment="1">
      <alignment horizontal="left" vertical="center" wrapText="1"/>
    </xf>
    <xf numFmtId="0" fontId="17" fillId="0" borderId="0" xfId="8" applyFont="1" applyAlignment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0" fillId="0" borderId="18" xfId="8" applyFont="1" applyBorder="1" applyAlignment="1">
      <alignment horizontal="left"/>
    </xf>
    <xf numFmtId="0" fontId="17" fillId="0" borderId="18" xfId="8" applyFont="1" applyBorder="1"/>
    <xf numFmtId="0" fontId="13" fillId="0" borderId="0" xfId="8" applyFont="1" applyAlignment="1">
      <alignment horizontal="left" wrapText="1"/>
    </xf>
    <xf numFmtId="0" fontId="13" fillId="0" borderId="0" xfId="8" applyFont="1" applyAlignment="1">
      <alignment horizontal="left" vertical="center"/>
    </xf>
    <xf numFmtId="0" fontId="10" fillId="0" borderId="0" xfId="176" applyFont="1" applyAlignment="1">
      <alignment vertical="center" wrapText="1"/>
    </xf>
    <xf numFmtId="0" fontId="12" fillId="0" borderId="0" xfId="3" applyFont="1" applyAlignment="1" applyProtection="1">
      <alignment vertical="center" wrapText="1"/>
      <protection locked="0"/>
    </xf>
    <xf numFmtId="0" fontId="50" fillId="0" borderId="23" xfId="175" applyFont="1" applyBorder="1" applyAlignment="1">
      <alignment horizontal="center" vertical="center" wrapText="1"/>
    </xf>
    <xf numFmtId="0" fontId="50" fillId="0" borderId="24" xfId="175" applyFont="1" applyBorder="1" applyAlignment="1">
      <alignment horizontal="center" vertical="center" wrapText="1"/>
    </xf>
    <xf numFmtId="0" fontId="50" fillId="0" borderId="27" xfId="175" applyFont="1" applyBorder="1" applyAlignment="1">
      <alignment horizontal="center" vertical="center" wrapText="1"/>
    </xf>
    <xf numFmtId="0" fontId="50" fillId="0" borderId="5" xfId="175" applyFont="1" applyBorder="1" applyAlignment="1">
      <alignment horizontal="center" vertical="center" wrapText="1"/>
    </xf>
    <xf numFmtId="0" fontId="51" fillId="0" borderId="25" xfId="175" applyFont="1" applyBorder="1" applyAlignment="1">
      <alignment vertical="center" wrapText="1"/>
    </xf>
    <xf numFmtId="0" fontId="50" fillId="0" borderId="25" xfId="20" applyFont="1" applyBorder="1" applyAlignment="1">
      <alignment vertical="center" wrapText="1"/>
    </xf>
    <xf numFmtId="0" fontId="50" fillId="0" borderId="26" xfId="20" applyFont="1" applyBorder="1" applyAlignment="1">
      <alignment vertical="center" wrapText="1"/>
    </xf>
    <xf numFmtId="0" fontId="50" fillId="0" borderId="28" xfId="20" applyFont="1" applyBorder="1" applyAlignment="1">
      <alignment vertical="center" wrapText="1"/>
    </xf>
    <xf numFmtId="0" fontId="50" fillId="0" borderId="29" xfId="20" applyFont="1" applyBorder="1" applyAlignment="1">
      <alignment vertical="center" wrapText="1"/>
    </xf>
    <xf numFmtId="49" fontId="50" fillId="0" borderId="30" xfId="175" applyNumberFormat="1" applyFont="1" applyBorder="1" applyAlignment="1">
      <alignment horizontal="center" vertical="center"/>
    </xf>
    <xf numFmtId="0" fontId="50" fillId="0" borderId="31" xfId="175" applyFont="1" applyBorder="1" applyAlignment="1">
      <alignment horizontal="center" vertical="center"/>
    </xf>
    <xf numFmtId="0" fontId="51" fillId="0" borderId="31" xfId="175" applyFont="1" applyBorder="1" applyAlignment="1">
      <alignment vertical="center" wrapText="1"/>
    </xf>
    <xf numFmtId="0" fontId="50" fillId="0" borderId="31" xfId="20" applyFont="1" applyBorder="1" applyAlignment="1">
      <alignment vertical="center" wrapText="1"/>
    </xf>
    <xf numFmtId="0" fontId="50" fillId="0" borderId="32" xfId="20" applyFont="1" applyBorder="1" applyAlignment="1">
      <alignment vertical="center" wrapText="1"/>
    </xf>
    <xf numFmtId="0" fontId="9" fillId="0" borderId="15" xfId="175" applyFont="1" applyBorder="1" applyAlignment="1">
      <alignment horizontal="center" vertical="center" wrapText="1"/>
    </xf>
    <xf numFmtId="0" fontId="9" fillId="0" borderId="15" xfId="20" applyFont="1" applyBorder="1" applyAlignment="1">
      <alignment vertical="center" wrapText="1"/>
    </xf>
    <xf numFmtId="0" fontId="11" fillId="0" borderId="0" xfId="3" applyAlignment="1" applyProtection="1">
      <alignment vertical="center" wrapText="1"/>
      <protection locked="0"/>
    </xf>
    <xf numFmtId="0" fontId="28" fillId="0" borderId="0" xfId="154" applyAlignment="1" applyProtection="1">
      <alignment vertical="center" wrapText="1"/>
      <protection locked="0"/>
    </xf>
    <xf numFmtId="37" fontId="61" fillId="0" borderId="39" xfId="154" applyNumberFormat="1" applyFont="1" applyBorder="1" applyAlignment="1" applyProtection="1">
      <alignment horizontal="center"/>
      <protection locked="0"/>
    </xf>
    <xf numFmtId="0" fontId="85" fillId="0" borderId="40" xfId="154" applyFont="1" applyBorder="1" applyAlignment="1" applyProtection="1">
      <alignment horizontal="center"/>
      <protection locked="0"/>
    </xf>
    <xf numFmtId="0" fontId="85" fillId="0" borderId="41" xfId="154" applyFont="1" applyBorder="1" applyAlignment="1" applyProtection="1">
      <alignment horizontal="center"/>
      <protection locked="0"/>
    </xf>
    <xf numFmtId="0" fontId="12" fillId="0" borderId="0" xfId="25" applyAlignment="1">
      <alignment vertical="center" wrapText="1"/>
      <protection locked="0"/>
    </xf>
    <xf numFmtId="0" fontId="12" fillId="0" borderId="0" xfId="154" applyFont="1" applyAlignment="1" applyProtection="1">
      <alignment vertical="center" wrapText="1"/>
      <protection locked="0"/>
    </xf>
    <xf numFmtId="0" fontId="61" fillId="0" borderId="0" xfId="25" applyFont="1" applyAlignment="1" applyProtection="1">
      <alignment horizontal="left"/>
    </xf>
    <xf numFmtId="4" fontId="274" fillId="0" borderId="72" xfId="142" applyNumberFormat="1" applyFont="1" applyBorder="1" applyAlignment="1" applyProtection="1">
      <alignment horizontal="center"/>
      <protection locked="0"/>
    </xf>
    <xf numFmtId="4" fontId="274" fillId="0" borderId="73" xfId="142" applyNumberFormat="1" applyFont="1" applyBorder="1" applyAlignment="1" applyProtection="1">
      <alignment horizontal="center"/>
      <protection locked="0"/>
    </xf>
    <xf numFmtId="0" fontId="11" fillId="0" borderId="0" xfId="25" applyFont="1" applyAlignment="1">
      <alignment horizontal="left" vertical="top" wrapText="1"/>
      <protection locked="0"/>
    </xf>
    <xf numFmtId="0" fontId="117" fillId="0" borderId="35" xfId="142" applyFont="1" applyBorder="1" applyAlignment="1" applyProtection="1">
      <alignment horizontal="left" vertical="top" wrapText="1"/>
      <protection locked="0"/>
    </xf>
    <xf numFmtId="0" fontId="117" fillId="0" borderId="0" xfId="142" applyFont="1" applyAlignment="1" applyProtection="1">
      <alignment horizontal="left" vertical="top" wrapText="1"/>
      <protection locked="0"/>
    </xf>
    <xf numFmtId="0" fontId="11" fillId="0" borderId="0" xfId="142" applyAlignment="1" applyProtection="1">
      <alignment horizontal="left" vertical="top" wrapText="1"/>
      <protection locked="0"/>
    </xf>
    <xf numFmtId="0" fontId="3" fillId="0" borderId="0" xfId="142" applyFont="1" applyAlignment="1" applyProtection="1">
      <alignment horizontal="left" vertical="center" wrapText="1"/>
      <protection locked="0"/>
    </xf>
    <xf numFmtId="4" fontId="68" fillId="0" borderId="37" xfId="154" applyNumberFormat="1" applyFont="1" applyBorder="1" applyAlignment="1" applyProtection="1">
      <alignment horizontal="center" wrapText="1"/>
      <protection locked="0"/>
    </xf>
    <xf numFmtId="4" fontId="68" fillId="0" borderId="38" xfId="154" applyNumberFormat="1" applyFont="1" applyBorder="1" applyAlignment="1" applyProtection="1">
      <alignment horizontal="center" wrapText="1"/>
      <protection locked="0"/>
    </xf>
    <xf numFmtId="0" fontId="54" fillId="0" borderId="35" xfId="142" applyFont="1" applyBorder="1" applyAlignment="1" applyProtection="1">
      <alignment horizontal="left" wrapText="1"/>
      <protection locked="0"/>
    </xf>
    <xf numFmtId="0" fontId="54" fillId="0" borderId="0" xfId="142" applyFont="1" applyAlignment="1" applyProtection="1">
      <alignment horizontal="left" wrapText="1"/>
      <protection locked="0"/>
    </xf>
    <xf numFmtId="4" fontId="274" fillId="0" borderId="72" xfId="154" applyNumberFormat="1" applyFont="1" applyBorder="1" applyAlignment="1" applyProtection="1">
      <alignment horizontal="center"/>
      <protection locked="0"/>
    </xf>
    <xf numFmtId="4" fontId="274" fillId="0" borderId="73" xfId="154" applyNumberFormat="1" applyFont="1" applyBorder="1" applyAlignment="1" applyProtection="1">
      <alignment horizontal="center"/>
      <protection locked="0"/>
    </xf>
    <xf numFmtId="0" fontId="154" fillId="0" borderId="0" xfId="176" applyFont="1" applyAlignment="1">
      <alignment horizontal="left" vertical="center" wrapText="1"/>
    </xf>
    <xf numFmtId="0" fontId="28" fillId="0" borderId="0" xfId="89" applyAlignment="1" applyProtection="1">
      <alignment vertical="center" wrapText="1"/>
      <protection locked="0"/>
    </xf>
    <xf numFmtId="0" fontId="61" fillId="0" borderId="0" xfId="25" applyFont="1" applyAlignment="1" applyProtection="1">
      <alignment horizontal="left" wrapText="1"/>
    </xf>
    <xf numFmtId="0" fontId="29" fillId="0" borderId="0" xfId="24" applyAlignment="1">
      <alignment horizontal="left" wrapText="1"/>
      <protection locked="0"/>
    </xf>
    <xf numFmtId="37" fontId="61" fillId="0" borderId="39" xfId="89" applyNumberFormat="1" applyFont="1" applyBorder="1" applyAlignment="1" applyProtection="1">
      <alignment horizontal="center"/>
      <protection locked="0"/>
    </xf>
    <xf numFmtId="0" fontId="85" fillId="0" borderId="40" xfId="89" applyFont="1" applyBorder="1" applyAlignment="1" applyProtection="1">
      <alignment horizontal="center"/>
      <protection locked="0"/>
    </xf>
    <xf numFmtId="0" fontId="85" fillId="0" borderId="41" xfId="89" applyFont="1" applyBorder="1" applyAlignment="1" applyProtection="1">
      <alignment horizontal="center"/>
      <protection locked="0"/>
    </xf>
    <xf numFmtId="0" fontId="12" fillId="0" borderId="0" xfId="89" applyFont="1" applyAlignment="1" applyProtection="1">
      <alignment vertical="center" wrapText="1"/>
      <protection locked="0"/>
    </xf>
    <xf numFmtId="0" fontId="61" fillId="0" borderId="0" xfId="22" applyFont="1" applyAlignment="1">
      <alignment horizontal="left" wrapText="1"/>
    </xf>
    <xf numFmtId="0" fontId="28" fillId="0" borderId="0" xfId="154" applyAlignment="1">
      <alignment horizontal="left" wrapText="1"/>
    </xf>
    <xf numFmtId="37" fontId="61" fillId="0" borderId="40" xfId="154" applyNumberFormat="1" applyFont="1" applyBorder="1" applyAlignment="1" applyProtection="1">
      <alignment horizontal="center"/>
      <protection locked="0"/>
    </xf>
    <xf numFmtId="37" fontId="61" fillId="0" borderId="41" xfId="154" applyNumberFormat="1" applyFont="1" applyBorder="1" applyAlignment="1" applyProtection="1">
      <alignment horizontal="center"/>
      <protection locked="0"/>
    </xf>
    <xf numFmtId="0" fontId="28" fillId="0" borderId="0" xfId="154" applyAlignment="1">
      <alignment horizontal="left" vertical="top" wrapText="1"/>
    </xf>
    <xf numFmtId="0" fontId="277" fillId="0" borderId="0" xfId="154" applyFont="1" applyAlignment="1">
      <alignment horizontal="left" vertical="top" wrapText="1"/>
    </xf>
    <xf numFmtId="0" fontId="11" fillId="0" borderId="0" xfId="142" applyAlignment="1">
      <alignment horizontal="left" wrapText="1"/>
    </xf>
    <xf numFmtId="37" fontId="61" fillId="0" borderId="39" xfId="184" applyNumberFormat="1" applyFont="1" applyBorder="1" applyAlignment="1">
      <alignment horizontal="center"/>
    </xf>
    <xf numFmtId="37" fontId="61" fillId="0" borderId="40" xfId="184" applyNumberFormat="1" applyFont="1" applyBorder="1" applyAlignment="1">
      <alignment horizontal="center"/>
    </xf>
    <xf numFmtId="37" fontId="61" fillId="0" borderId="41" xfId="184" applyNumberFormat="1" applyFont="1" applyBorder="1" applyAlignment="1">
      <alignment horizontal="center"/>
    </xf>
    <xf numFmtId="0" fontId="0" fillId="0" borderId="0" xfId="0" applyAlignment="1" applyProtection="1">
      <alignment horizontal="left" wrapText="1"/>
    </xf>
    <xf numFmtId="37" fontId="61" fillId="0" borderId="39" xfId="0" applyNumberFormat="1" applyFont="1" applyBorder="1" applyAlignment="1">
      <alignment horizontal="center"/>
      <protection locked="0"/>
    </xf>
    <xf numFmtId="37" fontId="61" fillId="0" borderId="40" xfId="0" applyNumberFormat="1" applyFont="1" applyBorder="1" applyAlignment="1">
      <alignment horizontal="center"/>
      <protection locked="0"/>
    </xf>
    <xf numFmtId="37" fontId="61" fillId="0" borderId="41" xfId="0" applyNumberFormat="1" applyFont="1" applyBorder="1" applyAlignment="1">
      <alignment horizontal="center"/>
      <protection locked="0"/>
    </xf>
    <xf numFmtId="0" fontId="2" fillId="0" borderId="0" xfId="184" applyAlignment="1">
      <alignment horizontal="left" wrapText="1"/>
    </xf>
    <xf numFmtId="0" fontId="67" fillId="0" borderId="0" xfId="44" applyFont="1" applyAlignment="1" applyProtection="1">
      <alignment horizontal="left" vertical="top" wrapText="1"/>
    </xf>
    <xf numFmtId="0" fontId="197" fillId="0" borderId="0" xfId="184" applyFont="1" applyAlignment="1">
      <alignment horizontal="left" vertical="center" wrapText="1"/>
    </xf>
    <xf numFmtId="0" fontId="61" fillId="0" borderId="0" xfId="79" applyFont="1" applyAlignment="1" applyProtection="1">
      <alignment horizontal="left" wrapText="1"/>
    </xf>
    <xf numFmtId="0" fontId="1" fillId="0" borderId="0" xfId="196" applyAlignment="1">
      <alignment horizontal="left" wrapText="1"/>
    </xf>
    <xf numFmtId="0" fontId="10" fillId="0" borderId="0" xfId="16" applyFont="1" applyAlignment="1">
      <alignment vertical="center" wrapText="1"/>
    </xf>
    <xf numFmtId="0" fontId="61" fillId="0" borderId="0" xfId="23" applyFont="1" applyAlignment="1" applyProtection="1">
      <alignment horizontal="left" wrapText="1"/>
    </xf>
    <xf numFmtId="0" fontId="2" fillId="0" borderId="0" xfId="186" applyAlignment="1">
      <alignment horizontal="left" wrapText="1"/>
    </xf>
    <xf numFmtId="0" fontId="2" fillId="0" borderId="0" xfId="187" applyAlignment="1" applyProtection="1">
      <alignment horizontal="left" wrapText="1"/>
      <protection locked="0"/>
    </xf>
    <xf numFmtId="37" fontId="61" fillId="0" borderId="39" xfId="185" applyNumberFormat="1" applyFont="1" applyBorder="1" applyAlignment="1">
      <alignment horizontal="center"/>
    </xf>
    <xf numFmtId="37" fontId="61" fillId="0" borderId="40" xfId="185" applyNumberFormat="1" applyFont="1" applyBorder="1" applyAlignment="1">
      <alignment horizontal="center"/>
    </xf>
    <xf numFmtId="37" fontId="61" fillId="0" borderId="41" xfId="185" applyNumberFormat="1" applyFont="1" applyBorder="1" applyAlignment="1">
      <alignment horizontal="center"/>
    </xf>
    <xf numFmtId="0" fontId="11" fillId="0" borderId="0" xfId="3" applyAlignment="1" applyProtection="1">
      <alignment horizontal="left" wrapText="1"/>
      <protection locked="0"/>
    </xf>
    <xf numFmtId="39" fontId="9" fillId="0" borderId="37" xfId="131" applyNumberFormat="1" applyFont="1" applyBorder="1" applyAlignment="1">
      <alignment horizontal="center" wrapText="1"/>
      <protection locked="0"/>
    </xf>
    <xf numFmtId="39" fontId="9" fillId="0" borderId="38" xfId="131" applyNumberFormat="1" applyFont="1" applyBorder="1" applyAlignment="1">
      <alignment horizontal="center" wrapText="1"/>
      <protection locked="0"/>
    </xf>
    <xf numFmtId="4" fontId="285" fillId="0" borderId="72" xfId="154" applyNumberFormat="1" applyFont="1" applyBorder="1" applyAlignment="1" applyProtection="1">
      <alignment horizontal="center"/>
      <protection locked="0"/>
    </xf>
    <xf numFmtId="4" fontId="285" fillId="0" borderId="73" xfId="154" applyNumberFormat="1" applyFont="1" applyBorder="1" applyAlignment="1" applyProtection="1">
      <alignment horizontal="center"/>
      <protection locked="0"/>
    </xf>
  </cellXfs>
  <cellStyles count="206">
    <cellStyle name="1D čísla" xfId="49" xr:uid="{00000000-0005-0000-0000-000000000000}"/>
    <cellStyle name="2D čísla" xfId="50" xr:uid="{00000000-0005-0000-0000-000001000000}"/>
    <cellStyle name="3D čísla" xfId="51" xr:uid="{00000000-0005-0000-0000-000002000000}"/>
    <cellStyle name="Celá čísla" xfId="52" xr:uid="{00000000-0005-0000-0000-000003000000}"/>
    <cellStyle name="Čárka 2" xfId="165" xr:uid="{61278A7B-0693-43DC-BD06-462982CA07C6}"/>
    <cellStyle name="čárky 2" xfId="53" xr:uid="{00000000-0005-0000-0000-000004000000}"/>
    <cellStyle name="čárky 2 2" xfId="54" xr:uid="{00000000-0005-0000-0000-000005000000}"/>
    <cellStyle name="čárky 2 2 2" xfId="55" xr:uid="{00000000-0005-0000-0000-000006000000}"/>
    <cellStyle name="čárky 2 3" xfId="56" xr:uid="{00000000-0005-0000-0000-000007000000}"/>
    <cellStyle name="čárky 2 3 2" xfId="57" xr:uid="{00000000-0005-0000-0000-000008000000}"/>
    <cellStyle name="čárky 3" xfId="58" xr:uid="{00000000-0005-0000-0000-000009000000}"/>
    <cellStyle name="čárky 3 2" xfId="59" xr:uid="{00000000-0005-0000-0000-00000A000000}"/>
    <cellStyle name="čárky 3 2 2" xfId="60" xr:uid="{00000000-0005-0000-0000-00000B000000}"/>
    <cellStyle name="čárky 4" xfId="61" xr:uid="{00000000-0005-0000-0000-00000C000000}"/>
    <cellStyle name="Excel Built-in Normal" xfId="62" xr:uid="{00000000-0005-0000-0000-00000D000000}"/>
    <cellStyle name="Hlavička" xfId="63" xr:uid="{00000000-0005-0000-0000-00000E000000}"/>
    <cellStyle name="Hypertextový odkaz 2" xfId="27" xr:uid="{00000000-0005-0000-0000-000010000000}"/>
    <cellStyle name="Hypertextový odkaz 2 2" xfId="28" xr:uid="{00000000-0005-0000-0000-000011000000}"/>
    <cellStyle name="Hypertextový odkaz 2 2 2" xfId="48" xr:uid="{00000000-0005-0000-0000-000012000000}"/>
    <cellStyle name="Hypertextový odkaz 2 3" xfId="197" xr:uid="{B6E75549-3E12-49C7-A4D4-251BE23B09D7}"/>
    <cellStyle name="Hypertextový odkaz 3" xfId="64" xr:uid="{00000000-0005-0000-0000-000013000000}"/>
    <cellStyle name="Hypertextový odkaz 3 2" xfId="127" xr:uid="{00000000-0005-0000-0000-000014000000}"/>
    <cellStyle name="Hypertextový odkaz 4" xfId="29" xr:uid="{00000000-0005-0000-0000-000015000000}"/>
    <cellStyle name="Hypertextový odkaz 4 2" xfId="139" xr:uid="{EE11A8FF-4417-4316-B5A4-C4652DFA6572}"/>
    <cellStyle name="Hypertextový odkaz 4 2 2" xfId="145" xr:uid="{CB6EB0F4-83A5-4CEE-B600-FD178C3FF190}"/>
    <cellStyle name="Hypertextový odkaz 4 2 3" xfId="204" xr:uid="{CA0D23DB-C410-4F12-B24A-021646455282}"/>
    <cellStyle name="Hypertextový odkaz 4 3" xfId="146" xr:uid="{548B2906-715B-4934-96F5-FF963AD4D640}"/>
    <cellStyle name="Hypertextový odkaz 5" xfId="122" xr:uid="{00000000-0005-0000-0000-000016000000}"/>
    <cellStyle name="Hypertextový odkaz 5 2" xfId="143" xr:uid="{CEC72D07-9ADC-4917-A1C0-C105A415B6C6}"/>
    <cellStyle name="Hypertextový odkaz 6" xfId="126" xr:uid="{00000000-0005-0000-0000-000017000000}"/>
    <cellStyle name="Měna 2" xfId="163" xr:uid="{69E4C439-3072-4BCF-A435-05E40576BF36}"/>
    <cellStyle name="Nadpis listu" xfId="65" xr:uid="{00000000-0005-0000-0000-000018000000}"/>
    <cellStyle name="Normal_Power Voltage Bill 08.06" xfId="1" xr:uid="{00000000-0005-0000-0000-000019000000}"/>
    <cellStyle name="Normale_Complete_official_price_list_2007CZ" xfId="2" xr:uid="{00000000-0005-0000-0000-00001A000000}"/>
    <cellStyle name="Normální" xfId="0" builtinId="0"/>
    <cellStyle name="Normální 10" xfId="3" xr:uid="{00000000-0005-0000-0000-00001C000000}"/>
    <cellStyle name="Normální 10 2" xfId="66" xr:uid="{00000000-0005-0000-0000-00001D000000}"/>
    <cellStyle name="Normální 11" xfId="4" xr:uid="{00000000-0005-0000-0000-00001E000000}"/>
    <cellStyle name="normální 11 2" xfId="67" xr:uid="{00000000-0005-0000-0000-00001F000000}"/>
    <cellStyle name="normální 11 2 2" xfId="190" xr:uid="{13000DC5-BBA3-4048-B470-2EBF4308B4D2}"/>
    <cellStyle name="Normální 11 2 3" xfId="155" xr:uid="{4BD5F0D7-AAA5-4326-A596-4E0E208775E5}"/>
    <cellStyle name="Normální 11 3" xfId="124" xr:uid="{00000000-0005-0000-0000-000020000000}"/>
    <cellStyle name="normální 11 3 2" xfId="131" xr:uid="{00000000-0005-0000-0000-000021000000}"/>
    <cellStyle name="Normální 11 3 2 2" xfId="192" xr:uid="{1EAF3F1D-4DC3-4C01-BBD1-7E234F44DD22}"/>
    <cellStyle name="Normální 11 5" xfId="159" xr:uid="{CA206A9D-666D-48F3-B48F-50E3386B8022}"/>
    <cellStyle name="Normální 11 5 2" xfId="184" xr:uid="{BB415DBF-3FDA-4878-9D6C-58A1E499D349}"/>
    <cellStyle name="Normální 11 5 2 2" xfId="202" xr:uid="{606E8CF8-FB78-4BDC-BF01-5C60C68FB9BA}"/>
    <cellStyle name="normální 11 6 2" xfId="169" xr:uid="{E3F49F12-E5D9-4112-B570-542CD892731D}"/>
    <cellStyle name="normální 12" xfId="21" xr:uid="{00000000-0005-0000-0000-000022000000}"/>
    <cellStyle name="Normální 12 2" xfId="40" xr:uid="{00000000-0005-0000-0000-000023000000}"/>
    <cellStyle name="Normální 12 2 2" xfId="68" xr:uid="{00000000-0005-0000-0000-000024000000}"/>
    <cellStyle name="Normální 12 2 2 2" xfId="69" xr:uid="{00000000-0005-0000-0000-000025000000}"/>
    <cellStyle name="Normální 12 2 2 3" xfId="142" xr:uid="{FECE4142-C79D-4576-970F-DC402CE57C77}"/>
    <cellStyle name="Normální 12 2 3" xfId="70" xr:uid="{00000000-0005-0000-0000-000026000000}"/>
    <cellStyle name="Normální 12 2 3 2" xfId="177" xr:uid="{A78DADD3-8068-4E33-B87B-32E7FFDA5B39}"/>
    <cellStyle name="Normální 12 2 3 3" xfId="205" xr:uid="{F1516BE5-FF63-4DCE-BC77-A678CB4FB2C1}"/>
    <cellStyle name="Normální 12 2 4" xfId="133" xr:uid="{E86A96AE-E1D1-4FB5-8A3E-C73FE1C5628D}"/>
    <cellStyle name="Normální 12 2 4 2" xfId="201" xr:uid="{9DCAD733-1A84-497A-8BF3-25F1843D47AE}"/>
    <cellStyle name="Normální 12 2 5" xfId="141" xr:uid="{BB4CD348-C6C4-4E88-8D11-43E9EB01666C}"/>
    <cellStyle name="Normální 12 2 6" xfId="152" xr:uid="{758A4E02-6369-41CB-8954-CF863A9100A0}"/>
    <cellStyle name="Normální 12 3" xfId="71" xr:uid="{00000000-0005-0000-0000-000027000000}"/>
    <cellStyle name="normální 12 3 2" xfId="136" xr:uid="{D2217B3A-9280-4FDD-A009-1E0D92300195}"/>
    <cellStyle name="normální 12 3 3" xfId="147" xr:uid="{7A675CDE-F80B-440D-863F-C04724BBCCBA}"/>
    <cellStyle name="normální 12 3 4" xfId="151" xr:uid="{F998A5E6-4824-4B93-B1B4-BBBB9B3EE1DC}"/>
    <cellStyle name="normální 12 3 5" xfId="180" xr:uid="{543D9523-0A68-4FA8-BC42-D3D1035AB115}"/>
    <cellStyle name="Normální 12 4" xfId="43" xr:uid="{00000000-0005-0000-0000-000028000000}"/>
    <cellStyle name="Normální 12 4 2" xfId="119" xr:uid="{00000000-0005-0000-0000-000029000000}"/>
    <cellStyle name="Normální 12 4 3" xfId="116" xr:uid="{00000000-0005-0000-0000-00002A000000}"/>
    <cellStyle name="Normální 12 4 4" xfId="135" xr:uid="{506CDFA8-6F11-4C7B-BF7D-0D0727FEFF89}"/>
    <cellStyle name="Normální 12 4 5" xfId="144" xr:uid="{4D73AD53-BD91-4F69-A99E-C18AB3517C58}"/>
    <cellStyle name="Normální 12 4 6" xfId="150" xr:uid="{7E1D8BED-50AA-44B7-B659-DDFFEE0F211E}"/>
    <cellStyle name="Normální 12 4 7" xfId="179" xr:uid="{0D9F37C0-C918-4290-9DCC-5D448D075177}"/>
    <cellStyle name="Normální 12 5" xfId="148" xr:uid="{A424A407-C587-4E30-B20D-67B31543D9FB}"/>
    <cellStyle name="Normální 12 6" xfId="194" xr:uid="{23FF7476-A709-448A-BF7C-27BDE9B9EC02}"/>
    <cellStyle name="normální 13" xfId="24" xr:uid="{00000000-0005-0000-0000-00002B000000}"/>
    <cellStyle name="Normální 13 2" xfId="33" xr:uid="{00000000-0005-0000-0000-00002C000000}"/>
    <cellStyle name="normální 13 2 2" xfId="46" xr:uid="{00000000-0005-0000-0000-00002D000000}"/>
    <cellStyle name="normální 14" xfId="39" xr:uid="{00000000-0005-0000-0000-00002E000000}"/>
    <cellStyle name="normální 14 2" xfId="45" xr:uid="{00000000-0005-0000-0000-00002F000000}"/>
    <cellStyle name="Normální 14 3" xfId="120" xr:uid="{00000000-0005-0000-0000-000030000000}"/>
    <cellStyle name="Normální 14 3 2" xfId="170" xr:uid="{FE89A3AE-C460-4953-A895-995C706FCA7E}"/>
    <cellStyle name="Normální 14 3 2 2" xfId="187" xr:uid="{A52C66D0-F189-49DD-8D82-D105EDA46256}"/>
    <cellStyle name="Normální 14 4" xfId="158" xr:uid="{E49C7AA0-99CC-4E17-8CE8-141504482D16}"/>
    <cellStyle name="Normální 14 5" xfId="182" xr:uid="{BC040075-AA66-4085-8EF8-A4099626D0BD}"/>
    <cellStyle name="normální 15" xfId="72" xr:uid="{00000000-0005-0000-0000-000031000000}"/>
    <cellStyle name="Normální 15 2" xfId="73" xr:uid="{00000000-0005-0000-0000-000032000000}"/>
    <cellStyle name="Normální 15 2 2" xfId="118" xr:uid="{00000000-0005-0000-0000-000033000000}"/>
    <cellStyle name="Normální 15 3" xfId="138" xr:uid="{B9B9000B-86BA-447B-8263-FE626BFDCA09}"/>
    <cellStyle name="Normální 16" xfId="74" xr:uid="{00000000-0005-0000-0000-000034000000}"/>
    <cellStyle name="Normální 16 2" xfId="75" xr:uid="{00000000-0005-0000-0000-000035000000}"/>
    <cellStyle name="Normální 16 3" xfId="154" xr:uid="{AA6CD071-7F1C-4EAD-A7EA-9FE8D3CB00D8}"/>
    <cellStyle name="Normální 17" xfId="35" xr:uid="{00000000-0005-0000-0000-000036000000}"/>
    <cellStyle name="Normální 18" xfId="76" xr:uid="{00000000-0005-0000-0000-000037000000}"/>
    <cellStyle name="normální 19" xfId="160" xr:uid="{C861ED7D-0EA2-4B46-BCE0-551664A3E04A}"/>
    <cellStyle name="Normální 2" xfId="5" xr:uid="{00000000-0005-0000-0000-000038000000}"/>
    <cellStyle name="Normální 2 10" xfId="166" xr:uid="{A37E0852-FA85-4AD5-9383-DDC2BD2AD2B7}"/>
    <cellStyle name="normální 2 2" xfId="6" xr:uid="{00000000-0005-0000-0000-000039000000}"/>
    <cellStyle name="normální 2 2 2" xfId="22" xr:uid="{00000000-0005-0000-0000-00003A000000}"/>
    <cellStyle name="normální 2 2 2 2" xfId="140" xr:uid="{263D2C46-8A30-466A-A7A8-7DB244BF0E2F}"/>
    <cellStyle name="Normální 2 2 3" xfId="25" xr:uid="{00000000-0005-0000-0000-00003B000000}"/>
    <cellStyle name="normální 2 2 3 2" xfId="149" xr:uid="{5F0B1EC9-88ED-4F86-BAE6-5E0F043C1EE1}"/>
    <cellStyle name="normální 2 2 4" xfId="77" xr:uid="{00000000-0005-0000-0000-00003C000000}"/>
    <cellStyle name="normální 2 2 5" xfId="132" xr:uid="{71F75F7B-8794-43E5-8347-F24644690D0B}"/>
    <cellStyle name="Normální 2 3" xfId="23" xr:uid="{00000000-0005-0000-0000-00003D000000}"/>
    <cellStyle name="Normální 2 3 2" xfId="78" xr:uid="{00000000-0005-0000-0000-00003E000000}"/>
    <cellStyle name="Normální 2 3 3" xfId="79" xr:uid="{00000000-0005-0000-0000-00003F000000}"/>
    <cellStyle name="Normální 2 3 4" xfId="125" xr:uid="{00000000-0005-0000-0000-000040000000}"/>
    <cellStyle name="Normální 2 4" xfId="80" xr:uid="{00000000-0005-0000-0000-000041000000}"/>
    <cellStyle name="Normální 2 4 2" xfId="81" xr:uid="{00000000-0005-0000-0000-000042000000}"/>
    <cellStyle name="normální 2 5" xfId="82" xr:uid="{00000000-0005-0000-0000-000043000000}"/>
    <cellStyle name="normální 2 6" xfId="83" xr:uid="{00000000-0005-0000-0000-000044000000}"/>
    <cellStyle name="Normální 2 7" xfId="84" xr:uid="{00000000-0005-0000-0000-000045000000}"/>
    <cellStyle name="normální 2 8" xfId="85" xr:uid="{00000000-0005-0000-0000-000046000000}"/>
    <cellStyle name="normální 2 8 2" xfId="86" xr:uid="{00000000-0005-0000-0000-000047000000}"/>
    <cellStyle name="Normální 2 9" xfId="30" xr:uid="{00000000-0005-0000-0000-000048000000}"/>
    <cellStyle name="Normální 2 9 2" xfId="137" xr:uid="{8DE67B93-60F8-4817-B65A-366658011D49}"/>
    <cellStyle name="Normální 20" xfId="162" xr:uid="{E45CF766-FE1A-412A-A969-8C5EA8DE075C}"/>
    <cellStyle name="Normální 21" xfId="164" xr:uid="{4E83BE05-4FC2-4C70-A709-AE53071B3920}"/>
    <cellStyle name="Normální 22" xfId="174" xr:uid="{391A2D82-9FBC-43AD-90B9-D7CAA0961924}"/>
    <cellStyle name="Normální 23" xfId="181" xr:uid="{E9CE7E04-9377-48F6-82D6-009806602F05}"/>
    <cellStyle name="Normální 3" xfId="7" xr:uid="{00000000-0005-0000-0000-000049000000}"/>
    <cellStyle name="Normální 3 2" xfId="8" xr:uid="{00000000-0005-0000-0000-00004A000000}"/>
    <cellStyle name="Normální 3 2 2" xfId="87" xr:uid="{00000000-0005-0000-0000-00004B000000}"/>
    <cellStyle name="Normální 3 3" xfId="88" xr:uid="{00000000-0005-0000-0000-00004C000000}"/>
    <cellStyle name="Normální 3 3 2" xfId="89" xr:uid="{00000000-0005-0000-0000-00004D000000}"/>
    <cellStyle name="Normální 3 3 2 2" xfId="156" xr:uid="{B147709C-209C-466D-8858-03591A291C96}"/>
    <cellStyle name="Normální 3 3 3" xfId="129" xr:uid="{00000000-0005-0000-0000-00004E000000}"/>
    <cellStyle name="Normální 3 3 3 2" xfId="130" xr:uid="{00000000-0005-0000-0000-00004F000000}"/>
    <cellStyle name="Normální 3 3 4" xfId="183" xr:uid="{2EDBD440-A60D-4F9E-AE74-20726257CD20}"/>
    <cellStyle name="Normální 3 3 4 2" xfId="199" xr:uid="{E4887972-1D41-450D-A5D3-69CF6F92139A}"/>
    <cellStyle name="Normální 3 4" xfId="171" xr:uid="{56569CF3-3351-4080-B15F-AC8C9A2B9261}"/>
    <cellStyle name="Normální 3 5" xfId="198" xr:uid="{A3B214F1-E771-4314-A871-F29FFCBA3EB5}"/>
    <cellStyle name="normální 30" xfId="90" xr:uid="{00000000-0005-0000-0000-000050000000}"/>
    <cellStyle name="Normální 4" xfId="9" xr:uid="{00000000-0005-0000-0000-000051000000}"/>
    <cellStyle name="Normální 4 10" xfId="91" xr:uid="{00000000-0005-0000-0000-000052000000}"/>
    <cellStyle name="Normální 4 11" xfId="123" xr:uid="{00000000-0005-0000-0000-000053000000}"/>
    <cellStyle name="Normální 4 12" xfId="172" xr:uid="{620691F0-16AF-4CC7-9CCE-3155503947B2}"/>
    <cellStyle name="Normální 4 13" xfId="191" xr:uid="{E04A89EB-B07B-4AAA-A389-B918A2AF2B59}"/>
    <cellStyle name="normální 4 2" xfId="92" xr:uid="{00000000-0005-0000-0000-000054000000}"/>
    <cellStyle name="Normální 4 3" xfId="93" xr:uid="{00000000-0005-0000-0000-000055000000}"/>
    <cellStyle name="Normální 4 4" xfId="94" xr:uid="{00000000-0005-0000-0000-000056000000}"/>
    <cellStyle name="Normální 4 5" xfId="95" xr:uid="{00000000-0005-0000-0000-000057000000}"/>
    <cellStyle name="Normální 4 6" xfId="96" xr:uid="{00000000-0005-0000-0000-000058000000}"/>
    <cellStyle name="Normální 4 7" xfId="97" xr:uid="{00000000-0005-0000-0000-000059000000}"/>
    <cellStyle name="Normální 4 8" xfId="98" xr:uid="{00000000-0005-0000-0000-00005A000000}"/>
    <cellStyle name="Normální 4 9" xfId="99" xr:uid="{00000000-0005-0000-0000-00005B000000}"/>
    <cellStyle name="Normální 5" xfId="10" xr:uid="{00000000-0005-0000-0000-00005C000000}"/>
    <cellStyle name="normální 5 10" xfId="100" xr:uid="{00000000-0005-0000-0000-00005D000000}"/>
    <cellStyle name="normální 5 2" xfId="101" xr:uid="{00000000-0005-0000-0000-00005E000000}"/>
    <cellStyle name="normální 5 3" xfId="102" xr:uid="{00000000-0005-0000-0000-00005F000000}"/>
    <cellStyle name="Normální 5 4" xfId="161" xr:uid="{2D08069A-5AF0-4097-A6BC-4426C302A270}"/>
    <cellStyle name="Normální 5 5" xfId="188" xr:uid="{48A26975-33CE-45EE-87A2-1C4379C29DF5}"/>
    <cellStyle name="Normální 5 5 2" xfId="200" xr:uid="{045DF273-C72B-4F2B-903F-C2363B116F11}"/>
    <cellStyle name="Normální 5 6" xfId="195" xr:uid="{99C14A62-548F-4FB4-96B1-C56DDEBF17D6}"/>
    <cellStyle name="Normální 57" xfId="103" xr:uid="{00000000-0005-0000-0000-000060000000}"/>
    <cellStyle name="Normální 6" xfId="11" xr:uid="{00000000-0005-0000-0000-000061000000}"/>
    <cellStyle name="normální 6 2" xfId="104" xr:uid="{00000000-0005-0000-0000-000062000000}"/>
    <cellStyle name="normální 6 3" xfId="105" xr:uid="{00000000-0005-0000-0000-000063000000}"/>
    <cellStyle name="normální 6 4" xfId="106" xr:uid="{00000000-0005-0000-0000-000064000000}"/>
    <cellStyle name="Normální 7" xfId="12" xr:uid="{00000000-0005-0000-0000-000065000000}"/>
    <cellStyle name="normální 7 2" xfId="107" xr:uid="{00000000-0005-0000-0000-000066000000}"/>
    <cellStyle name="normální 7 3" xfId="108" xr:uid="{00000000-0005-0000-0000-000067000000}"/>
    <cellStyle name="Normální 8" xfId="13" xr:uid="{00000000-0005-0000-0000-000068000000}"/>
    <cellStyle name="Normální 8 2" xfId="14" xr:uid="{00000000-0005-0000-0000-000069000000}"/>
    <cellStyle name="Normální 8 2 2" xfId="20" xr:uid="{00000000-0005-0000-0000-00006A000000}"/>
    <cellStyle name="Normální 8 3" xfId="41" xr:uid="{00000000-0005-0000-0000-00006B000000}"/>
    <cellStyle name="normální 8 3 2" xfId="134" xr:uid="{04BAF990-2AF7-4EA4-A6D7-DFA5C9F48F4F}"/>
    <cellStyle name="Normální 8 4" xfId="47" xr:uid="{00000000-0005-0000-0000-00006C000000}"/>
    <cellStyle name="Normální 9" xfId="15" xr:uid="{00000000-0005-0000-0000-00006D000000}"/>
    <cellStyle name="normální 9 2" xfId="34" xr:uid="{00000000-0005-0000-0000-00006E000000}"/>
    <cellStyle name="Normální 9 2 2" xfId="36" xr:uid="{00000000-0005-0000-0000-00006F000000}"/>
    <cellStyle name="normální 9 2 2 2" xfId="128" xr:uid="{00000000-0005-0000-0000-000070000000}"/>
    <cellStyle name="normální 9 2 3" xfId="109" xr:uid="{00000000-0005-0000-0000-000071000000}"/>
    <cellStyle name="normální 9 2 3 2" xfId="157" xr:uid="{AA177530-69D3-4E34-9979-37870DFADA4F}"/>
    <cellStyle name="normální 9 2 3 2 2" xfId="203" xr:uid="{133D26D0-7180-4A5D-B9B7-FE75FCC18E32}"/>
    <cellStyle name="Normální 9 2 4" xfId="110" xr:uid="{00000000-0005-0000-0000-000072000000}"/>
    <cellStyle name="Normální 9 2 4 2" xfId="189" xr:uid="{06961738-35B6-40CB-8055-69E29970D491}"/>
    <cellStyle name="Normální 9 2 4 2 2" xfId="196" xr:uid="{CB6CDD65-C2F6-4A6E-BD47-4E8C3ADDC071}"/>
    <cellStyle name="normální 9 2 5" xfId="44" xr:uid="{00000000-0005-0000-0000-000073000000}"/>
    <cellStyle name="Normální 9 3" xfId="37" xr:uid="{00000000-0005-0000-0000-000074000000}"/>
    <cellStyle name="Normální 9 3 2" xfId="42" xr:uid="{00000000-0005-0000-0000-000075000000}"/>
    <cellStyle name="Normální 9 3 3" xfId="121" xr:uid="{00000000-0005-0000-0000-000076000000}"/>
    <cellStyle name="Normální 9 3 4" xfId="117" xr:uid="{00000000-0005-0000-0000-000077000000}"/>
    <cellStyle name="normální 9 4" xfId="31" xr:uid="{00000000-0005-0000-0000-000078000000}"/>
    <cellStyle name="normální 9 4 2" xfId="38" xr:uid="{00000000-0005-0000-0000-000079000000}"/>
    <cellStyle name="normální 9 5" xfId="26" xr:uid="{00000000-0005-0000-0000-00007A000000}"/>
    <cellStyle name="Normální 9 6" xfId="32" xr:uid="{00000000-0005-0000-0000-00007B000000}"/>
    <cellStyle name="Normální 9 6 2" xfId="185" xr:uid="{D1CCA9AF-717B-4C61-9E83-2FCE4988940C}"/>
    <cellStyle name="Normální 9 7" xfId="168" xr:uid="{660F83E1-2BE8-4588-866C-696BFBF5A33C}"/>
    <cellStyle name="Normální 9 7 2" xfId="186" xr:uid="{D468FAE0-C807-47D6-80DB-9775DC71901E}"/>
    <cellStyle name="Normální 9 8" xfId="153" xr:uid="{269FCE19-ED8B-4433-9548-B39C3DD4C787}"/>
    <cellStyle name="normální_2014-02-21 D.1.1. ASR - BP a NS" xfId="178" xr:uid="{4363131D-9C0E-4CF8-85B7-3DCE190DCD17}"/>
    <cellStyle name="normální_POL.XLS 2" xfId="176" xr:uid="{F4968185-220A-4112-98B2-101148FDAC22}"/>
    <cellStyle name="normální_POL.XLS 3" xfId="16" xr:uid="{00000000-0005-0000-0000-00007F000000}"/>
    <cellStyle name="normální_POL.XLS 3 2" xfId="175" xr:uid="{54FD5EFC-2A43-4847-9F12-C353379161AB}"/>
    <cellStyle name="normální_POL.XLS_D.2.1. KANALIZACE (AREALOVA+PRIPOJKA) 2" xfId="193" xr:uid="{63087609-9CE5-41FA-B80A-576D5D41B252}"/>
    <cellStyle name="Podhlavička" xfId="111" xr:uid="{00000000-0005-0000-0000-000081000000}"/>
    <cellStyle name="pozice" xfId="112" xr:uid="{00000000-0005-0000-0000-000082000000}"/>
    <cellStyle name="pozice 2" xfId="113" xr:uid="{00000000-0005-0000-0000-000083000000}"/>
    <cellStyle name="Poznámka 2" xfId="114" xr:uid="{00000000-0005-0000-0000-000084000000}"/>
    <cellStyle name="procent 2" xfId="115" xr:uid="{00000000-0005-0000-0000-000085000000}"/>
    <cellStyle name="Procenta 2" xfId="173" xr:uid="{CB55AADC-DC03-4538-A8DF-C840930DA407}"/>
    <cellStyle name="Styl 1" xfId="17" xr:uid="{00000000-0005-0000-0000-000086000000}"/>
    <cellStyle name="TableStyleLight1" xfId="167" xr:uid="{292E1023-A833-4C8B-A06B-F02D2B4D24B4}"/>
    <cellStyle name="Währung" xfId="18" xr:uid="{00000000-0005-0000-0000-000087000000}"/>
    <cellStyle name="標準_IPS alpha BOQ ME forms detail_Mechanical_El." xfId="19" xr:uid="{00000000-0005-0000-0000-000088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ptos"/>
        <family val="2"/>
        <charset val="238"/>
        <scheme val="none"/>
      </font>
      <numFmt numFmtId="178" formatCode="_-* #,##0.00\ [$Kč-405]_-;\-* #,##0.00\ [$Kč-405]_-;_-* &quot;-&quot;??\ [$Kč-405]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charset val="23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Aptos"/>
        <family val="2"/>
        <charset val="238"/>
        <scheme val="none"/>
      </font>
      <numFmt numFmtId="178" formatCode="_-* #,##0.00\ [$Kč-405]_-;\-* #,##0.00\ [$Kč-405]_-;_-* &quot;-&quot;??\ [$Kč-405]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ptos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ptos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ptos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ptos"/>
        <family val="2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sz val="11"/>
        <name val="Aptos"/>
        <family val="2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sz val="11"/>
        <name val="Aptos"/>
        <family val="2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sz val="11"/>
        <name val="Aptos"/>
        <family val="2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0000FF"/>
      <color rgb="FFFF00FF"/>
      <color rgb="FF66FF33"/>
      <color rgb="FFFFCCFF"/>
      <color rgb="FFFFFFCC"/>
      <color rgb="FFFF66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28575" cy="28575"/>
    <xdr:pic>
      <xdr:nvPicPr>
        <xdr:cNvPr id="2" name="Obrázek 1">
          <a:extLst>
            <a:ext uri="{FF2B5EF4-FFF2-40B4-BE49-F238E27FC236}">
              <a16:creationId xmlns:a16="http://schemas.microsoft.com/office/drawing/2014/main" id="{A75BAC93-2C98-45D4-842B-B14F6FDA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5335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70%20Reko%20objektu%20ZCU%20v%20Plzni/4%20-%20PD/7a%20-%20DPS%20archiv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Zalohy%20z%20D/Zakazky%20z%20S/520%20-%20Sportovni%20hala%20Olomouc/2022-01-24%20ROZPOCET%20PRO%20DPS/D2.7.%20PRELOZKA%20VN,%20TRAFOSTANICE/TO-344-06%20DPS%20-%20SOUHR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akazky%20z%20S\570%20-%20Rekonstrukce%20objektu%20ZCU%20Plzen\2020-10-06%20Rozpocet%20dle%20DPS\ZPEVNENE%20PLOCHY\Vzory-%20515\TO-344-06%20DPS%20-%20SOUHR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49%20Mesto%20Bilovec\01%20Nastavba%20domu%20c.488\4%20-%20PD\7%20-%20DPS\ROZPOCET\TO-344-06%20DPS%20-%20SOUHR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#367;j%20disk\Projekty%20elektro\2024-1\Siemens\J&#237;delna\D.1.4.6.e.KABELOV&#193;%20L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belová listina"/>
      <sheetName val="D.1.4.6.e.KABELOVÁ LISTINA"/>
    </sheetNames>
    <sheetDataSet>
      <sheetData sheetId="0">
        <row r="160">
          <cell r="C160">
            <v>146</v>
          </cell>
        </row>
        <row r="161">
          <cell r="C161">
            <v>62</v>
          </cell>
        </row>
        <row r="162">
          <cell r="C162">
            <v>13</v>
          </cell>
        </row>
        <row r="163">
          <cell r="C163">
            <v>60</v>
          </cell>
        </row>
        <row r="164">
          <cell r="C164">
            <v>374</v>
          </cell>
        </row>
        <row r="165">
          <cell r="C165">
            <v>686</v>
          </cell>
        </row>
        <row r="166">
          <cell r="C166">
            <v>66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E17E37-F716-48CA-BF5E-7BAA950BEB6B}" name="Tabulka13" displayName="Tabulka13" ref="A7:F133" totalsRowShown="0" headerRowDxfId="14" dataDxfId="13" totalsRowDxfId="12">
  <autoFilter ref="A7:F133" xr:uid="{A6E5F44B-3BD8-4953-A165-045993545A04}"/>
  <sortState xmlns:xlrd2="http://schemas.microsoft.com/office/spreadsheetml/2017/richdata2" ref="A8:E133">
    <sortCondition ref="A7:A133"/>
  </sortState>
  <tableColumns count="6">
    <tableColumn id="1" xr3:uid="{2CF252B4-BF90-49A5-8E07-98F1A0B7BFD8}" name="Položka" dataDxfId="11" totalsRowDxfId="10"/>
    <tableColumn id="3" xr3:uid="{24C0A3F1-E2ED-41A7-8073-484B3ECDA63B}" name="Popis" dataDxfId="9" totalsRowDxfId="8"/>
    <tableColumn id="4" xr3:uid="{7D5F1F94-4ED5-4BE1-BEDD-964EF345EFCE}" name="Množství" dataDxfId="7" totalsRowDxfId="6"/>
    <tableColumn id="5" xr3:uid="{EF9E31E8-2E4D-4B57-BDB0-3E69C3E437AC}" name="Jednotka" dataDxfId="5" totalsRowDxfId="4"/>
    <tableColumn id="8" xr3:uid="{AB5DF402-F9D5-4BE3-8E34-640982C9564A}" name="Jednotková cena v Kč(bez DPH)" dataDxfId="3" totalsRowDxfId="2"/>
    <tableColumn id="2" xr3:uid="{7958034E-813E-4E5B-82B2-A40DA4EB415F}" name="Cena celkem v Kč (bez DPH)" dataDxfId="1" totalsRowDxfId="0">
      <calculatedColumnFormula>Tabulka13[[#This Row],[Jednotková cena v Kč(bez DPH)]]*Tabulka13[[#This Row],[Množství]]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O73"/>
  <sheetViews>
    <sheetView showGridLines="0" tabSelected="1" topLeftCell="B1" zoomScaleNormal="100" zoomScaleSheetLayoutView="75" workbookViewId="0">
      <selection activeCell="D35" sqref="D35"/>
    </sheetView>
  </sheetViews>
  <sheetFormatPr defaultRowHeight="12.75"/>
  <cols>
    <col min="1" max="1" width="0.6640625" style="1" hidden="1" customWidth="1"/>
    <col min="2" max="2" width="8.33203125" style="1" customWidth="1"/>
    <col min="3" max="3" width="21.83203125" style="1" customWidth="1"/>
    <col min="4" max="4" width="23" style="1" customWidth="1"/>
    <col min="5" max="5" width="19.6640625" style="1" customWidth="1"/>
    <col min="6" max="6" width="15.33203125" style="1" customWidth="1"/>
    <col min="7" max="7" width="19.1640625" style="1" customWidth="1"/>
    <col min="8" max="8" width="19.5" style="1" customWidth="1"/>
    <col min="9" max="9" width="19.83203125" style="1" customWidth="1"/>
    <col min="10" max="10" width="43" style="1" customWidth="1"/>
    <col min="11" max="11" width="20.83203125" style="1" customWidth="1"/>
    <col min="12" max="14" width="12.5" style="1" customWidth="1"/>
    <col min="15" max="16384" width="9.33203125" style="1"/>
  </cols>
  <sheetData>
    <row r="1" spans="2:14" ht="12" customHeight="1"/>
    <row r="2" spans="2:14" ht="17.25" customHeight="1">
      <c r="B2" s="3008" t="s">
        <v>2955</v>
      </c>
      <c r="C2" s="3009"/>
      <c r="D2" s="3009"/>
      <c r="E2" s="3009"/>
      <c r="F2" s="3009"/>
      <c r="G2" s="3009"/>
      <c r="H2" s="3009"/>
      <c r="I2" s="3009"/>
      <c r="J2" s="57"/>
    </row>
    <row r="3" spans="2:14" ht="12.75" customHeight="1">
      <c r="B3" s="3010" t="s">
        <v>37</v>
      </c>
      <c r="C3" s="3009"/>
      <c r="D3" s="3009"/>
      <c r="E3" s="3009"/>
      <c r="F3" s="3009"/>
      <c r="G3" s="3009"/>
      <c r="H3" s="3009"/>
      <c r="I3" s="3009"/>
    </row>
    <row r="4" spans="2:14" ht="12.75" customHeight="1"/>
    <row r="5" spans="2:14" s="14" customFormat="1" ht="39" customHeight="1">
      <c r="C5" s="78" t="s">
        <v>3</v>
      </c>
      <c r="D5" s="3011" t="s">
        <v>39</v>
      </c>
      <c r="E5" s="3012"/>
      <c r="F5" s="3012"/>
      <c r="G5" s="3012"/>
      <c r="H5" s="3013"/>
      <c r="I5" s="79"/>
      <c r="N5" s="58"/>
    </row>
    <row r="6" spans="2:14" ht="13.5" customHeight="1">
      <c r="C6" s="80"/>
      <c r="D6" s="81"/>
      <c r="E6" s="82"/>
      <c r="F6" s="82"/>
      <c r="G6" s="82"/>
      <c r="H6" s="83"/>
      <c r="I6" s="83"/>
      <c r="N6" s="59"/>
    </row>
    <row r="7" spans="2:14" ht="12.75" customHeight="1">
      <c r="C7" s="3" t="s">
        <v>4</v>
      </c>
      <c r="D7" s="3016" t="s">
        <v>38</v>
      </c>
      <c r="E7" s="3016"/>
      <c r="F7" s="3016"/>
      <c r="G7" s="3016"/>
      <c r="H7" s="5"/>
      <c r="J7" s="4"/>
    </row>
    <row r="8" spans="2:14">
      <c r="C8" s="4"/>
      <c r="D8" s="4"/>
      <c r="H8" s="5"/>
      <c r="J8" s="4"/>
    </row>
    <row r="9" spans="2:14">
      <c r="C9" s="3" t="s">
        <v>19</v>
      </c>
      <c r="D9" s="4" t="s">
        <v>5</v>
      </c>
      <c r="H9" s="5"/>
      <c r="J9" s="4"/>
    </row>
    <row r="10" spans="2:14">
      <c r="C10" s="83"/>
      <c r="D10" s="4"/>
      <c r="H10" s="5"/>
    </row>
    <row r="11" spans="2:14">
      <c r="C11" s="3" t="s">
        <v>20</v>
      </c>
      <c r="D11" s="4"/>
      <c r="H11" s="5"/>
    </row>
    <row r="12" spans="2:14">
      <c r="C12" s="3"/>
      <c r="D12" s="4"/>
      <c r="H12" s="5"/>
    </row>
    <row r="13" spans="2:14">
      <c r="C13" s="3"/>
      <c r="D13" s="4"/>
      <c r="H13" s="5"/>
    </row>
    <row r="14" spans="2:14">
      <c r="C14" s="3"/>
      <c r="D14" s="4"/>
      <c r="H14" s="5"/>
    </row>
    <row r="15" spans="2:14">
      <c r="C15" s="3"/>
      <c r="D15" s="4"/>
      <c r="H15" s="5"/>
    </row>
    <row r="16" spans="2:14">
      <c r="C16" s="3"/>
      <c r="D16" s="4"/>
      <c r="H16" s="5"/>
    </row>
    <row r="17" spans="2:11">
      <c r="C17" s="3"/>
      <c r="D17" s="4"/>
      <c r="H17" s="5"/>
    </row>
    <row r="18" spans="2:11" ht="24.75" customHeight="1">
      <c r="C18" s="3" t="s">
        <v>21</v>
      </c>
      <c r="D18" s="3017"/>
      <c r="E18" s="3017"/>
      <c r="F18" s="3017"/>
      <c r="G18" s="3017"/>
      <c r="H18" s="3017"/>
      <c r="I18" s="3017"/>
    </row>
    <row r="19" spans="2:11">
      <c r="C19" s="3"/>
      <c r="D19" s="4"/>
      <c r="H19" s="5"/>
    </row>
    <row r="20" spans="2:11" ht="24.75" customHeight="1">
      <c r="C20" s="5" t="s">
        <v>27</v>
      </c>
      <c r="D20" s="54" t="s">
        <v>22</v>
      </c>
      <c r="H20" s="54" t="s">
        <v>6</v>
      </c>
    </row>
    <row r="21" spans="2:11" ht="33.75" customHeight="1"/>
    <row r="22" spans="2:11" ht="28.5" customHeight="1">
      <c r="C22" s="54" t="s">
        <v>7</v>
      </c>
      <c r="D22" s="54" t="s">
        <v>23</v>
      </c>
      <c r="H22" s="54" t="s">
        <v>24</v>
      </c>
    </row>
    <row r="23" spans="2:11" ht="25.5" customHeight="1"/>
    <row r="24" spans="2:11" ht="13.5" customHeight="1">
      <c r="B24" s="6"/>
      <c r="C24" s="7"/>
      <c r="D24" s="7"/>
      <c r="E24" s="8"/>
      <c r="F24" s="9"/>
      <c r="G24" s="10"/>
      <c r="H24" s="11"/>
      <c r="I24" s="12" t="s">
        <v>8</v>
      </c>
      <c r="J24" s="60"/>
    </row>
    <row r="25" spans="2:11" ht="15" customHeight="1">
      <c r="B25" s="13" t="s">
        <v>9</v>
      </c>
      <c r="C25" s="14"/>
      <c r="D25" s="15">
        <v>15</v>
      </c>
      <c r="E25" s="16" t="s">
        <v>10</v>
      </c>
      <c r="F25" s="17"/>
      <c r="G25" s="18"/>
      <c r="H25" s="18"/>
      <c r="I25" s="19"/>
      <c r="J25" s="61"/>
    </row>
    <row r="26" spans="2:11">
      <c r="B26" s="13" t="s">
        <v>11</v>
      </c>
      <c r="C26" s="14"/>
      <c r="D26" s="15">
        <v>15</v>
      </c>
      <c r="E26" s="16" t="s">
        <v>10</v>
      </c>
      <c r="F26" s="20"/>
      <c r="G26" s="21"/>
      <c r="H26" s="21"/>
      <c r="I26" s="22"/>
      <c r="J26" s="61"/>
    </row>
    <row r="27" spans="2:11">
      <c r="B27" s="13" t="s">
        <v>9</v>
      </c>
      <c r="C27" s="14"/>
      <c r="D27" s="15">
        <v>21</v>
      </c>
      <c r="E27" s="16" t="s">
        <v>10</v>
      </c>
      <c r="F27" s="20"/>
      <c r="G27" s="21"/>
      <c r="H27" s="21"/>
      <c r="I27" s="73">
        <f>StavbaCelkem</f>
        <v>0</v>
      </c>
      <c r="J27" s="61"/>
    </row>
    <row r="28" spans="2:11" ht="13.5" thickBot="1">
      <c r="B28" s="13" t="s">
        <v>11</v>
      </c>
      <c r="C28" s="14"/>
      <c r="D28" s="15">
        <v>21</v>
      </c>
      <c r="E28" s="16" t="s">
        <v>10</v>
      </c>
      <c r="F28" s="23"/>
      <c r="G28" s="24"/>
      <c r="H28" s="24"/>
      <c r="I28" s="74">
        <f>I61</f>
        <v>0</v>
      </c>
      <c r="J28" s="61"/>
    </row>
    <row r="29" spans="2:11" ht="16.5" thickBot="1">
      <c r="B29" s="25" t="s">
        <v>12</v>
      </c>
      <c r="C29" s="26"/>
      <c r="D29" s="26"/>
      <c r="E29" s="27"/>
      <c r="F29" s="28"/>
      <c r="G29" s="29"/>
      <c r="H29" s="29"/>
      <c r="I29" s="30">
        <f>SUM(I25:I28)</f>
        <v>0</v>
      </c>
      <c r="J29" s="1118"/>
      <c r="K29" s="62"/>
    </row>
    <row r="31" spans="2:11">
      <c r="K31" s="63"/>
    </row>
    <row r="32" spans="2:11" ht="1.5" customHeight="1"/>
    <row r="33" spans="2:12" ht="15.75" customHeight="1">
      <c r="B33" s="31" t="s">
        <v>13</v>
      </c>
      <c r="C33" s="2"/>
      <c r="D33" s="2"/>
      <c r="E33" s="2"/>
      <c r="F33" s="2"/>
      <c r="G33" s="2"/>
      <c r="H33" s="2"/>
      <c r="I33" s="2"/>
      <c r="J33" s="2"/>
      <c r="K33" s="64"/>
    </row>
    <row r="34" spans="2:12" ht="5.25" customHeight="1">
      <c r="K34" s="64"/>
    </row>
    <row r="35" spans="2:12" ht="24" customHeight="1">
      <c r="B35" s="32" t="s">
        <v>14</v>
      </c>
      <c r="C35" s="33"/>
      <c r="D35" s="33"/>
      <c r="E35" s="34"/>
      <c r="F35" s="35" t="s">
        <v>2</v>
      </c>
      <c r="G35" s="36" t="str">
        <f>CONCATENATE("Základ DPH ",SazbaDPH1," %")</f>
        <v>Základ DPH 15 %</v>
      </c>
      <c r="H35" s="35" t="str">
        <f>CONCATENATE("Základ DPH ",SazbaDPH2," %")</f>
        <v>Základ DPH 21 %</v>
      </c>
      <c r="I35" s="35" t="s">
        <v>15</v>
      </c>
      <c r="J35" s="65"/>
    </row>
    <row r="36" spans="2:12">
      <c r="B36" s="37" t="s">
        <v>0</v>
      </c>
      <c r="C36" s="38"/>
      <c r="D36" s="39"/>
      <c r="E36" s="40"/>
      <c r="F36" s="41"/>
      <c r="G36" s="42"/>
      <c r="H36" s="42"/>
      <c r="I36" s="52"/>
      <c r="K36" s="66"/>
    </row>
    <row r="37" spans="2:12">
      <c r="B37" s="43"/>
      <c r="C37" s="3014" t="s">
        <v>16</v>
      </c>
      <c r="D37" s="3015"/>
      <c r="E37" s="3015"/>
      <c r="F37" s="55">
        <f>H37+I37</f>
        <v>0</v>
      </c>
      <c r="G37" s="55"/>
      <c r="H37" s="55">
        <f>VRN!G39</f>
        <v>0</v>
      </c>
      <c r="I37" s="56">
        <f t="shared" ref="I37" si="0">(G37*SazbaDPH1)/100+(H37*SazbaDPH2)/100</f>
        <v>0</v>
      </c>
      <c r="J37" s="75"/>
      <c r="K37" s="68"/>
      <c r="L37" s="64"/>
    </row>
    <row r="38" spans="2:12" ht="12.75" customHeight="1">
      <c r="B38" s="53"/>
      <c r="C38" s="2998" t="s">
        <v>1421</v>
      </c>
      <c r="D38" s="2997"/>
      <c r="E38" s="2997"/>
      <c r="F38" s="55">
        <f>SUM(F39:F46)</f>
        <v>0</v>
      </c>
      <c r="G38" s="55"/>
      <c r="H38" s="56">
        <f>SUM(H39:H46)</f>
        <v>0</v>
      </c>
      <c r="I38" s="56">
        <f>SUM(I39:I46)</f>
        <v>0</v>
      </c>
      <c r="J38" s="75"/>
    </row>
    <row r="39" spans="2:12" ht="12.75" customHeight="1">
      <c r="B39" s="53"/>
      <c r="C39" s="2994" t="s">
        <v>32</v>
      </c>
      <c r="D39" s="2995"/>
      <c r="E39" s="2995"/>
      <c r="F39" s="76">
        <f t="shared" ref="F39:F47" si="1">H39+I39</f>
        <v>0</v>
      </c>
      <c r="G39" s="76"/>
      <c r="H39" s="76">
        <f>'D.1.1. ASŘ - BOURACÍ PRÁCE'!H323</f>
        <v>0</v>
      </c>
      <c r="I39" s="77">
        <f t="shared" ref="I39" si="2">(G39*SazbaDPH1)/100+(H39*SazbaDPH2)/100</f>
        <v>0</v>
      </c>
      <c r="J39" s="67"/>
    </row>
    <row r="40" spans="2:12" ht="12.75" customHeight="1">
      <c r="B40" s="53"/>
      <c r="C40" s="2994" t="s">
        <v>31</v>
      </c>
      <c r="D40" s="2995"/>
      <c r="E40" s="2995"/>
      <c r="F40" s="76">
        <f t="shared" si="1"/>
        <v>0</v>
      </c>
      <c r="G40" s="76"/>
      <c r="H40" s="76">
        <f>'REKAPITULACE - NS'!C32</f>
        <v>0</v>
      </c>
      <c r="I40" s="77">
        <f t="shared" ref="I40" si="3">(G40*SazbaDPH1)/100+(H40*SazbaDPH2)/100</f>
        <v>0</v>
      </c>
      <c r="J40" s="67"/>
    </row>
    <row r="41" spans="2:12" ht="12.75" customHeight="1">
      <c r="B41" s="53"/>
      <c r="C41" s="2994" t="s">
        <v>30</v>
      </c>
      <c r="D41" s="2995"/>
      <c r="E41" s="2995"/>
      <c r="F41" s="76">
        <f t="shared" si="1"/>
        <v>0</v>
      </c>
      <c r="G41" s="76"/>
      <c r="H41" s="76">
        <f>'D.1.1. VÝPIS DVEŘÍ'!H206</f>
        <v>0</v>
      </c>
      <c r="I41" s="77">
        <f t="shared" ref="I41" si="4">(G41*SazbaDPH1)/100+(H41*SazbaDPH2)/100</f>
        <v>0</v>
      </c>
      <c r="J41" s="67"/>
    </row>
    <row r="42" spans="2:12" ht="12.75" customHeight="1">
      <c r="B42" s="53"/>
      <c r="C42" s="2994" t="s">
        <v>40</v>
      </c>
      <c r="D42" s="2995"/>
      <c r="E42" s="2995"/>
      <c r="F42" s="76">
        <f t="shared" si="1"/>
        <v>0</v>
      </c>
      <c r="G42" s="76"/>
      <c r="H42" s="76">
        <f>'D.1.1.c.02 - VÝPIS OKEN'!H158</f>
        <v>0</v>
      </c>
      <c r="I42" s="77">
        <f t="shared" ref="I42" si="5">(G42*SazbaDPH1)/100+(H42*SazbaDPH2)/100</f>
        <v>0</v>
      </c>
      <c r="J42" s="67"/>
    </row>
    <row r="43" spans="2:12" ht="12.75" customHeight="1">
      <c r="B43" s="53"/>
      <c r="C43" s="2994" t="s">
        <v>33</v>
      </c>
      <c r="D43" s="2995"/>
      <c r="E43" s="2995"/>
      <c r="F43" s="76">
        <f t="shared" si="1"/>
        <v>0</v>
      </c>
      <c r="G43" s="76"/>
      <c r="H43" s="76">
        <f>'D.1.1.c.04. VÝPIS TRUHLÁŘ.'!H97</f>
        <v>0</v>
      </c>
      <c r="I43" s="77">
        <f t="shared" ref="I43" si="6">(G43*SazbaDPH1)/100+(H43*SazbaDPH2)/100</f>
        <v>0</v>
      </c>
      <c r="J43" s="67"/>
    </row>
    <row r="44" spans="2:12" ht="12.75" customHeight="1">
      <c r="B44" s="53"/>
      <c r="C44" s="2994" t="s">
        <v>34</v>
      </c>
      <c r="D44" s="2995"/>
      <c r="E44" s="2995"/>
      <c r="F44" s="76">
        <f t="shared" si="1"/>
        <v>0</v>
      </c>
      <c r="G44" s="76"/>
      <c r="H44" s="76">
        <f>'D.1.1.c.05. VÝPIS ZÁMEČN. VÝR.'!H103</f>
        <v>0</v>
      </c>
      <c r="I44" s="77">
        <f t="shared" ref="I44" si="7">(G44*SazbaDPH1)/100+(H44*SazbaDPH2)/100</f>
        <v>0</v>
      </c>
      <c r="J44" s="67"/>
    </row>
    <row r="45" spans="2:12" ht="12.75" customHeight="1">
      <c r="B45" s="53"/>
      <c r="C45" s="2994" t="s">
        <v>35</v>
      </c>
      <c r="D45" s="2995"/>
      <c r="E45" s="2995"/>
      <c r="F45" s="76">
        <f t="shared" si="1"/>
        <v>0</v>
      </c>
      <c r="G45" s="76"/>
      <c r="H45" s="76">
        <f>'D.1.1.c.06. VÝPIS KLEMP.'!H78</f>
        <v>0</v>
      </c>
      <c r="I45" s="77">
        <f t="shared" ref="I45" si="8">(G45*SazbaDPH1)/100+(H45*SazbaDPH2)/100</f>
        <v>0</v>
      </c>
      <c r="J45" s="67"/>
    </row>
    <row r="46" spans="2:12" ht="12.75" customHeight="1">
      <c r="B46" s="53"/>
      <c r="C46" s="2994" t="s">
        <v>36</v>
      </c>
      <c r="D46" s="2995"/>
      <c r="E46" s="2995"/>
      <c r="F46" s="76">
        <f t="shared" si="1"/>
        <v>0</v>
      </c>
      <c r="G46" s="76"/>
      <c r="H46" s="76">
        <f>'D.1.1.c.07 VÝPIS OSTAT.'!H231</f>
        <v>0</v>
      </c>
      <c r="I46" s="77">
        <f t="shared" ref="I46" si="9">(G46*SazbaDPH1)/100+(H46*SazbaDPH2)/100</f>
        <v>0</v>
      </c>
      <c r="J46" s="67"/>
    </row>
    <row r="47" spans="2:12" ht="12.75" customHeight="1">
      <c r="B47" s="53"/>
      <c r="C47" s="2996" t="s">
        <v>1656</v>
      </c>
      <c r="D47" s="2997"/>
      <c r="E47" s="2997"/>
      <c r="F47" s="55">
        <f t="shared" si="1"/>
        <v>0</v>
      </c>
      <c r="G47" s="76"/>
      <c r="H47" s="55">
        <f>'D.1.4.1. ZTI'!H509</f>
        <v>0</v>
      </c>
      <c r="I47" s="56">
        <f t="shared" ref="I47" si="10">(G47*SazbaDPH1)/100+(H47*SazbaDPH2)/100</f>
        <v>0</v>
      </c>
      <c r="J47" s="67"/>
    </row>
    <row r="48" spans="2:12" ht="12.75" customHeight="1">
      <c r="B48" s="53"/>
      <c r="C48" s="2999" t="s">
        <v>2547</v>
      </c>
      <c r="D48" s="3000"/>
      <c r="E48" s="3001"/>
      <c r="F48" s="55">
        <f t="shared" ref="F48" si="11">H48+I48</f>
        <v>0</v>
      </c>
      <c r="G48" s="76"/>
      <c r="H48" s="55">
        <v>0</v>
      </c>
      <c r="I48" s="56">
        <f t="shared" ref="I48" si="12">(G48*SazbaDPH1)/100+(H48*SazbaDPH2)/100</f>
        <v>0</v>
      </c>
      <c r="J48" s="67"/>
    </row>
    <row r="49" spans="2:10" ht="12.75" customHeight="1">
      <c r="B49" s="53"/>
      <c r="C49" s="2999" t="s">
        <v>2169</v>
      </c>
      <c r="D49" s="3000"/>
      <c r="E49" s="3001"/>
      <c r="F49" s="55">
        <f t="shared" ref="F49" si="13">H49+I49</f>
        <v>0</v>
      </c>
      <c r="G49" s="76"/>
      <c r="H49" s="55">
        <v>0</v>
      </c>
      <c r="I49" s="56">
        <f t="shared" ref="I49" si="14">(G49*SazbaDPH1)/100+(H49*SazbaDPH2)/100</f>
        <v>0</v>
      </c>
      <c r="J49" s="67"/>
    </row>
    <row r="50" spans="2:10" ht="12.75" customHeight="1">
      <c r="B50" s="53"/>
      <c r="C50" s="2999" t="s">
        <v>2170</v>
      </c>
      <c r="D50" s="3000"/>
      <c r="E50" s="3001"/>
      <c r="F50" s="55">
        <f t="shared" ref="F50:F51" si="15">H50+I50</f>
        <v>0</v>
      </c>
      <c r="G50" s="76"/>
      <c r="H50" s="55">
        <v>0</v>
      </c>
      <c r="I50" s="56">
        <f t="shared" ref="I50:I51" si="16">(G50*SazbaDPH1)/100+(H50*SazbaDPH2)/100</f>
        <v>0</v>
      </c>
      <c r="J50" s="67"/>
    </row>
    <row r="51" spans="2:10" ht="12.75" customHeight="1">
      <c r="B51" s="53"/>
      <c r="C51" s="2999" t="s">
        <v>2546</v>
      </c>
      <c r="D51" s="3000"/>
      <c r="E51" s="3001"/>
      <c r="F51" s="55">
        <f t="shared" si="15"/>
        <v>0</v>
      </c>
      <c r="G51" s="76"/>
      <c r="H51" s="55">
        <v>0</v>
      </c>
      <c r="I51" s="56">
        <f t="shared" si="16"/>
        <v>0</v>
      </c>
      <c r="J51" s="67"/>
    </row>
    <row r="52" spans="2:10" ht="12.75" customHeight="1">
      <c r="B52" s="53"/>
      <c r="C52" s="2996" t="s">
        <v>1657</v>
      </c>
      <c r="D52" s="2997"/>
      <c r="E52" s="2997"/>
      <c r="F52" s="55">
        <f t="shared" ref="F52" si="17">H52+I52</f>
        <v>0</v>
      </c>
      <c r="G52" s="76"/>
      <c r="H52" s="55">
        <f>'D.1.4.2. ODBĚR. PLYN. ZAŘÍZ.'!H87</f>
        <v>0</v>
      </c>
      <c r="I52" s="56">
        <f t="shared" ref="I52" si="18">(G52*SazbaDPH1)/100+(H52*SazbaDPH2)/100</f>
        <v>0</v>
      </c>
      <c r="J52" s="67"/>
    </row>
    <row r="53" spans="2:10" ht="12.75" customHeight="1">
      <c r="B53" s="53"/>
      <c r="C53" s="2996" t="s">
        <v>1655</v>
      </c>
      <c r="D53" s="2997"/>
      <c r="E53" s="2997"/>
      <c r="F53" s="55">
        <f t="shared" ref="F53:F60" si="19">H53+I53</f>
        <v>0</v>
      </c>
      <c r="G53" s="76"/>
      <c r="H53" s="55">
        <f>'D.1.4.3. VZDUCHOTECHNIKA'!H355</f>
        <v>0</v>
      </c>
      <c r="I53" s="56">
        <f t="shared" ref="I53" si="20">(G53*SazbaDPH1)/100+(H53*SazbaDPH2)/100</f>
        <v>0</v>
      </c>
      <c r="J53" s="67"/>
    </row>
    <row r="54" spans="2:10" ht="12.75" customHeight="1">
      <c r="B54" s="53"/>
      <c r="C54" s="2996" t="s">
        <v>1654</v>
      </c>
      <c r="D54" s="2997"/>
      <c r="E54" s="2997"/>
      <c r="F54" s="55">
        <f t="shared" ref="F54" si="21">H54+I54</f>
        <v>0</v>
      </c>
      <c r="G54" s="76"/>
      <c r="H54" s="55">
        <f>'D.1.4.4. VYTÁPENÍ'!H390</f>
        <v>0</v>
      </c>
      <c r="I54" s="56">
        <f t="shared" ref="I54" si="22">(G54*SazbaDPH1)/100+(H54*SazbaDPH2)/100</f>
        <v>0</v>
      </c>
      <c r="J54" s="67"/>
    </row>
    <row r="55" spans="2:10" ht="12.75" customHeight="1">
      <c r="B55" s="53"/>
      <c r="C55" s="2996" t="s">
        <v>1426</v>
      </c>
      <c r="D55" s="2997"/>
      <c r="E55" s="2997"/>
      <c r="F55" s="55">
        <f t="shared" ref="F55:F57" si="23">H55+I55</f>
        <v>0</v>
      </c>
      <c r="G55" s="76"/>
      <c r="H55" s="55">
        <f>'D.1.4.6. MĚŘENÍ A REGULACE'!J1</f>
        <v>0</v>
      </c>
      <c r="I55" s="56">
        <f t="shared" ref="I55:I57" si="24">(G55*SazbaDPH1)/100+(H55*SazbaDPH2)/100</f>
        <v>0</v>
      </c>
      <c r="J55" s="67"/>
    </row>
    <row r="56" spans="2:10" ht="12.75" customHeight="1">
      <c r="B56" s="53"/>
      <c r="C56" s="2996" t="s">
        <v>1424</v>
      </c>
      <c r="D56" s="2997"/>
      <c r="E56" s="2997"/>
      <c r="F56" s="55">
        <f t="shared" si="23"/>
        <v>0</v>
      </c>
      <c r="G56" s="76"/>
      <c r="H56" s="55">
        <f>'D.1.4.7. SILNOPROUD'!H343</f>
        <v>0</v>
      </c>
      <c r="I56" s="56">
        <f t="shared" si="24"/>
        <v>0</v>
      </c>
      <c r="J56" s="67"/>
    </row>
    <row r="57" spans="2:10" ht="12.75" customHeight="1">
      <c r="B57" s="53"/>
      <c r="C57" s="2996" t="s">
        <v>1425</v>
      </c>
      <c r="D57" s="2997"/>
      <c r="E57" s="2997"/>
      <c r="F57" s="55">
        <f t="shared" si="23"/>
        <v>0</v>
      </c>
      <c r="G57" s="76"/>
      <c r="H57" s="55">
        <f>'D.1.4.8. EL. KOMUNIKACE'!H263</f>
        <v>0</v>
      </c>
      <c r="I57" s="56">
        <f t="shared" si="24"/>
        <v>0</v>
      </c>
      <c r="J57" s="67"/>
    </row>
    <row r="58" spans="2:10" ht="12.75" customHeight="1">
      <c r="B58" s="53"/>
      <c r="C58" s="2998" t="s">
        <v>2036</v>
      </c>
      <c r="D58" s="2997"/>
      <c r="E58" s="2997"/>
      <c r="F58" s="55">
        <f t="shared" ref="F58" si="25">H58+I58</f>
        <v>0</v>
      </c>
      <c r="G58" s="76"/>
      <c r="H58" s="55">
        <f>'REKAPITULACE - POZEMN.KOM.+SADO'!C11</f>
        <v>0</v>
      </c>
      <c r="I58" s="56">
        <f t="shared" ref="I58" si="26">(G58*SazbaDPH1)/100+(H58*SazbaDPH2)/100</f>
        <v>0</v>
      </c>
      <c r="J58" s="67"/>
    </row>
    <row r="59" spans="2:10" ht="12.75" customHeight="1">
      <c r="B59" s="53"/>
      <c r="C59" s="2998" t="s">
        <v>1423</v>
      </c>
      <c r="D59" s="2997"/>
      <c r="E59" s="2997"/>
      <c r="F59" s="55">
        <f t="shared" ref="F59" si="27">H59+I59</f>
        <v>0</v>
      </c>
      <c r="G59" s="55"/>
      <c r="H59" s="55">
        <v>0</v>
      </c>
      <c r="I59" s="56">
        <f t="shared" ref="I59" si="28">(G59*SazbaDPH1)/100+(H59*SazbaDPH2)/100</f>
        <v>0</v>
      </c>
      <c r="J59" s="67"/>
    </row>
    <row r="60" spans="2:10" ht="12.75" customHeight="1">
      <c r="B60" s="53"/>
      <c r="C60" s="2998" t="s">
        <v>1422</v>
      </c>
      <c r="D60" s="2997"/>
      <c r="E60" s="2997"/>
      <c r="F60" s="55">
        <f t="shared" si="19"/>
        <v>0</v>
      </c>
      <c r="G60" s="55"/>
      <c r="H60" s="55">
        <f>'REKAPITULACE - ROZVOD TEPLA'!C10</f>
        <v>0</v>
      </c>
      <c r="I60" s="56">
        <f t="shared" ref="I60" si="29">(G60*SazbaDPH1)/100+(H60*SazbaDPH2)/100</f>
        <v>0</v>
      </c>
      <c r="J60" s="67"/>
    </row>
    <row r="61" spans="2:10" ht="17.25" customHeight="1">
      <c r="B61" s="44" t="s">
        <v>17</v>
      </c>
      <c r="C61" s="45"/>
      <c r="D61" s="46"/>
      <c r="E61" s="47"/>
      <c r="F61" s="48">
        <f>SUM(F37:F38,F47:F60)</f>
        <v>0</v>
      </c>
      <c r="G61" s="48"/>
      <c r="H61" s="48">
        <f>SUM(H37:H38,H47:H60)</f>
        <v>0</v>
      </c>
      <c r="I61" s="48">
        <f>SUM(I37:I38,I47:I60)</f>
        <v>0</v>
      </c>
      <c r="J61" s="63"/>
    </row>
    <row r="62" spans="2:10">
      <c r="B62" s="49"/>
      <c r="C62" s="49"/>
      <c r="D62" s="49"/>
      <c r="E62" s="49"/>
      <c r="F62" s="49"/>
      <c r="G62" s="49"/>
      <c r="H62" s="49"/>
      <c r="I62" s="49"/>
      <c r="J62" s="49"/>
    </row>
    <row r="63" spans="2:10" ht="2.25" customHeight="1"/>
    <row r="64" spans="2:10" ht="1.5" customHeight="1"/>
    <row r="65" spans="1:15" ht="0.75" customHeight="1"/>
    <row r="66" spans="1:15" ht="0.75" customHeight="1"/>
    <row r="67" spans="1:15" ht="0.75" customHeight="1"/>
    <row r="68" spans="1:15" ht="18">
      <c r="B68" s="31" t="s">
        <v>1</v>
      </c>
      <c r="C68" s="2"/>
      <c r="D68" s="2"/>
      <c r="E68" s="2"/>
      <c r="F68" s="2"/>
      <c r="G68" s="2"/>
      <c r="H68" s="2"/>
      <c r="I68" s="2"/>
    </row>
    <row r="69" spans="1:15" s="51" customFormat="1" ht="27" customHeight="1">
      <c r="A69" s="3005" t="s">
        <v>18</v>
      </c>
      <c r="B69" s="3006"/>
      <c r="C69" s="3006"/>
      <c r="D69" s="3006"/>
      <c r="E69" s="3006"/>
      <c r="F69" s="3006"/>
      <c r="G69" s="3006"/>
      <c r="H69" s="3006"/>
      <c r="I69" s="3006"/>
    </row>
    <row r="70" spans="1:15" s="50" customFormat="1" ht="24.6" customHeight="1">
      <c r="A70" s="3005" t="s">
        <v>25</v>
      </c>
      <c r="B70" s="3003"/>
      <c r="C70" s="3003"/>
      <c r="D70" s="3003"/>
      <c r="E70" s="3003"/>
      <c r="F70" s="3003"/>
      <c r="G70" s="3003"/>
      <c r="H70" s="3004"/>
      <c r="I70" s="3004"/>
      <c r="J70" s="69"/>
      <c r="L70" s="70"/>
    </row>
    <row r="71" spans="1:15" s="51" customFormat="1" ht="24.6" customHeight="1">
      <c r="B71" s="3007" t="s">
        <v>28</v>
      </c>
      <c r="C71" s="3007"/>
      <c r="D71" s="3007"/>
      <c r="E71" s="3007"/>
      <c r="F71" s="3007"/>
      <c r="G71" s="3007"/>
      <c r="H71" s="3007"/>
      <c r="I71" s="3007"/>
      <c r="J71" s="79"/>
    </row>
    <row r="72" spans="1:15" s="50" customFormat="1" ht="24.6" customHeight="1">
      <c r="A72" s="3002" t="s">
        <v>26</v>
      </c>
      <c r="B72" s="3003"/>
      <c r="C72" s="3003"/>
      <c r="D72" s="3003"/>
      <c r="E72" s="3003"/>
      <c r="F72" s="3003"/>
      <c r="G72" s="3003"/>
      <c r="H72" s="3004"/>
      <c r="I72" s="3004"/>
      <c r="K72" s="69"/>
      <c r="M72" s="71"/>
      <c r="O72" s="72"/>
    </row>
    <row r="73" spans="1:15" s="50" customFormat="1" ht="24.6" customHeight="1">
      <c r="A73" s="3002" t="s">
        <v>29</v>
      </c>
      <c r="B73" s="3003"/>
      <c r="C73" s="3003"/>
      <c r="D73" s="3003"/>
      <c r="E73" s="3003"/>
      <c r="F73" s="3003"/>
      <c r="G73" s="3003"/>
      <c r="H73" s="3004"/>
      <c r="I73" s="3004"/>
      <c r="J73" s="69"/>
      <c r="L73" s="70"/>
    </row>
  </sheetData>
  <mergeCells count="34">
    <mergeCell ref="B2:I2"/>
    <mergeCell ref="B3:I3"/>
    <mergeCell ref="D5:H5"/>
    <mergeCell ref="C37:E37"/>
    <mergeCell ref="D7:G7"/>
    <mergeCell ref="D18:I18"/>
    <mergeCell ref="C59:E59"/>
    <mergeCell ref="A73:I73"/>
    <mergeCell ref="A72:I72"/>
    <mergeCell ref="A69:I69"/>
    <mergeCell ref="A70:I70"/>
    <mergeCell ref="B71:I71"/>
    <mergeCell ref="C60:E60"/>
    <mergeCell ref="C57:E57"/>
    <mergeCell ref="C58:E58"/>
    <mergeCell ref="C52:E52"/>
    <mergeCell ref="C48:E48"/>
    <mergeCell ref="C38:E38"/>
    <mergeCell ref="C39:E39"/>
    <mergeCell ref="C40:E40"/>
    <mergeCell ref="C41:E41"/>
    <mergeCell ref="C53:E53"/>
    <mergeCell ref="C49:E49"/>
    <mergeCell ref="C51:E51"/>
    <mergeCell ref="C47:E47"/>
    <mergeCell ref="C54:E54"/>
    <mergeCell ref="C50:E50"/>
    <mergeCell ref="C55:E55"/>
    <mergeCell ref="C56:E56"/>
    <mergeCell ref="C42:E42"/>
    <mergeCell ref="C43:E43"/>
    <mergeCell ref="C44:E44"/>
    <mergeCell ref="C45:E45"/>
    <mergeCell ref="C46:E46"/>
  </mergeCells>
  <printOptions horizontalCentered="1"/>
  <pageMargins left="0.39370078740157483" right="0.39370078740157483" top="0.78740157480314965" bottom="0.39370078740157483" header="0" footer="0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4C255-5DB9-4C4F-925D-2352526BB928}">
  <sheetPr>
    <pageSetUpPr fitToPage="1"/>
  </sheetPr>
  <dimension ref="A1:IE56"/>
  <sheetViews>
    <sheetView workbookViewId="0"/>
  </sheetViews>
  <sheetFormatPr defaultColWidth="17" defaultRowHeight="12.75"/>
  <cols>
    <col min="1" max="1" width="4.33203125" style="89" customWidth="1"/>
    <col min="2" max="2" width="17" style="89" customWidth="1"/>
    <col min="3" max="3" width="48.1640625" style="89" customWidth="1"/>
    <col min="4" max="4" width="13" style="89" customWidth="1"/>
    <col min="5" max="5" width="13.1640625" style="89" customWidth="1"/>
    <col min="6" max="7" width="16" style="89" customWidth="1"/>
    <col min="8" max="8" width="19.83203125" style="89" customWidth="1"/>
    <col min="9" max="9" width="19.6640625" style="89" customWidth="1"/>
    <col min="10" max="10" width="11.6640625" style="89" customWidth="1"/>
    <col min="11" max="11" width="24.1640625" style="89" customWidth="1"/>
    <col min="12" max="237" width="10.6640625" style="89" customWidth="1"/>
    <col min="238" max="238" width="4.33203125" style="89" customWidth="1"/>
    <col min="239" max="16384" width="17" style="89"/>
  </cols>
  <sheetData>
    <row r="1" spans="1:239" ht="13.5" thickBot="1">
      <c r="A1" s="84"/>
      <c r="B1" s="85"/>
      <c r="C1" s="86"/>
      <c r="D1" s="86"/>
      <c r="E1" s="87"/>
      <c r="F1" s="86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</row>
    <row r="2" spans="1:239" ht="13.5" customHeight="1" thickTop="1">
      <c r="A2" s="3020" t="s">
        <v>3</v>
      </c>
      <c r="B2" s="3021"/>
      <c r="C2" s="3024" t="s">
        <v>39</v>
      </c>
      <c r="D2" s="3025"/>
      <c r="E2" s="3025"/>
      <c r="F2" s="3025"/>
      <c r="G2" s="3026"/>
      <c r="H2" s="88"/>
      <c r="I2" s="88"/>
      <c r="J2" s="88"/>
      <c r="K2" s="9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</row>
    <row r="3" spans="1:239">
      <c r="A3" s="3022"/>
      <c r="B3" s="3023"/>
      <c r="C3" s="3027"/>
      <c r="D3" s="3027"/>
      <c r="E3" s="3027"/>
      <c r="F3" s="3027"/>
      <c r="G3" s="302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</row>
    <row r="4" spans="1:239" ht="15" thickBot="1">
      <c r="A4" s="3029" t="s">
        <v>41</v>
      </c>
      <c r="B4" s="3030"/>
      <c r="C4" s="3031" t="s">
        <v>42</v>
      </c>
      <c r="D4" s="3032"/>
      <c r="E4" s="3032"/>
      <c r="F4" s="3032"/>
      <c r="G4" s="3033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</row>
    <row r="5" spans="1:239" ht="13.5" thickTop="1"/>
    <row r="6" spans="1:239">
      <c r="F6" s="91"/>
      <c r="G6" s="91"/>
      <c r="H6" s="92"/>
      <c r="K6" s="93"/>
    </row>
    <row r="7" spans="1:239" ht="26.25">
      <c r="A7" s="94" t="s">
        <v>43</v>
      </c>
      <c r="B7" s="95" t="s">
        <v>44</v>
      </c>
      <c r="C7" s="96" t="s">
        <v>16</v>
      </c>
      <c r="D7" s="3034" t="s">
        <v>45</v>
      </c>
      <c r="E7" s="3035"/>
      <c r="F7" s="3035"/>
      <c r="G7" s="3035"/>
      <c r="H7" s="98" t="s">
        <v>46</v>
      </c>
      <c r="I7" s="131"/>
    </row>
    <row r="8" spans="1:239" ht="33.75">
      <c r="A8" s="99">
        <v>1</v>
      </c>
      <c r="B8" s="100" t="s">
        <v>47</v>
      </c>
      <c r="C8" s="101" t="s">
        <v>48</v>
      </c>
      <c r="D8" s="102" t="s">
        <v>49</v>
      </c>
      <c r="E8" s="103">
        <v>1</v>
      </c>
      <c r="F8" s="113"/>
      <c r="G8" s="103">
        <f t="shared" ref="G8:G15" si="0">(E8*F8)</f>
        <v>0</v>
      </c>
      <c r="H8" s="104" t="s">
        <v>111</v>
      </c>
      <c r="K8" s="92"/>
    </row>
    <row r="9" spans="1:239" ht="33.75">
      <c r="A9" s="99">
        <v>2</v>
      </c>
      <c r="B9" s="100" t="s">
        <v>50</v>
      </c>
      <c r="C9" s="101" t="s">
        <v>51</v>
      </c>
      <c r="D9" s="102" t="s">
        <v>49</v>
      </c>
      <c r="E9" s="103">
        <v>1</v>
      </c>
      <c r="F9" s="113"/>
      <c r="G9" s="103">
        <f t="shared" si="0"/>
        <v>0</v>
      </c>
      <c r="H9" s="104" t="s">
        <v>111</v>
      </c>
    </row>
    <row r="10" spans="1:239" ht="45">
      <c r="A10" s="99">
        <v>3</v>
      </c>
      <c r="B10" s="100" t="s">
        <v>52</v>
      </c>
      <c r="C10" s="101" t="s">
        <v>53</v>
      </c>
      <c r="D10" s="102" t="s">
        <v>49</v>
      </c>
      <c r="E10" s="103">
        <v>1</v>
      </c>
      <c r="F10" s="113"/>
      <c r="G10" s="103">
        <f t="shared" si="0"/>
        <v>0</v>
      </c>
      <c r="H10" s="104" t="s">
        <v>112</v>
      </c>
      <c r="K10" s="92"/>
    </row>
    <row r="11" spans="1:239" ht="22.5">
      <c r="A11" s="99">
        <v>4</v>
      </c>
      <c r="B11" s="100" t="s">
        <v>54</v>
      </c>
      <c r="C11" s="101" t="s">
        <v>55</v>
      </c>
      <c r="D11" s="102" t="s">
        <v>49</v>
      </c>
      <c r="E11" s="103">
        <v>1</v>
      </c>
      <c r="F11" s="113"/>
      <c r="G11" s="103">
        <f t="shared" si="0"/>
        <v>0</v>
      </c>
      <c r="H11" s="104" t="s">
        <v>112</v>
      </c>
      <c r="K11" s="92"/>
    </row>
    <row r="12" spans="1:239" ht="22.5">
      <c r="A12" s="99">
        <v>5</v>
      </c>
      <c r="B12" s="100" t="s">
        <v>56</v>
      </c>
      <c r="C12" s="101" t="s">
        <v>57</v>
      </c>
      <c r="D12" s="102" t="s">
        <v>49</v>
      </c>
      <c r="E12" s="103">
        <v>1</v>
      </c>
      <c r="F12" s="113"/>
      <c r="G12" s="103">
        <f t="shared" si="0"/>
        <v>0</v>
      </c>
      <c r="H12" s="104" t="s">
        <v>112</v>
      </c>
    </row>
    <row r="13" spans="1:239" ht="22.5">
      <c r="A13" s="99">
        <v>6</v>
      </c>
      <c r="B13" s="100" t="s">
        <v>58</v>
      </c>
      <c r="C13" s="101" t="s">
        <v>59</v>
      </c>
      <c r="D13" s="102" t="s">
        <v>49</v>
      </c>
      <c r="E13" s="103">
        <v>1</v>
      </c>
      <c r="F13" s="113"/>
      <c r="G13" s="103">
        <f t="shared" si="0"/>
        <v>0</v>
      </c>
      <c r="H13" s="104" t="s">
        <v>112</v>
      </c>
    </row>
    <row r="14" spans="1:239" ht="22.5">
      <c r="A14" s="99">
        <v>7</v>
      </c>
      <c r="B14" s="100" t="s">
        <v>60</v>
      </c>
      <c r="C14" s="101" t="s">
        <v>61</v>
      </c>
      <c r="D14" s="102" t="s">
        <v>49</v>
      </c>
      <c r="E14" s="103">
        <v>1</v>
      </c>
      <c r="F14" s="113"/>
      <c r="G14" s="103">
        <f t="shared" si="0"/>
        <v>0</v>
      </c>
      <c r="H14" s="104" t="s">
        <v>112</v>
      </c>
    </row>
    <row r="15" spans="1:239">
      <c r="A15" s="99">
        <v>8</v>
      </c>
      <c r="B15" s="100" t="s">
        <v>62</v>
      </c>
      <c r="C15" s="105" t="s">
        <v>63</v>
      </c>
      <c r="D15" s="102" t="s">
        <v>49</v>
      </c>
      <c r="E15" s="103">
        <v>1</v>
      </c>
      <c r="F15" s="113"/>
      <c r="G15" s="103">
        <f t="shared" si="0"/>
        <v>0</v>
      </c>
      <c r="H15" s="104" t="s">
        <v>112</v>
      </c>
      <c r="K15" s="92"/>
    </row>
    <row r="16" spans="1:239" ht="101.25">
      <c r="A16" s="99"/>
      <c r="B16" s="100"/>
      <c r="C16" s="106" t="s">
        <v>64</v>
      </c>
      <c r="D16" s="102"/>
      <c r="E16" s="103"/>
      <c r="F16" s="113"/>
      <c r="G16" s="103"/>
      <c r="H16" s="107"/>
    </row>
    <row r="17" spans="1:14" ht="22.5">
      <c r="A17" s="99">
        <v>9</v>
      </c>
      <c r="B17" s="100" t="s">
        <v>65</v>
      </c>
      <c r="C17" s="101" t="s">
        <v>66</v>
      </c>
      <c r="D17" s="102" t="s">
        <v>49</v>
      </c>
      <c r="E17" s="103">
        <v>1</v>
      </c>
      <c r="F17" s="113"/>
      <c r="G17" s="103">
        <f t="shared" ref="G17:G27" si="1">(E17*F17)</f>
        <v>0</v>
      </c>
      <c r="H17" s="104" t="s">
        <v>112</v>
      </c>
      <c r="I17" s="108"/>
      <c r="K17" s="92"/>
      <c r="N17" s="109"/>
    </row>
    <row r="18" spans="1:14" ht="22.5">
      <c r="A18" s="97">
        <v>10</v>
      </c>
      <c r="B18" s="110" t="s">
        <v>67</v>
      </c>
      <c r="C18" s="111" t="s">
        <v>68</v>
      </c>
      <c r="D18" s="112" t="s">
        <v>69</v>
      </c>
      <c r="E18" s="113">
        <v>75</v>
      </c>
      <c r="F18" s="113"/>
      <c r="G18" s="113">
        <f t="shared" si="1"/>
        <v>0</v>
      </c>
      <c r="H18" s="114" t="s">
        <v>112</v>
      </c>
      <c r="I18" s="115"/>
      <c r="J18" s="116"/>
      <c r="K18" s="92"/>
      <c r="L18" s="116"/>
      <c r="M18" s="115"/>
    </row>
    <row r="19" spans="1:14" ht="33.75">
      <c r="A19" s="97">
        <v>11</v>
      </c>
      <c r="B19" s="110" t="s">
        <v>70</v>
      </c>
      <c r="C19" s="111" t="s">
        <v>71</v>
      </c>
      <c r="D19" s="112" t="s">
        <v>69</v>
      </c>
      <c r="E19" s="113">
        <v>80</v>
      </c>
      <c r="F19" s="113"/>
      <c r="G19" s="113">
        <f t="shared" si="1"/>
        <v>0</v>
      </c>
      <c r="H19" s="114" t="s">
        <v>112</v>
      </c>
      <c r="I19" s="115"/>
      <c r="J19" s="116"/>
      <c r="K19" s="92"/>
      <c r="L19" s="92"/>
      <c r="M19" s="115"/>
    </row>
    <row r="20" spans="1:14" ht="45">
      <c r="A20" s="99">
        <v>12</v>
      </c>
      <c r="B20" s="100" t="s">
        <v>72</v>
      </c>
      <c r="C20" s="101" t="s">
        <v>73</v>
      </c>
      <c r="D20" s="102" t="s">
        <v>49</v>
      </c>
      <c r="E20" s="103">
        <v>1</v>
      </c>
      <c r="F20" s="113"/>
      <c r="G20" s="103">
        <f t="shared" si="1"/>
        <v>0</v>
      </c>
      <c r="H20" s="104" t="s">
        <v>112</v>
      </c>
      <c r="K20" s="92"/>
    </row>
    <row r="21" spans="1:14" ht="33.75">
      <c r="A21" s="99">
        <v>13</v>
      </c>
      <c r="B21" s="100" t="s">
        <v>74</v>
      </c>
      <c r="C21" s="101" t="s">
        <v>75</v>
      </c>
      <c r="D21" s="102" t="s">
        <v>49</v>
      </c>
      <c r="E21" s="103">
        <v>1</v>
      </c>
      <c r="F21" s="113"/>
      <c r="G21" s="103">
        <f t="shared" si="1"/>
        <v>0</v>
      </c>
      <c r="H21" s="104" t="s">
        <v>112</v>
      </c>
      <c r="K21" s="92"/>
    </row>
    <row r="22" spans="1:14" ht="22.5">
      <c r="A22" s="99">
        <v>14</v>
      </c>
      <c r="B22" s="100" t="s">
        <v>76</v>
      </c>
      <c r="C22" s="101" t="s">
        <v>77</v>
      </c>
      <c r="D22" s="102" t="s">
        <v>49</v>
      </c>
      <c r="E22" s="103">
        <v>1</v>
      </c>
      <c r="F22" s="113"/>
      <c r="G22" s="103">
        <f t="shared" si="1"/>
        <v>0</v>
      </c>
      <c r="H22" s="104" t="s">
        <v>112</v>
      </c>
    </row>
    <row r="23" spans="1:14" ht="22.5">
      <c r="A23" s="99">
        <v>15</v>
      </c>
      <c r="B23" s="100" t="s">
        <v>78</v>
      </c>
      <c r="C23" s="101" t="s">
        <v>79</v>
      </c>
      <c r="D23" s="102" t="s">
        <v>49</v>
      </c>
      <c r="E23" s="103">
        <v>1</v>
      </c>
      <c r="F23" s="113"/>
      <c r="G23" s="103">
        <f t="shared" si="1"/>
        <v>0</v>
      </c>
      <c r="H23" s="104" t="s">
        <v>112</v>
      </c>
    </row>
    <row r="24" spans="1:14" ht="33.75">
      <c r="A24" s="99">
        <v>16</v>
      </c>
      <c r="B24" s="100" t="s">
        <v>80</v>
      </c>
      <c r="C24" s="101" t="s">
        <v>81</v>
      </c>
      <c r="D24" s="102" t="s">
        <v>49</v>
      </c>
      <c r="E24" s="103">
        <v>1</v>
      </c>
      <c r="F24" s="113"/>
      <c r="G24" s="103">
        <f t="shared" si="1"/>
        <v>0</v>
      </c>
      <c r="H24" s="104" t="s">
        <v>112</v>
      </c>
      <c r="K24" s="92"/>
    </row>
    <row r="25" spans="1:14" ht="22.5">
      <c r="A25" s="99">
        <v>17</v>
      </c>
      <c r="B25" s="100" t="s">
        <v>82</v>
      </c>
      <c r="C25" s="101" t="s">
        <v>83</v>
      </c>
      <c r="D25" s="102" t="s">
        <v>49</v>
      </c>
      <c r="E25" s="103">
        <v>1</v>
      </c>
      <c r="F25" s="113"/>
      <c r="G25" s="103">
        <f t="shared" si="1"/>
        <v>0</v>
      </c>
      <c r="H25" s="104" t="s">
        <v>112</v>
      </c>
      <c r="K25" s="92"/>
    </row>
    <row r="26" spans="1:14" ht="45">
      <c r="A26" s="99">
        <v>18</v>
      </c>
      <c r="B26" s="100" t="s">
        <v>84</v>
      </c>
      <c r="C26" s="101" t="s">
        <v>85</v>
      </c>
      <c r="D26" s="102" t="s">
        <v>49</v>
      </c>
      <c r="E26" s="103">
        <v>1</v>
      </c>
      <c r="F26" s="113"/>
      <c r="G26" s="103">
        <f t="shared" si="1"/>
        <v>0</v>
      </c>
      <c r="H26" s="104" t="s">
        <v>112</v>
      </c>
      <c r="K26" s="92"/>
    </row>
    <row r="27" spans="1:14">
      <c r="A27" s="99">
        <v>19</v>
      </c>
      <c r="B27" s="100" t="s">
        <v>86</v>
      </c>
      <c r="C27" s="105" t="s">
        <v>87</v>
      </c>
      <c r="D27" s="102" t="s">
        <v>49</v>
      </c>
      <c r="E27" s="103">
        <v>1</v>
      </c>
      <c r="F27" s="113"/>
      <c r="G27" s="103">
        <f t="shared" si="1"/>
        <v>0</v>
      </c>
      <c r="H27" s="104" t="s">
        <v>112</v>
      </c>
      <c r="K27" s="92"/>
    </row>
    <row r="28" spans="1:14" ht="112.5">
      <c r="A28" s="99"/>
      <c r="B28" s="100"/>
      <c r="C28" s="106" t="s">
        <v>88</v>
      </c>
      <c r="D28" s="102"/>
      <c r="E28" s="103"/>
      <c r="F28" s="113"/>
      <c r="G28" s="103"/>
      <c r="H28" s="117"/>
    </row>
    <row r="29" spans="1:14">
      <c r="A29" s="97">
        <v>20</v>
      </c>
      <c r="B29" s="100" t="s">
        <v>89</v>
      </c>
      <c r="C29" s="118" t="s">
        <v>90</v>
      </c>
      <c r="D29" s="112" t="s">
        <v>49</v>
      </c>
      <c r="E29" s="113">
        <v>1</v>
      </c>
      <c r="F29" s="113"/>
      <c r="G29" s="113">
        <f>(E29*F29)</f>
        <v>0</v>
      </c>
      <c r="H29" s="104" t="s">
        <v>112</v>
      </c>
      <c r="J29" s="586"/>
      <c r="K29" s="92"/>
    </row>
    <row r="30" spans="1:14" ht="56.25">
      <c r="A30" s="97"/>
      <c r="B30" s="110"/>
      <c r="C30" s="119" t="s">
        <v>91</v>
      </c>
      <c r="D30" s="112"/>
      <c r="E30" s="113"/>
      <c r="F30" s="113"/>
      <c r="G30" s="113"/>
      <c r="H30" s="120"/>
    </row>
    <row r="31" spans="1:14" ht="22.5">
      <c r="A31" s="99">
        <v>21</v>
      </c>
      <c r="B31" s="100" t="s">
        <v>92</v>
      </c>
      <c r="C31" s="101" t="s">
        <v>93</v>
      </c>
      <c r="D31" s="102" t="s">
        <v>49</v>
      </c>
      <c r="E31" s="103">
        <v>1</v>
      </c>
      <c r="F31" s="113"/>
      <c r="G31" s="103">
        <f t="shared" ref="G31:G34" si="2">(E31*F31)</f>
        <v>0</v>
      </c>
      <c r="H31" s="104" t="s">
        <v>112</v>
      </c>
      <c r="K31" s="92"/>
    </row>
    <row r="32" spans="1:14" ht="22.5">
      <c r="A32" s="99">
        <v>22</v>
      </c>
      <c r="B32" s="100" t="s">
        <v>94</v>
      </c>
      <c r="C32" s="101" t="s">
        <v>95</v>
      </c>
      <c r="D32" s="102" t="s">
        <v>49</v>
      </c>
      <c r="E32" s="103">
        <v>1</v>
      </c>
      <c r="F32" s="113"/>
      <c r="G32" s="103">
        <f t="shared" si="2"/>
        <v>0</v>
      </c>
      <c r="H32" s="104" t="s">
        <v>112</v>
      </c>
      <c r="K32" s="92"/>
    </row>
    <row r="33" spans="1:11" ht="56.25">
      <c r="A33" s="97">
        <v>23</v>
      </c>
      <c r="B33" s="100" t="s">
        <v>96</v>
      </c>
      <c r="C33" s="111" t="s">
        <v>97</v>
      </c>
      <c r="D33" s="112" t="s">
        <v>49</v>
      </c>
      <c r="E33" s="113">
        <v>1</v>
      </c>
      <c r="F33" s="113"/>
      <c r="G33" s="113">
        <f t="shared" si="2"/>
        <v>0</v>
      </c>
      <c r="H33" s="104" t="s">
        <v>112</v>
      </c>
    </row>
    <row r="34" spans="1:11" ht="56.25">
      <c r="A34" s="121">
        <v>24</v>
      </c>
      <c r="B34" s="100" t="s">
        <v>98</v>
      </c>
      <c r="C34" s="101" t="s">
        <v>99</v>
      </c>
      <c r="D34" s="112" t="s">
        <v>49</v>
      </c>
      <c r="E34" s="122">
        <v>1</v>
      </c>
      <c r="F34" s="122"/>
      <c r="G34" s="113">
        <f t="shared" si="2"/>
        <v>0</v>
      </c>
      <c r="H34" s="104" t="s">
        <v>112</v>
      </c>
    </row>
    <row r="35" spans="1:11">
      <c r="A35" s="97">
        <v>25</v>
      </c>
      <c r="B35" s="100" t="s">
        <v>100</v>
      </c>
      <c r="C35" s="111" t="s">
        <v>101</v>
      </c>
      <c r="D35" s="112" t="s">
        <v>49</v>
      </c>
      <c r="E35" s="113">
        <v>1</v>
      </c>
      <c r="F35" s="113"/>
      <c r="G35" s="113">
        <f>(E35*F35)</f>
        <v>0</v>
      </c>
      <c r="H35" s="104" t="s">
        <v>111</v>
      </c>
      <c r="K35" s="92"/>
    </row>
    <row r="36" spans="1:11" ht="45">
      <c r="A36" s="121">
        <v>26</v>
      </c>
      <c r="B36" s="100" t="s">
        <v>107</v>
      </c>
      <c r="C36" s="101" t="s">
        <v>108</v>
      </c>
      <c r="D36" s="112" t="s">
        <v>49</v>
      </c>
      <c r="E36" s="122">
        <v>1</v>
      </c>
      <c r="F36" s="122"/>
      <c r="G36" s="113">
        <f t="shared" ref="G36" si="3">(E36*F36)</f>
        <v>0</v>
      </c>
      <c r="H36" s="104" t="s">
        <v>112</v>
      </c>
    </row>
    <row r="37" spans="1:11" ht="38.25" customHeight="1">
      <c r="A37" s="121">
        <v>27</v>
      </c>
      <c r="B37" s="100" t="s">
        <v>109</v>
      </c>
      <c r="C37" s="101" t="s">
        <v>110</v>
      </c>
      <c r="D37" s="112" t="s">
        <v>49</v>
      </c>
      <c r="E37" s="122">
        <v>1</v>
      </c>
      <c r="F37" s="122"/>
      <c r="G37" s="113">
        <f t="shared" ref="G37" si="4">(E37*F37)</f>
        <v>0</v>
      </c>
      <c r="H37" s="104" t="s">
        <v>112</v>
      </c>
    </row>
    <row r="38" spans="1:11" ht="51.75" customHeight="1">
      <c r="A38" s="121">
        <v>28</v>
      </c>
      <c r="B38" s="100" t="s">
        <v>113</v>
      </c>
      <c r="C38" s="101" t="s">
        <v>114</v>
      </c>
      <c r="D38" s="112" t="s">
        <v>49</v>
      </c>
      <c r="E38" s="122">
        <v>1</v>
      </c>
      <c r="F38" s="122"/>
      <c r="G38" s="113">
        <f t="shared" ref="G38" si="5">(E38*F38)</f>
        <v>0</v>
      </c>
      <c r="H38" s="104" t="s">
        <v>112</v>
      </c>
    </row>
    <row r="39" spans="1:11" ht="25.5">
      <c r="A39" s="123"/>
      <c r="B39" s="124" t="s">
        <v>102</v>
      </c>
      <c r="C39" s="125" t="s">
        <v>115</v>
      </c>
      <c r="D39" s="126"/>
      <c r="E39" s="127"/>
      <c r="F39" s="128"/>
      <c r="G39" s="587">
        <f>SUM(G8:G38)</f>
        <v>0</v>
      </c>
      <c r="H39" s="92"/>
      <c r="I39" s="92"/>
    </row>
    <row r="40" spans="1:11">
      <c r="F40" s="91"/>
      <c r="G40" s="91"/>
      <c r="H40" s="92"/>
    </row>
    <row r="41" spans="1:11">
      <c r="A41" s="129" t="s">
        <v>1</v>
      </c>
      <c r="B41" s="130"/>
      <c r="C41" s="129"/>
      <c r="D41" s="129"/>
      <c r="E41" s="129"/>
      <c r="F41" s="129"/>
      <c r="G41" s="129"/>
      <c r="H41" s="92"/>
    </row>
    <row r="42" spans="1:11" ht="23.25" customHeight="1">
      <c r="A42" s="3018" t="s">
        <v>103</v>
      </c>
      <c r="B42" s="3036"/>
      <c r="C42" s="3036"/>
      <c r="D42" s="3036"/>
      <c r="E42" s="3036"/>
      <c r="F42" s="3036"/>
      <c r="G42" s="3036"/>
      <c r="H42" s="92"/>
    </row>
    <row r="43" spans="1:11" ht="100.5" customHeight="1">
      <c r="A43" s="3018" t="s">
        <v>104</v>
      </c>
      <c r="B43" s="3018"/>
      <c r="C43" s="3018"/>
      <c r="D43" s="3018"/>
      <c r="E43" s="3018"/>
      <c r="F43" s="3018"/>
      <c r="G43" s="3018"/>
      <c r="H43" s="92"/>
    </row>
    <row r="44" spans="1:11" ht="13.5" customHeight="1">
      <c r="A44" s="3018" t="s">
        <v>105</v>
      </c>
      <c r="B44" s="3019"/>
      <c r="C44" s="3019"/>
      <c r="D44" s="3019"/>
      <c r="E44" s="3019"/>
      <c r="F44" s="3019"/>
      <c r="G44" s="3019"/>
      <c r="H44" s="92"/>
    </row>
    <row r="45" spans="1:11" ht="13.5" customHeight="1">
      <c r="A45" s="3018" t="s">
        <v>106</v>
      </c>
      <c r="B45" s="3019"/>
      <c r="C45" s="3019"/>
      <c r="D45" s="3019"/>
      <c r="E45" s="3019"/>
      <c r="F45" s="3019"/>
      <c r="G45" s="3019"/>
      <c r="H45" s="92"/>
    </row>
    <row r="46" spans="1:11">
      <c r="F46" s="91"/>
      <c r="G46" s="91"/>
      <c r="H46" s="92"/>
    </row>
    <row r="47" spans="1:11">
      <c r="F47" s="91"/>
      <c r="G47" s="91"/>
      <c r="H47" s="92"/>
    </row>
    <row r="48" spans="1:11">
      <c r="F48" s="91"/>
      <c r="G48" s="91"/>
      <c r="H48" s="92"/>
    </row>
    <row r="49" spans="6:8">
      <c r="F49" s="91"/>
      <c r="G49" s="91"/>
      <c r="H49" s="92"/>
    </row>
    <row r="50" spans="6:8">
      <c r="F50" s="91"/>
      <c r="G50" s="91"/>
      <c r="H50" s="92"/>
    </row>
    <row r="51" spans="6:8">
      <c r="F51" s="91"/>
      <c r="G51" s="91"/>
      <c r="H51" s="92"/>
    </row>
    <row r="52" spans="6:8">
      <c r="F52" s="91"/>
      <c r="G52" s="91"/>
      <c r="H52" s="92"/>
    </row>
    <row r="53" spans="6:8">
      <c r="F53" s="91"/>
      <c r="G53" s="91"/>
      <c r="H53" s="92"/>
    </row>
    <row r="54" spans="6:8">
      <c r="F54" s="91"/>
      <c r="G54" s="91"/>
      <c r="H54" s="92"/>
    </row>
    <row r="55" spans="6:8">
      <c r="F55" s="91"/>
      <c r="G55" s="91"/>
      <c r="H55" s="92"/>
    </row>
    <row r="56" spans="6:8">
      <c r="F56" s="91"/>
      <c r="G56" s="91"/>
      <c r="H56" s="92"/>
    </row>
  </sheetData>
  <mergeCells count="9">
    <mergeCell ref="A43:G43"/>
    <mergeCell ref="A44:G44"/>
    <mergeCell ref="A45:G45"/>
    <mergeCell ref="A2:B3"/>
    <mergeCell ref="C2:G3"/>
    <mergeCell ref="A4:B4"/>
    <mergeCell ref="C4:G4"/>
    <mergeCell ref="D7:G7"/>
    <mergeCell ref="A42:G4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82" fitToHeight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0B7D-DEDB-40D6-B3B4-918E341ED470}">
  <sheetPr>
    <tabColor rgb="FFFF66FF"/>
    <pageSetUpPr fitToPage="1"/>
  </sheetPr>
  <dimension ref="A1:AX331"/>
  <sheetViews>
    <sheetView zoomScaleNormal="100" workbookViewId="0"/>
  </sheetViews>
  <sheetFormatPr defaultRowHeight="15"/>
  <cols>
    <col min="1" max="2" width="5.5" style="141" customWidth="1"/>
    <col min="3" max="3" width="15.33203125" style="141" customWidth="1"/>
    <col min="4" max="4" width="75.5" style="141" customWidth="1"/>
    <col min="5" max="5" width="7.6640625" style="141" customWidth="1"/>
    <col min="6" max="6" width="13" style="141" customWidth="1"/>
    <col min="7" max="7" width="12.83203125" style="141" customWidth="1"/>
    <col min="8" max="8" width="18.83203125" style="141" customWidth="1"/>
    <col min="9" max="9" width="19.33203125" style="141" customWidth="1"/>
    <col min="10" max="10" width="22" style="141" customWidth="1"/>
    <col min="11" max="16384" width="9.33203125" style="141"/>
  </cols>
  <sheetData>
    <row r="1" spans="1:17" s="135" customFormat="1" ht="20.25" customHeight="1">
      <c r="A1" s="133" t="s">
        <v>2956</v>
      </c>
      <c r="B1" s="2512"/>
      <c r="C1" s="2512"/>
      <c r="D1" s="2512"/>
      <c r="E1" s="2512"/>
      <c r="F1" s="2512"/>
      <c r="G1" s="2512"/>
      <c r="H1" s="2512"/>
      <c r="I1" s="2513"/>
    </row>
    <row r="2" spans="1:17" ht="13.5" customHeight="1">
      <c r="A2" s="138" t="s">
        <v>116</v>
      </c>
      <c r="B2" s="1122"/>
      <c r="C2" s="1122"/>
      <c r="D2" s="1122"/>
      <c r="E2" s="1122"/>
      <c r="F2" s="1122"/>
      <c r="G2" s="1122"/>
      <c r="H2" s="1122"/>
      <c r="I2" s="135"/>
      <c r="J2" s="885"/>
    </row>
    <row r="3" spans="1:17" ht="13.5" customHeight="1">
      <c r="A3" s="139" t="s">
        <v>117</v>
      </c>
      <c r="B3" s="140"/>
      <c r="C3" s="140"/>
      <c r="D3" s="140"/>
      <c r="E3" s="140"/>
      <c r="F3" s="134"/>
      <c r="G3" s="134"/>
      <c r="H3" s="135"/>
      <c r="I3" s="135"/>
      <c r="J3" s="885"/>
      <c r="K3" s="885"/>
      <c r="L3" s="885"/>
      <c r="M3" s="885"/>
      <c r="N3" s="885"/>
      <c r="O3" s="885"/>
      <c r="P3" s="885"/>
      <c r="Q3" s="885"/>
    </row>
    <row r="4" spans="1:17" ht="13.5" customHeight="1">
      <c r="A4" s="139" t="s">
        <v>3553</v>
      </c>
      <c r="B4" s="140"/>
      <c r="C4" s="140"/>
      <c r="D4" s="140"/>
      <c r="E4" s="140"/>
      <c r="F4" s="134"/>
      <c r="G4" s="134"/>
      <c r="H4" s="135"/>
      <c r="I4" s="135"/>
      <c r="J4" s="2651"/>
    </row>
    <row r="5" spans="1:17" s="135" customFormat="1" ht="12.75" customHeight="1">
      <c r="A5" s="2514"/>
      <c r="B5" s="2514"/>
      <c r="C5" s="2514"/>
      <c r="D5" s="2515"/>
      <c r="E5" s="2514"/>
      <c r="F5" s="2514"/>
      <c r="G5" s="2512"/>
      <c r="H5" s="2512"/>
      <c r="I5" s="2513"/>
      <c r="J5" s="2651"/>
    </row>
    <row r="6" spans="1:17" s="135" customFormat="1" ht="24.75" customHeight="1">
      <c r="A6" s="145" t="s">
        <v>119</v>
      </c>
      <c r="B6" s="145" t="s">
        <v>120</v>
      </c>
      <c r="C6" s="145" t="s">
        <v>121</v>
      </c>
      <c r="D6" s="145" t="s">
        <v>122</v>
      </c>
      <c r="E6" s="145" t="s">
        <v>123</v>
      </c>
      <c r="F6" s="145" t="s">
        <v>124</v>
      </c>
      <c r="G6" s="145" t="s">
        <v>125</v>
      </c>
      <c r="H6" s="145" t="s">
        <v>2</v>
      </c>
      <c r="I6" s="145" t="s">
        <v>46</v>
      </c>
      <c r="J6" s="2651"/>
    </row>
    <row r="7" spans="1:17" s="135" customFormat="1" ht="12.75" customHeight="1">
      <c r="A7" s="145" t="s">
        <v>126</v>
      </c>
      <c r="B7" s="145" t="s">
        <v>127</v>
      </c>
      <c r="C7" s="145" t="s">
        <v>128</v>
      </c>
      <c r="D7" s="145" t="s">
        <v>129</v>
      </c>
      <c r="E7" s="145" t="s">
        <v>130</v>
      </c>
      <c r="F7" s="145" t="s">
        <v>131</v>
      </c>
      <c r="G7" s="145" t="s">
        <v>132</v>
      </c>
      <c r="H7" s="145">
        <v>8</v>
      </c>
      <c r="I7" s="145">
        <v>9</v>
      </c>
    </row>
    <row r="8" spans="1:17" s="206" customFormat="1" ht="21" customHeight="1">
      <c r="A8" s="2516"/>
      <c r="B8" s="2517"/>
      <c r="C8" s="2517" t="s">
        <v>133</v>
      </c>
      <c r="D8" s="2517" t="s">
        <v>134</v>
      </c>
      <c r="E8" s="2517"/>
      <c r="F8" s="2518"/>
      <c r="G8" s="2519"/>
      <c r="H8" s="2520">
        <f>SUM(H9,H25,H66,H75,H197)</f>
        <v>0</v>
      </c>
      <c r="I8" s="2521"/>
      <c r="J8" s="2652"/>
      <c r="K8" s="2653"/>
    </row>
    <row r="9" spans="1:17" s="135" customFormat="1" ht="13.5" customHeight="1">
      <c r="A9" s="2522"/>
      <c r="B9" s="2523"/>
      <c r="C9" s="2523">
        <v>1</v>
      </c>
      <c r="D9" s="2523" t="s">
        <v>135</v>
      </c>
      <c r="E9" s="2523"/>
      <c r="F9" s="2524"/>
      <c r="G9" s="2525"/>
      <c r="H9" s="2525">
        <f>SUM(H10:H24)</f>
        <v>0</v>
      </c>
      <c r="I9" s="2526"/>
    </row>
    <row r="10" spans="1:17" s="2530" customFormat="1" ht="13.5" customHeight="1">
      <c r="A10" s="2527">
        <v>1</v>
      </c>
      <c r="B10" s="2528" t="s">
        <v>136</v>
      </c>
      <c r="C10" s="2528">
        <v>115101201</v>
      </c>
      <c r="D10" s="2528" t="s">
        <v>137</v>
      </c>
      <c r="E10" s="2528" t="s">
        <v>69</v>
      </c>
      <c r="F10" s="2679">
        <v>160</v>
      </c>
      <c r="G10" s="2529"/>
      <c r="H10" s="2529">
        <f t="shared" ref="H10:H16" si="0">F10*G10</f>
        <v>0</v>
      </c>
      <c r="I10" s="2493" t="s">
        <v>138</v>
      </c>
      <c r="J10" s="2654"/>
      <c r="K10" s="2655"/>
    </row>
    <row r="11" spans="1:17" s="2530" customFormat="1" ht="13.5" customHeight="1">
      <c r="A11" s="2527">
        <v>2</v>
      </c>
      <c r="B11" s="2528" t="s">
        <v>136</v>
      </c>
      <c r="C11" s="2528">
        <v>115101301</v>
      </c>
      <c r="D11" s="2528" t="s">
        <v>139</v>
      </c>
      <c r="E11" s="2528" t="s">
        <v>140</v>
      </c>
      <c r="F11" s="2679">
        <v>20</v>
      </c>
      <c r="G11" s="2529"/>
      <c r="H11" s="2529">
        <f t="shared" si="0"/>
        <v>0</v>
      </c>
      <c r="I11" s="2493" t="s">
        <v>138</v>
      </c>
      <c r="K11" s="2655"/>
    </row>
    <row r="12" spans="1:17" s="158" customFormat="1" ht="13.5" customHeight="1">
      <c r="A12" s="2527">
        <v>3</v>
      </c>
      <c r="B12" s="2528" t="s">
        <v>136</v>
      </c>
      <c r="C12" s="2528">
        <v>119001402</v>
      </c>
      <c r="D12" s="2528" t="s">
        <v>141</v>
      </c>
      <c r="E12" s="2528" t="s">
        <v>142</v>
      </c>
      <c r="F12" s="2679">
        <v>10</v>
      </c>
      <c r="G12" s="2529"/>
      <c r="H12" s="2529">
        <f t="shared" si="0"/>
        <v>0</v>
      </c>
      <c r="I12" s="2493" t="s">
        <v>138</v>
      </c>
      <c r="K12" s="2655"/>
    </row>
    <row r="13" spans="1:17" s="158" customFormat="1" ht="13.5" customHeight="1">
      <c r="A13" s="2527">
        <v>4</v>
      </c>
      <c r="B13" s="2528" t="s">
        <v>136</v>
      </c>
      <c r="C13" s="2528">
        <v>119001406</v>
      </c>
      <c r="D13" s="2528" t="s">
        <v>143</v>
      </c>
      <c r="E13" s="2528" t="s">
        <v>142</v>
      </c>
      <c r="F13" s="2679">
        <v>10</v>
      </c>
      <c r="G13" s="2529"/>
      <c r="H13" s="2529">
        <f t="shared" si="0"/>
        <v>0</v>
      </c>
      <c r="I13" s="2493" t="s">
        <v>138</v>
      </c>
      <c r="K13" s="2655"/>
    </row>
    <row r="14" spans="1:17" s="158" customFormat="1" ht="13.5" customHeight="1">
      <c r="A14" s="2527">
        <v>5</v>
      </c>
      <c r="B14" s="2528" t="s">
        <v>136</v>
      </c>
      <c r="C14" s="2528">
        <v>119001412</v>
      </c>
      <c r="D14" s="2528" t="s">
        <v>144</v>
      </c>
      <c r="E14" s="2528" t="s">
        <v>142</v>
      </c>
      <c r="F14" s="2679">
        <v>10</v>
      </c>
      <c r="G14" s="2529"/>
      <c r="H14" s="2529">
        <f t="shared" si="0"/>
        <v>0</v>
      </c>
      <c r="I14" s="2493" t="s">
        <v>138</v>
      </c>
      <c r="K14" s="2655"/>
    </row>
    <row r="15" spans="1:17" s="158" customFormat="1" ht="13.5" customHeight="1">
      <c r="A15" s="2527">
        <v>6</v>
      </c>
      <c r="B15" s="2528" t="s">
        <v>136</v>
      </c>
      <c r="C15" s="2528">
        <v>119001422</v>
      </c>
      <c r="D15" s="2528" t="s">
        <v>145</v>
      </c>
      <c r="E15" s="2528" t="s">
        <v>142</v>
      </c>
      <c r="F15" s="2679">
        <v>70</v>
      </c>
      <c r="G15" s="2529"/>
      <c r="H15" s="2529">
        <f t="shared" si="0"/>
        <v>0</v>
      </c>
      <c r="I15" s="2493" t="s">
        <v>138</v>
      </c>
      <c r="K15" s="2655"/>
    </row>
    <row r="16" spans="1:17" s="158" customFormat="1" ht="13.5" customHeight="1">
      <c r="A16" s="2531">
        <v>7</v>
      </c>
      <c r="B16" s="2532" t="s">
        <v>136</v>
      </c>
      <c r="C16" s="2532" t="s">
        <v>3554</v>
      </c>
      <c r="D16" s="2532" t="s">
        <v>3555</v>
      </c>
      <c r="E16" s="2532" t="s">
        <v>147</v>
      </c>
      <c r="F16" s="2603">
        <f>SUM(F17:F24)</f>
        <v>107.48250000000002</v>
      </c>
      <c r="G16" s="2533"/>
      <c r="H16" s="2533">
        <f t="shared" si="0"/>
        <v>0</v>
      </c>
      <c r="I16" s="2493" t="s">
        <v>112</v>
      </c>
      <c r="J16" s="157"/>
      <c r="N16" s="159"/>
    </row>
    <row r="17" spans="1:23" s="165" customFormat="1" ht="13.5" customHeight="1">
      <c r="A17" s="2534"/>
      <c r="B17" s="2535"/>
      <c r="C17" s="2535"/>
      <c r="D17" s="2535" t="s">
        <v>3556</v>
      </c>
      <c r="E17" s="2535"/>
      <c r="F17" s="2680"/>
      <c r="G17" s="2536"/>
      <c r="H17" s="2536"/>
      <c r="I17" s="2537"/>
      <c r="J17" s="164"/>
      <c r="L17" s="166"/>
      <c r="N17" s="166"/>
    </row>
    <row r="18" spans="1:23" s="165" customFormat="1" ht="13.5" customHeight="1">
      <c r="A18" s="2534"/>
      <c r="B18" s="2535"/>
      <c r="C18" s="2535"/>
      <c r="D18" s="2535" t="s">
        <v>3557</v>
      </c>
      <c r="E18" s="2535"/>
      <c r="F18" s="2680">
        <f>(10.64+153.6+41.61+33)*0.45</f>
        <v>107.48250000000002</v>
      </c>
      <c r="G18" s="2536"/>
      <c r="H18" s="2536"/>
      <c r="I18" s="2537"/>
      <c r="J18" s="157"/>
      <c r="L18" s="166"/>
      <c r="N18" s="166"/>
    </row>
    <row r="19" spans="1:23" s="165" customFormat="1" ht="13.5" customHeight="1">
      <c r="A19" s="2534"/>
      <c r="B19" s="2535"/>
      <c r="C19" s="2535"/>
      <c r="D19" s="2535" t="s">
        <v>3558</v>
      </c>
      <c r="E19" s="2535"/>
      <c r="F19" s="2680"/>
      <c r="G19" s="2536"/>
      <c r="H19" s="2536"/>
      <c r="I19" s="2537"/>
      <c r="J19" s="164"/>
    </row>
    <row r="20" spans="1:23" s="165" customFormat="1" ht="13.5" customHeight="1">
      <c r="A20" s="2534"/>
      <c r="B20" s="2535"/>
      <c r="C20" s="2535"/>
      <c r="D20" s="2535" t="s">
        <v>3559</v>
      </c>
      <c r="E20" s="2535"/>
      <c r="F20" s="2680"/>
      <c r="G20" s="2536"/>
      <c r="H20" s="2536"/>
      <c r="I20" s="2537"/>
      <c r="J20" s="164"/>
    </row>
    <row r="21" spans="1:23" s="165" customFormat="1" ht="13.5" customHeight="1">
      <c r="A21" s="2534"/>
      <c r="B21" s="2535"/>
      <c r="C21" s="2535"/>
      <c r="D21" s="2535" t="s">
        <v>3560</v>
      </c>
      <c r="E21" s="2535"/>
      <c r="F21" s="2680"/>
      <c r="G21" s="2536"/>
      <c r="H21" s="2536"/>
      <c r="I21" s="2537"/>
      <c r="J21" s="164"/>
    </row>
    <row r="22" spans="1:23" s="165" customFormat="1" ht="13.5" customHeight="1">
      <c r="A22" s="2534"/>
      <c r="B22" s="2535"/>
      <c r="C22" s="2535"/>
      <c r="D22" s="2535" t="s">
        <v>3561</v>
      </c>
      <c r="E22" s="2535"/>
      <c r="F22" s="2680"/>
      <c r="G22" s="2536"/>
      <c r="H22" s="2536"/>
      <c r="I22" s="2537"/>
      <c r="J22" s="164"/>
    </row>
    <row r="23" spans="1:23" s="165" customFormat="1" ht="13.5" customHeight="1">
      <c r="A23" s="2534"/>
      <c r="B23" s="2535"/>
      <c r="C23" s="2535"/>
      <c r="D23" s="2535" t="s">
        <v>3562</v>
      </c>
      <c r="E23" s="2535"/>
      <c r="F23" s="2680"/>
      <c r="G23" s="2536"/>
      <c r="H23" s="2536"/>
      <c r="I23" s="2537"/>
      <c r="J23" s="164"/>
    </row>
    <row r="24" spans="1:23" s="174" customFormat="1" ht="27" customHeight="1">
      <c r="A24" s="2538"/>
      <c r="B24" s="2539"/>
      <c r="C24" s="2540"/>
      <c r="D24" s="2540" t="s">
        <v>152</v>
      </c>
      <c r="E24" s="2540"/>
      <c r="F24" s="2681"/>
      <c r="G24" s="2541"/>
      <c r="H24" s="2542"/>
      <c r="I24" s="2543"/>
      <c r="J24" s="167"/>
      <c r="K24" s="165"/>
      <c r="L24" s="166"/>
      <c r="M24" s="165"/>
      <c r="U24" s="175"/>
      <c r="W24" s="175"/>
    </row>
    <row r="25" spans="1:23" s="135" customFormat="1" ht="13.5" customHeight="1">
      <c r="A25" s="2522"/>
      <c r="B25" s="2523"/>
      <c r="C25" s="2523">
        <v>3</v>
      </c>
      <c r="D25" s="2523" t="s">
        <v>254</v>
      </c>
      <c r="E25" s="2523"/>
      <c r="F25" s="2682"/>
      <c r="G25" s="2544"/>
      <c r="H25" s="2525">
        <f>SUM(H26:H65)</f>
        <v>0</v>
      </c>
      <c r="I25" s="2526"/>
      <c r="J25" s="137"/>
    </row>
    <row r="26" spans="1:23" s="135" customFormat="1" ht="13.5" customHeight="1">
      <c r="A26" s="2545">
        <v>8</v>
      </c>
      <c r="B26" s="2546" t="s">
        <v>3563</v>
      </c>
      <c r="C26" s="2547" t="s">
        <v>3564</v>
      </c>
      <c r="D26" s="2547" t="s">
        <v>3565</v>
      </c>
      <c r="E26" s="2547" t="s">
        <v>210</v>
      </c>
      <c r="F26" s="2683">
        <f>SUM(F28:F28)</f>
        <v>1</v>
      </c>
      <c r="G26" s="2548"/>
      <c r="H26" s="2548">
        <f>F26*G26</f>
        <v>0</v>
      </c>
      <c r="I26" s="2549" t="s">
        <v>111</v>
      </c>
      <c r="J26" s="452"/>
      <c r="K26" s="347"/>
    </row>
    <row r="27" spans="1:23" s="135" customFormat="1" ht="28.5" customHeight="1">
      <c r="A27" s="2545"/>
      <c r="B27" s="2550"/>
      <c r="C27" s="2550"/>
      <c r="D27" s="2551" t="s">
        <v>3566</v>
      </c>
      <c r="E27" s="2550"/>
      <c r="F27" s="2684"/>
      <c r="G27" s="2548"/>
      <c r="H27" s="2548"/>
      <c r="I27" s="2552"/>
    </row>
    <row r="28" spans="1:23" s="286" customFormat="1" ht="13.5" customHeight="1">
      <c r="A28" s="2545"/>
      <c r="B28" s="2551"/>
      <c r="C28" s="2551"/>
      <c r="D28" s="2551" t="s">
        <v>3567</v>
      </c>
      <c r="E28" s="2551"/>
      <c r="F28" s="2684">
        <v>1</v>
      </c>
      <c r="G28" s="2548"/>
      <c r="H28" s="2548"/>
      <c r="I28" s="2553"/>
    </row>
    <row r="29" spans="1:23" s="135" customFormat="1" ht="13.5" customHeight="1">
      <c r="A29" s="2545"/>
      <c r="B29" s="2550"/>
      <c r="C29" s="2550"/>
      <c r="D29" s="2551" t="s">
        <v>3568</v>
      </c>
      <c r="E29" s="2550"/>
      <c r="F29" s="2684"/>
      <c r="G29" s="2548"/>
      <c r="H29" s="2548"/>
      <c r="I29" s="2552"/>
    </row>
    <row r="30" spans="1:23" s="158" customFormat="1" ht="13.5" customHeight="1">
      <c r="A30" s="2545"/>
      <c r="B30" s="2546"/>
      <c r="C30" s="2547"/>
      <c r="D30" s="2551" t="s">
        <v>273</v>
      </c>
      <c r="E30" s="2547"/>
      <c r="F30" s="2684"/>
      <c r="G30" s="2548"/>
      <c r="H30" s="2548"/>
      <c r="I30" s="2554"/>
    </row>
    <row r="31" spans="1:23" s="135" customFormat="1" ht="13.5" customHeight="1">
      <c r="A31" s="2545">
        <v>9</v>
      </c>
      <c r="B31" s="2546" t="s">
        <v>3563</v>
      </c>
      <c r="C31" s="2547" t="s">
        <v>3569</v>
      </c>
      <c r="D31" s="2547" t="s">
        <v>3570</v>
      </c>
      <c r="E31" s="2547" t="s">
        <v>210</v>
      </c>
      <c r="F31" s="2683">
        <f>SUM(F33:F33)</f>
        <v>1</v>
      </c>
      <c r="G31" s="2548"/>
      <c r="H31" s="2548">
        <f>F31*G31</f>
        <v>0</v>
      </c>
      <c r="I31" s="2549" t="s">
        <v>111</v>
      </c>
      <c r="K31" s="347"/>
    </row>
    <row r="32" spans="1:23" s="135" customFormat="1" ht="28.5" customHeight="1">
      <c r="A32" s="2545"/>
      <c r="B32" s="2550"/>
      <c r="C32" s="2550"/>
      <c r="D32" s="2551" t="s">
        <v>3566</v>
      </c>
      <c r="E32" s="2550"/>
      <c r="F32" s="2684"/>
      <c r="G32" s="2548"/>
      <c r="H32" s="2548"/>
      <c r="I32" s="2552"/>
    </row>
    <row r="33" spans="1:11" s="286" customFormat="1" ht="13.5" customHeight="1">
      <c r="A33" s="2545"/>
      <c r="B33" s="2551"/>
      <c r="C33" s="2551"/>
      <c r="D33" s="2551" t="s">
        <v>3567</v>
      </c>
      <c r="E33" s="2551"/>
      <c r="F33" s="2684">
        <v>1</v>
      </c>
      <c r="G33" s="2548"/>
      <c r="H33" s="2548"/>
      <c r="I33" s="2553"/>
    </row>
    <row r="34" spans="1:11" s="135" customFormat="1" ht="13.5" customHeight="1">
      <c r="A34" s="2545"/>
      <c r="B34" s="2550"/>
      <c r="C34" s="2550"/>
      <c r="D34" s="2551" t="s">
        <v>3568</v>
      </c>
      <c r="E34" s="2550"/>
      <c r="F34" s="2684"/>
      <c r="G34" s="2548"/>
      <c r="H34" s="2548"/>
      <c r="I34" s="2552"/>
    </row>
    <row r="35" spans="1:11" s="158" customFormat="1" ht="13.5" customHeight="1">
      <c r="A35" s="2545"/>
      <c r="B35" s="2546"/>
      <c r="C35" s="2547"/>
      <c r="D35" s="2551" t="s">
        <v>273</v>
      </c>
      <c r="E35" s="2547"/>
      <c r="F35" s="2684"/>
      <c r="G35" s="2548"/>
      <c r="H35" s="2548"/>
      <c r="I35" s="2554"/>
    </row>
    <row r="36" spans="1:11" s="135" customFormat="1" ht="13.5" customHeight="1">
      <c r="A36" s="2545">
        <v>10</v>
      </c>
      <c r="B36" s="2546" t="s">
        <v>3563</v>
      </c>
      <c r="C36" s="2547" t="s">
        <v>3571</v>
      </c>
      <c r="D36" s="2547" t="s">
        <v>3572</v>
      </c>
      <c r="E36" s="2547" t="s">
        <v>210</v>
      </c>
      <c r="F36" s="2683">
        <f>SUM(F38:F39)</f>
        <v>1</v>
      </c>
      <c r="G36" s="2548"/>
      <c r="H36" s="2548">
        <f>F36*G36</f>
        <v>0</v>
      </c>
      <c r="I36" s="2549" t="s">
        <v>111</v>
      </c>
      <c r="K36" s="347"/>
    </row>
    <row r="37" spans="1:11" s="135" customFormat="1" ht="28.5" customHeight="1">
      <c r="A37" s="2545"/>
      <c r="B37" s="2550"/>
      <c r="C37" s="2550"/>
      <c r="D37" s="2551" t="s">
        <v>3566</v>
      </c>
      <c r="E37" s="2550"/>
      <c r="F37" s="2684"/>
      <c r="G37" s="2548"/>
      <c r="H37" s="2548"/>
      <c r="I37" s="2552"/>
    </row>
    <row r="38" spans="1:11" s="286" customFormat="1" ht="13.5" customHeight="1">
      <c r="A38" s="2545"/>
      <c r="B38" s="2551"/>
      <c r="C38" s="2551"/>
      <c r="D38" s="2551" t="s">
        <v>3567</v>
      </c>
      <c r="E38" s="2551"/>
      <c r="F38" s="2684">
        <v>1</v>
      </c>
      <c r="G38" s="2548"/>
      <c r="H38" s="2548"/>
      <c r="I38" s="2553"/>
    </row>
    <row r="39" spans="1:11" s="135" customFormat="1" ht="13.5" customHeight="1">
      <c r="A39" s="2545"/>
      <c r="B39" s="2550"/>
      <c r="C39" s="2550"/>
      <c r="D39" s="2551" t="s">
        <v>3568</v>
      </c>
      <c r="E39" s="2550"/>
      <c r="F39" s="2684"/>
      <c r="G39" s="2548"/>
      <c r="H39" s="2548"/>
      <c r="I39" s="2552"/>
    </row>
    <row r="40" spans="1:11" s="158" customFormat="1" ht="13.5" customHeight="1">
      <c r="A40" s="2545"/>
      <c r="B40" s="2546"/>
      <c r="C40" s="2547"/>
      <c r="D40" s="2551" t="s">
        <v>273</v>
      </c>
      <c r="E40" s="2547"/>
      <c r="F40" s="2684"/>
      <c r="G40" s="2548"/>
      <c r="H40" s="2548"/>
      <c r="I40" s="2554"/>
    </row>
    <row r="41" spans="1:11" s="135" customFormat="1" ht="13.5" customHeight="1">
      <c r="A41" s="2545">
        <v>11</v>
      </c>
      <c r="B41" s="2546" t="s">
        <v>3563</v>
      </c>
      <c r="C41" s="2547" t="s">
        <v>3573</v>
      </c>
      <c r="D41" s="2547" t="s">
        <v>3574</v>
      </c>
      <c r="E41" s="2547" t="s">
        <v>210</v>
      </c>
      <c r="F41" s="2683">
        <f>SUM(F43)</f>
        <v>1</v>
      </c>
      <c r="G41" s="2548"/>
      <c r="H41" s="2548">
        <f>F41*G41</f>
        <v>0</v>
      </c>
      <c r="I41" s="2549" t="s">
        <v>111</v>
      </c>
    </row>
    <row r="42" spans="1:11" s="135" customFormat="1" ht="28.5" customHeight="1">
      <c r="A42" s="2545"/>
      <c r="B42" s="2550"/>
      <c r="C42" s="2550"/>
      <c r="D42" s="2551" t="s">
        <v>3566</v>
      </c>
      <c r="E42" s="2550"/>
      <c r="F42" s="2684"/>
      <c r="G42" s="2548"/>
      <c r="H42" s="2548"/>
      <c r="I42" s="2555"/>
    </row>
    <row r="43" spans="1:11" s="286" customFormat="1" ht="13.5" customHeight="1">
      <c r="A43" s="2545"/>
      <c r="B43" s="2551"/>
      <c r="C43" s="2551"/>
      <c r="D43" s="2551" t="s">
        <v>3575</v>
      </c>
      <c r="E43" s="2551"/>
      <c r="F43" s="2684">
        <v>1</v>
      </c>
      <c r="G43" s="2548"/>
      <c r="H43" s="2548"/>
      <c r="I43" s="2555"/>
    </row>
    <row r="44" spans="1:11" s="135" customFormat="1" ht="13.5" customHeight="1">
      <c r="A44" s="2545"/>
      <c r="B44" s="2550"/>
      <c r="C44" s="2550"/>
      <c r="D44" s="2551" t="s">
        <v>3568</v>
      </c>
      <c r="E44" s="2550"/>
      <c r="F44" s="2684"/>
      <c r="G44" s="2548"/>
      <c r="H44" s="2548"/>
      <c r="I44" s="2552"/>
    </row>
    <row r="45" spans="1:11" s="158" customFormat="1" ht="13.5" customHeight="1">
      <c r="A45" s="2545"/>
      <c r="B45" s="2546"/>
      <c r="C45" s="2547"/>
      <c r="D45" s="2551" t="s">
        <v>273</v>
      </c>
      <c r="E45" s="2547"/>
      <c r="F45" s="2684"/>
      <c r="G45" s="2548"/>
      <c r="H45" s="2548"/>
      <c r="I45" s="2554"/>
      <c r="J45" s="159"/>
    </row>
    <row r="46" spans="1:11" s="135" customFormat="1" ht="13.5" customHeight="1">
      <c r="A46" s="2545">
        <v>12</v>
      </c>
      <c r="B46" s="2546" t="s">
        <v>3563</v>
      </c>
      <c r="C46" s="2547" t="s">
        <v>3576</v>
      </c>
      <c r="D46" s="2547" t="s">
        <v>3577</v>
      </c>
      <c r="E46" s="2547" t="s">
        <v>210</v>
      </c>
      <c r="F46" s="2683">
        <f>SUM(F48)</f>
        <v>1</v>
      </c>
      <c r="G46" s="2548"/>
      <c r="H46" s="2548">
        <f>F46*G46</f>
        <v>0</v>
      </c>
      <c r="I46" s="2549" t="s">
        <v>111</v>
      </c>
    </row>
    <row r="47" spans="1:11" s="135" customFormat="1" ht="28.5" customHeight="1">
      <c r="A47" s="2545"/>
      <c r="B47" s="2550"/>
      <c r="C47" s="2550"/>
      <c r="D47" s="2551" t="s">
        <v>3566</v>
      </c>
      <c r="E47" s="2550"/>
      <c r="F47" s="2684"/>
      <c r="G47" s="2548"/>
      <c r="H47" s="2548"/>
      <c r="I47" s="2555"/>
    </row>
    <row r="48" spans="1:11" s="286" customFormat="1" ht="13.5" customHeight="1">
      <c r="A48" s="2545"/>
      <c r="B48" s="2551"/>
      <c r="C48" s="2551"/>
      <c r="D48" s="2551" t="s">
        <v>3575</v>
      </c>
      <c r="E48" s="2551"/>
      <c r="F48" s="2684">
        <v>1</v>
      </c>
      <c r="G48" s="2548"/>
      <c r="H48" s="2548"/>
      <c r="I48" s="2555"/>
    </row>
    <row r="49" spans="1:9" s="135" customFormat="1" ht="13.5" customHeight="1">
      <c r="A49" s="2545"/>
      <c r="B49" s="2550"/>
      <c r="C49" s="2550"/>
      <c r="D49" s="2551" t="s">
        <v>3568</v>
      </c>
      <c r="E49" s="2550"/>
      <c r="F49" s="2684"/>
      <c r="G49" s="2548"/>
      <c r="H49" s="2548"/>
      <c r="I49" s="2552"/>
    </row>
    <row r="50" spans="1:9" s="158" customFormat="1" ht="13.5" customHeight="1">
      <c r="A50" s="2545"/>
      <c r="B50" s="2546"/>
      <c r="C50" s="2547"/>
      <c r="D50" s="2551" t="s">
        <v>273</v>
      </c>
      <c r="E50" s="2547"/>
      <c r="F50" s="2684"/>
      <c r="G50" s="2548"/>
      <c r="H50" s="2548"/>
      <c r="I50" s="2554"/>
    </row>
    <row r="51" spans="1:9" s="135" customFormat="1" ht="13.5" customHeight="1">
      <c r="A51" s="2545">
        <v>13</v>
      </c>
      <c r="B51" s="2546" t="s">
        <v>3563</v>
      </c>
      <c r="C51" s="2547" t="s">
        <v>3578</v>
      </c>
      <c r="D51" s="2547" t="s">
        <v>3579</v>
      </c>
      <c r="E51" s="2547" t="s">
        <v>210</v>
      </c>
      <c r="F51" s="2683">
        <f>SUM(F53)</f>
        <v>1</v>
      </c>
      <c r="G51" s="2548"/>
      <c r="H51" s="2548">
        <f>F51*G51</f>
        <v>0</v>
      </c>
      <c r="I51" s="2549" t="s">
        <v>111</v>
      </c>
    </row>
    <row r="52" spans="1:9" s="135" customFormat="1" ht="28.5" customHeight="1">
      <c r="A52" s="2545"/>
      <c r="B52" s="2550"/>
      <c r="C52" s="2550"/>
      <c r="D52" s="2551" t="s">
        <v>3566</v>
      </c>
      <c r="E52" s="2550"/>
      <c r="F52" s="2684"/>
      <c r="G52" s="2548"/>
      <c r="H52" s="2548"/>
      <c r="I52" s="2552"/>
    </row>
    <row r="53" spans="1:9" s="286" customFormat="1" ht="13.5" customHeight="1">
      <c r="A53" s="2545"/>
      <c r="B53" s="2551"/>
      <c r="C53" s="2551"/>
      <c r="D53" s="2551" t="s">
        <v>3575</v>
      </c>
      <c r="E53" s="2551"/>
      <c r="F53" s="2684">
        <v>1</v>
      </c>
      <c r="G53" s="2548"/>
      <c r="H53" s="2548"/>
      <c r="I53" s="2553"/>
    </row>
    <row r="54" spans="1:9" s="135" customFormat="1" ht="13.5" customHeight="1">
      <c r="A54" s="2545"/>
      <c r="B54" s="2550"/>
      <c r="C54" s="2550"/>
      <c r="D54" s="2551" t="s">
        <v>3568</v>
      </c>
      <c r="E54" s="2550"/>
      <c r="F54" s="2684"/>
      <c r="G54" s="2548"/>
      <c r="H54" s="2548"/>
      <c r="I54" s="2552"/>
    </row>
    <row r="55" spans="1:9" s="158" customFormat="1" ht="13.5" customHeight="1">
      <c r="A55" s="2545"/>
      <c r="B55" s="2546"/>
      <c r="C55" s="2547"/>
      <c r="D55" s="2551" t="s">
        <v>273</v>
      </c>
      <c r="E55" s="2547"/>
      <c r="F55" s="2684"/>
      <c r="G55" s="2548"/>
      <c r="H55" s="2548"/>
      <c r="I55" s="2554"/>
    </row>
    <row r="56" spans="1:9" s="135" customFormat="1" ht="27" customHeight="1">
      <c r="A56" s="2545">
        <v>14</v>
      </c>
      <c r="B56" s="2546" t="s">
        <v>3563</v>
      </c>
      <c r="C56" s="2547" t="s">
        <v>3580</v>
      </c>
      <c r="D56" s="2547" t="s">
        <v>3581</v>
      </c>
      <c r="E56" s="2547" t="s">
        <v>210</v>
      </c>
      <c r="F56" s="2683">
        <f>SUM(F58)</f>
        <v>1</v>
      </c>
      <c r="G56" s="2548"/>
      <c r="H56" s="2548">
        <f>F56*G56</f>
        <v>0</v>
      </c>
      <c r="I56" s="2549" t="s">
        <v>111</v>
      </c>
    </row>
    <row r="57" spans="1:9" s="135" customFormat="1" ht="28.5" customHeight="1">
      <c r="A57" s="2545"/>
      <c r="B57" s="2550"/>
      <c r="C57" s="2550"/>
      <c r="D57" s="2551" t="s">
        <v>3566</v>
      </c>
      <c r="E57" s="2550"/>
      <c r="F57" s="2684"/>
      <c r="G57" s="2548"/>
      <c r="H57" s="2548"/>
      <c r="I57" s="2552"/>
    </row>
    <row r="58" spans="1:9" s="286" customFormat="1" ht="13.5" customHeight="1">
      <c r="A58" s="2545"/>
      <c r="B58" s="2551"/>
      <c r="C58" s="2551"/>
      <c r="D58" s="2551" t="s">
        <v>3575</v>
      </c>
      <c r="E58" s="2551"/>
      <c r="F58" s="2684">
        <v>1</v>
      </c>
      <c r="G58" s="2548"/>
      <c r="H58" s="2548"/>
      <c r="I58" s="2553"/>
    </row>
    <row r="59" spans="1:9" s="135" customFormat="1" ht="13.5" customHeight="1">
      <c r="A59" s="2545"/>
      <c r="B59" s="2550"/>
      <c r="C59" s="2550"/>
      <c r="D59" s="2551" t="s">
        <v>3568</v>
      </c>
      <c r="E59" s="2550"/>
      <c r="F59" s="2684"/>
      <c r="G59" s="2548"/>
      <c r="H59" s="2548"/>
      <c r="I59" s="2552"/>
    </row>
    <row r="60" spans="1:9" s="158" customFormat="1" ht="13.5" customHeight="1">
      <c r="A60" s="2545"/>
      <c r="B60" s="2546"/>
      <c r="C60" s="2547"/>
      <c r="D60" s="2551" t="s">
        <v>273</v>
      </c>
      <c r="E60" s="2547"/>
      <c r="F60" s="2684"/>
      <c r="G60" s="2548"/>
      <c r="H60" s="2548"/>
      <c r="I60" s="2554"/>
    </row>
    <row r="61" spans="1:9" s="135" customFormat="1" ht="13.5" customHeight="1">
      <c r="A61" s="2545">
        <v>15</v>
      </c>
      <c r="B61" s="2546" t="s">
        <v>3563</v>
      </c>
      <c r="C61" s="2547" t="s">
        <v>3582</v>
      </c>
      <c r="D61" s="2547" t="s">
        <v>3583</v>
      </c>
      <c r="E61" s="2547" t="s">
        <v>210</v>
      </c>
      <c r="F61" s="2683">
        <f>SUM(F63)</f>
        <v>2</v>
      </c>
      <c r="G61" s="2548"/>
      <c r="H61" s="2548">
        <f>F61*G61</f>
        <v>0</v>
      </c>
      <c r="I61" s="2549" t="s">
        <v>111</v>
      </c>
    </row>
    <row r="62" spans="1:9" s="135" customFormat="1" ht="28.5" customHeight="1">
      <c r="A62" s="2545"/>
      <c r="B62" s="2550"/>
      <c r="C62" s="2550"/>
      <c r="D62" s="2551" t="s">
        <v>3566</v>
      </c>
      <c r="E62" s="2550"/>
      <c r="F62" s="2684"/>
      <c r="G62" s="2548"/>
      <c r="H62" s="2548"/>
      <c r="I62" s="2552"/>
    </row>
    <row r="63" spans="1:9" s="286" customFormat="1" ht="13.5" customHeight="1">
      <c r="A63" s="2545"/>
      <c r="B63" s="2551"/>
      <c r="C63" s="2551"/>
      <c r="D63" s="2551" t="s">
        <v>3584</v>
      </c>
      <c r="E63" s="2551"/>
      <c r="F63" s="2684">
        <v>2</v>
      </c>
      <c r="G63" s="2548"/>
      <c r="H63" s="2548"/>
      <c r="I63" s="2553"/>
    </row>
    <row r="64" spans="1:9" s="135" customFormat="1" ht="13.5" customHeight="1">
      <c r="A64" s="2545"/>
      <c r="B64" s="2550"/>
      <c r="C64" s="2550"/>
      <c r="D64" s="2551" t="s">
        <v>3568</v>
      </c>
      <c r="E64" s="2550"/>
      <c r="F64" s="2684"/>
      <c r="G64" s="2548"/>
      <c r="H64" s="2548"/>
      <c r="I64" s="2552"/>
    </row>
    <row r="65" spans="1:10" s="158" customFormat="1" ht="13.5" customHeight="1">
      <c r="A65" s="2545"/>
      <c r="B65" s="2546"/>
      <c r="C65" s="2547"/>
      <c r="D65" s="2551" t="s">
        <v>273</v>
      </c>
      <c r="E65" s="2547"/>
      <c r="F65" s="2684"/>
      <c r="G65" s="2548"/>
      <c r="H65" s="2548"/>
      <c r="I65" s="2554"/>
    </row>
    <row r="66" spans="1:10" s="135" customFormat="1" ht="13.5" customHeight="1">
      <c r="A66" s="2522"/>
      <c r="B66" s="2523"/>
      <c r="C66" s="2556" t="s">
        <v>131</v>
      </c>
      <c r="D66" s="2556" t="s">
        <v>301</v>
      </c>
      <c r="E66" s="2556"/>
      <c r="F66" s="2685"/>
      <c r="G66" s="2557"/>
      <c r="H66" s="2557">
        <f>SUM(H67:H74)</f>
        <v>0</v>
      </c>
      <c r="I66" s="2552"/>
    </row>
    <row r="67" spans="1:10" s="135" customFormat="1" ht="13.5" customHeight="1">
      <c r="A67" s="2545">
        <v>16</v>
      </c>
      <c r="B67" s="2546" t="s">
        <v>224</v>
      </c>
      <c r="C67" s="2547">
        <v>619991011</v>
      </c>
      <c r="D67" s="2547" t="s">
        <v>3585</v>
      </c>
      <c r="E67" s="2547" t="s">
        <v>165</v>
      </c>
      <c r="F67" s="2686">
        <f>SUM(F69)</f>
        <v>50</v>
      </c>
      <c r="G67" s="2548"/>
      <c r="H67" s="2548">
        <f>F67*G67</f>
        <v>0</v>
      </c>
      <c r="I67" s="2543" t="s">
        <v>138</v>
      </c>
      <c r="J67" s="452"/>
    </row>
    <row r="68" spans="1:10" s="135" customFormat="1" ht="13.5" customHeight="1">
      <c r="A68" s="2558"/>
      <c r="B68" s="2523"/>
      <c r="C68" s="2523"/>
      <c r="D68" s="2551" t="s">
        <v>3586</v>
      </c>
      <c r="E68" s="2523"/>
      <c r="F68" s="2687"/>
      <c r="G68" s="2525"/>
      <c r="H68" s="2525"/>
      <c r="I68" s="2526"/>
      <c r="J68" s="2656"/>
    </row>
    <row r="69" spans="1:10" s="135" customFormat="1" ht="13.5" customHeight="1">
      <c r="A69" s="2558"/>
      <c r="B69" s="2523"/>
      <c r="C69" s="2523"/>
      <c r="D69" s="2551" t="s">
        <v>3587</v>
      </c>
      <c r="E69" s="2523"/>
      <c r="F69" s="2684">
        <v>50</v>
      </c>
      <c r="G69" s="2525"/>
      <c r="H69" s="2525"/>
      <c r="I69" s="2526"/>
      <c r="J69" s="2656"/>
    </row>
    <row r="70" spans="1:10" s="135" customFormat="1" ht="13.5" customHeight="1">
      <c r="A70" s="2558"/>
      <c r="B70" s="2523"/>
      <c r="C70" s="2523"/>
      <c r="D70" s="2551" t="s">
        <v>3588</v>
      </c>
      <c r="E70" s="2523"/>
      <c r="F70" s="2684"/>
      <c r="G70" s="2525"/>
      <c r="H70" s="2525"/>
      <c r="I70" s="2526"/>
      <c r="J70" s="2657"/>
    </row>
    <row r="71" spans="1:10" s="135" customFormat="1" ht="13.5" customHeight="1">
      <c r="A71" s="2545">
        <v>17</v>
      </c>
      <c r="B71" s="2546" t="s">
        <v>224</v>
      </c>
      <c r="C71" s="2547">
        <v>619996145</v>
      </c>
      <c r="D71" s="2547" t="s">
        <v>3589</v>
      </c>
      <c r="E71" s="2547" t="s">
        <v>165</v>
      </c>
      <c r="F71" s="2686">
        <f>SUM(F73)</f>
        <v>50</v>
      </c>
      <c r="G71" s="2548"/>
      <c r="H71" s="2548">
        <f>F71*G71</f>
        <v>0</v>
      </c>
      <c r="I71" s="2543" t="s">
        <v>138</v>
      </c>
      <c r="J71" s="452"/>
    </row>
    <row r="72" spans="1:10" s="135" customFormat="1" ht="13.5" customHeight="1">
      <c r="A72" s="2558"/>
      <c r="B72" s="2523"/>
      <c r="C72" s="2523"/>
      <c r="D72" s="2551" t="s">
        <v>3586</v>
      </c>
      <c r="E72" s="2523"/>
      <c r="F72" s="2687"/>
      <c r="G72" s="2525"/>
      <c r="H72" s="2525"/>
      <c r="I72" s="2526"/>
      <c r="J72" s="2656"/>
    </row>
    <row r="73" spans="1:10" s="135" customFormat="1" ht="13.5" customHeight="1">
      <c r="A73" s="2558"/>
      <c r="B73" s="2523"/>
      <c r="C73" s="2523"/>
      <c r="D73" s="2551" t="s">
        <v>3587</v>
      </c>
      <c r="E73" s="2523"/>
      <c r="F73" s="2684">
        <v>50</v>
      </c>
      <c r="G73" s="2525"/>
      <c r="H73" s="2525"/>
      <c r="I73" s="2526"/>
      <c r="J73" s="2656"/>
    </row>
    <row r="74" spans="1:10" s="135" customFormat="1" ht="13.5" customHeight="1">
      <c r="A74" s="2558"/>
      <c r="B74" s="2523"/>
      <c r="C74" s="2523"/>
      <c r="D74" s="2551" t="s">
        <v>3588</v>
      </c>
      <c r="E74" s="2523"/>
      <c r="F74" s="2684"/>
      <c r="G74" s="2525"/>
      <c r="H74" s="2525"/>
      <c r="I74" s="2526"/>
      <c r="J74" s="2657"/>
    </row>
    <row r="75" spans="1:10" s="135" customFormat="1" ht="13.5" customHeight="1">
      <c r="A75" s="2558"/>
      <c r="B75" s="2523"/>
      <c r="C75" s="2523">
        <v>9</v>
      </c>
      <c r="D75" s="2523" t="s">
        <v>319</v>
      </c>
      <c r="E75" s="2523"/>
      <c r="F75" s="2682"/>
      <c r="G75" s="2525"/>
      <c r="H75" s="2525">
        <f>SUM(H76:H202)</f>
        <v>0</v>
      </c>
      <c r="I75" s="2526"/>
    </row>
    <row r="76" spans="1:10" s="325" customFormat="1" ht="27" customHeight="1">
      <c r="A76" s="2559">
        <v>18</v>
      </c>
      <c r="B76" s="2546" t="s">
        <v>320</v>
      </c>
      <c r="C76" s="2547">
        <v>941111132</v>
      </c>
      <c r="D76" s="2547" t="s">
        <v>3590</v>
      </c>
      <c r="E76" s="2547" t="s">
        <v>165</v>
      </c>
      <c r="F76" s="2683">
        <f>SUM(F78:F78)</f>
        <v>962.1</v>
      </c>
      <c r="G76" s="2560"/>
      <c r="H76" s="2560">
        <f>F76*G76</f>
        <v>0</v>
      </c>
      <c r="I76" s="2543" t="s">
        <v>138</v>
      </c>
      <c r="J76" s="2658"/>
    </row>
    <row r="77" spans="1:10" s="325" customFormat="1" ht="27" customHeight="1">
      <c r="A77" s="2559"/>
      <c r="B77" s="2546"/>
      <c r="C77" s="2547"/>
      <c r="D77" s="2551" t="s">
        <v>322</v>
      </c>
      <c r="E77" s="2547"/>
      <c r="F77" s="2684"/>
      <c r="G77" s="2560"/>
      <c r="H77" s="2560"/>
      <c r="I77" s="2561"/>
    </row>
    <row r="78" spans="1:10" s="135" customFormat="1" ht="13.5" customHeight="1">
      <c r="A78" s="2522"/>
      <c r="B78" s="2523"/>
      <c r="C78" s="2523"/>
      <c r="D78" s="2551" t="s">
        <v>3591</v>
      </c>
      <c r="E78" s="2523"/>
      <c r="F78" s="2684">
        <f>(42+43.2+2+19.7)*9</f>
        <v>962.1</v>
      </c>
      <c r="G78" s="2560"/>
      <c r="H78" s="2544"/>
      <c r="I78" s="2552"/>
    </row>
    <row r="79" spans="1:10" s="135" customFormat="1" ht="27" customHeight="1">
      <c r="A79" s="2559">
        <v>19</v>
      </c>
      <c r="B79" s="2546" t="s">
        <v>320</v>
      </c>
      <c r="C79" s="2547">
        <v>941111232</v>
      </c>
      <c r="D79" s="2547" t="s">
        <v>3592</v>
      </c>
      <c r="E79" s="2547" t="s">
        <v>165</v>
      </c>
      <c r="F79" s="2683">
        <f>SUM(F80:F80)</f>
        <v>144315</v>
      </c>
      <c r="G79" s="2560"/>
      <c r="H79" s="2560">
        <f>F79*G79</f>
        <v>0</v>
      </c>
      <c r="I79" s="2543" t="s">
        <v>138</v>
      </c>
    </row>
    <row r="80" spans="1:10" s="325" customFormat="1" ht="13.5" customHeight="1">
      <c r="A80" s="2559"/>
      <c r="B80" s="2546"/>
      <c r="C80" s="2547"/>
      <c r="D80" s="2551" t="s">
        <v>3593</v>
      </c>
      <c r="E80" s="2547"/>
      <c r="F80" s="2684">
        <f>(962.1)*150</f>
        <v>144315</v>
      </c>
      <c r="G80" s="2560"/>
      <c r="H80" s="2560"/>
      <c r="I80" s="2526"/>
    </row>
    <row r="81" spans="1:10" s="325" customFormat="1" ht="27" customHeight="1">
      <c r="A81" s="2559">
        <v>20</v>
      </c>
      <c r="B81" s="2546" t="s">
        <v>320</v>
      </c>
      <c r="C81" s="2547">
        <v>941111832</v>
      </c>
      <c r="D81" s="2547" t="s">
        <v>3594</v>
      </c>
      <c r="E81" s="2547" t="s">
        <v>165</v>
      </c>
      <c r="F81" s="2683">
        <f>F82</f>
        <v>962.1</v>
      </c>
      <c r="G81" s="2560"/>
      <c r="H81" s="2560">
        <f>F81*G81</f>
        <v>0</v>
      </c>
      <c r="I81" s="2543" t="s">
        <v>138</v>
      </c>
    </row>
    <row r="82" spans="1:10" s="325" customFormat="1" ht="27" customHeight="1">
      <c r="A82" s="2559"/>
      <c r="B82" s="2546"/>
      <c r="C82" s="2547"/>
      <c r="D82" s="2551" t="s">
        <v>328</v>
      </c>
      <c r="E82" s="2547"/>
      <c r="F82" s="2684">
        <f>F76</f>
        <v>962.1</v>
      </c>
      <c r="G82" s="2560"/>
      <c r="H82" s="2560"/>
      <c r="I82" s="2561"/>
    </row>
    <row r="83" spans="1:10" s="135" customFormat="1" ht="13.5" customHeight="1">
      <c r="A83" s="2559">
        <v>21</v>
      </c>
      <c r="B83" s="2546" t="s">
        <v>320</v>
      </c>
      <c r="C83" s="2547">
        <v>944511111</v>
      </c>
      <c r="D83" s="2547" t="s">
        <v>329</v>
      </c>
      <c r="E83" s="2547" t="s">
        <v>165</v>
      </c>
      <c r="F83" s="2683">
        <f>SUM(F84:F84)</f>
        <v>962.1</v>
      </c>
      <c r="G83" s="2560"/>
      <c r="H83" s="2560">
        <f>F83*G83</f>
        <v>0</v>
      </c>
      <c r="I83" s="2543" t="s">
        <v>138</v>
      </c>
    </row>
    <row r="84" spans="1:10" s="135" customFormat="1" ht="13.5" customHeight="1">
      <c r="A84" s="2522"/>
      <c r="B84" s="2523"/>
      <c r="C84" s="2523"/>
      <c r="D84" s="2551" t="s">
        <v>3595</v>
      </c>
      <c r="E84" s="2523"/>
      <c r="F84" s="2684">
        <f xml:space="preserve"> (42+43.2+2+19.7)*9</f>
        <v>962.1</v>
      </c>
      <c r="G84" s="2560"/>
      <c r="H84" s="2544"/>
      <c r="I84" s="2552"/>
    </row>
    <row r="85" spans="1:10" s="135" customFormat="1" ht="13.5" customHeight="1">
      <c r="A85" s="2559">
        <v>22</v>
      </c>
      <c r="B85" s="2546" t="s">
        <v>320</v>
      </c>
      <c r="C85" s="2547">
        <v>944511211</v>
      </c>
      <c r="D85" s="2547" t="s">
        <v>331</v>
      </c>
      <c r="E85" s="2547" t="s">
        <v>165</v>
      </c>
      <c r="F85" s="2683">
        <f>SUM(F86:F86)</f>
        <v>144315</v>
      </c>
      <c r="G85" s="2560"/>
      <c r="H85" s="2560">
        <f>F85*G85</f>
        <v>0</v>
      </c>
      <c r="I85" s="2543" t="s">
        <v>138</v>
      </c>
    </row>
    <row r="86" spans="1:10" s="325" customFormat="1" ht="13.5" customHeight="1">
      <c r="A86" s="2559"/>
      <c r="B86" s="2546"/>
      <c r="C86" s="2547"/>
      <c r="D86" s="2551" t="s">
        <v>3596</v>
      </c>
      <c r="E86" s="2547"/>
      <c r="F86" s="2684">
        <f>(962.1)*150</f>
        <v>144315</v>
      </c>
      <c r="G86" s="2560"/>
      <c r="H86" s="2560"/>
      <c r="I86" s="2526"/>
    </row>
    <row r="87" spans="1:10" s="135" customFormat="1" ht="13.5" customHeight="1">
      <c r="A87" s="2559">
        <v>23</v>
      </c>
      <c r="B87" s="2546" t="s">
        <v>320</v>
      </c>
      <c r="C87" s="2547">
        <v>944511811</v>
      </c>
      <c r="D87" s="2547" t="s">
        <v>333</v>
      </c>
      <c r="E87" s="2547" t="s">
        <v>165</v>
      </c>
      <c r="F87" s="2683">
        <f>F83</f>
        <v>962.1</v>
      </c>
      <c r="G87" s="2560"/>
      <c r="H87" s="2560">
        <f>F87*G87</f>
        <v>0</v>
      </c>
      <c r="I87" s="2543" t="s">
        <v>138</v>
      </c>
    </row>
    <row r="88" spans="1:10" s="325" customFormat="1" ht="13.5" customHeight="1">
      <c r="A88" s="2559">
        <v>24</v>
      </c>
      <c r="B88" s="2546" t="s">
        <v>320</v>
      </c>
      <c r="C88" s="2547">
        <v>944711113</v>
      </c>
      <c r="D88" s="2547" t="s">
        <v>3597</v>
      </c>
      <c r="E88" s="2547" t="s">
        <v>142</v>
      </c>
      <c r="F88" s="2683">
        <f>SUM(F89:F89)</f>
        <v>3</v>
      </c>
      <c r="G88" s="2560"/>
      <c r="H88" s="2560">
        <f>F88*G88</f>
        <v>0</v>
      </c>
      <c r="I88" s="2543" t="s">
        <v>138</v>
      </c>
    </row>
    <row r="89" spans="1:10" s="325" customFormat="1" ht="13.5" customHeight="1">
      <c r="A89" s="2559"/>
      <c r="B89" s="2546"/>
      <c r="C89" s="2547"/>
      <c r="D89" s="2551" t="s">
        <v>3598</v>
      </c>
      <c r="E89" s="2547"/>
      <c r="F89" s="2684">
        <v>3</v>
      </c>
      <c r="G89" s="2560"/>
      <c r="H89" s="2560"/>
      <c r="I89" s="2526"/>
    </row>
    <row r="90" spans="1:10" s="135" customFormat="1" ht="13.5" customHeight="1">
      <c r="A90" s="2559">
        <v>25</v>
      </c>
      <c r="B90" s="2546" t="s">
        <v>320</v>
      </c>
      <c r="C90" s="2547">
        <v>944711213</v>
      </c>
      <c r="D90" s="2547" t="s">
        <v>3599</v>
      </c>
      <c r="E90" s="2547" t="s">
        <v>142</v>
      </c>
      <c r="F90" s="2683">
        <f>SUM(F91:F91)</f>
        <v>450</v>
      </c>
      <c r="G90" s="2560"/>
      <c r="H90" s="2560">
        <f>F90*G90</f>
        <v>0</v>
      </c>
      <c r="I90" s="2543" t="s">
        <v>138</v>
      </c>
    </row>
    <row r="91" spans="1:10" s="325" customFormat="1" ht="13.5" customHeight="1">
      <c r="A91" s="2559"/>
      <c r="B91" s="2546"/>
      <c r="C91" s="2547"/>
      <c r="D91" s="2551" t="s">
        <v>3600</v>
      </c>
      <c r="E91" s="2547"/>
      <c r="F91" s="2684">
        <f>(3)*150</f>
        <v>450</v>
      </c>
      <c r="G91" s="2560"/>
      <c r="H91" s="2560"/>
      <c r="I91" s="2526"/>
    </row>
    <row r="92" spans="1:10" s="135" customFormat="1" ht="13.5" customHeight="1">
      <c r="A92" s="2559">
        <v>26</v>
      </c>
      <c r="B92" s="2546" t="s">
        <v>320</v>
      </c>
      <c r="C92" s="2547">
        <v>944711813</v>
      </c>
      <c r="D92" s="2547" t="s">
        <v>3601</v>
      </c>
      <c r="E92" s="2547" t="s">
        <v>142</v>
      </c>
      <c r="F92" s="2683">
        <f>F88</f>
        <v>3</v>
      </c>
      <c r="G92" s="2560"/>
      <c r="H92" s="2560">
        <f>F92*G92</f>
        <v>0</v>
      </c>
      <c r="I92" s="2543" t="s">
        <v>138</v>
      </c>
    </row>
    <row r="93" spans="1:10" s="135" customFormat="1" ht="27" customHeight="1">
      <c r="A93" s="2545">
        <v>27</v>
      </c>
      <c r="B93" s="2546" t="s">
        <v>320</v>
      </c>
      <c r="C93" s="2547">
        <v>949101111</v>
      </c>
      <c r="D93" s="2547" t="s">
        <v>341</v>
      </c>
      <c r="E93" s="2547" t="s">
        <v>165</v>
      </c>
      <c r="F93" s="2683">
        <f>SUM(F96:F98)</f>
        <v>1603.69</v>
      </c>
      <c r="G93" s="2548"/>
      <c r="H93" s="2548">
        <f>F93*G93</f>
        <v>0</v>
      </c>
      <c r="I93" s="2543" t="s">
        <v>138</v>
      </c>
      <c r="J93" s="301"/>
    </row>
    <row r="94" spans="1:10" s="135" customFormat="1" ht="13.5" customHeight="1">
      <c r="A94" s="2558"/>
      <c r="B94" s="2562"/>
      <c r="C94" s="2523"/>
      <c r="D94" s="2551" t="s">
        <v>345</v>
      </c>
      <c r="E94" s="2523"/>
      <c r="F94" s="2684"/>
      <c r="G94" s="2525"/>
      <c r="H94" s="2525"/>
      <c r="I94" s="2552"/>
    </row>
    <row r="95" spans="1:10" s="2567" customFormat="1" ht="13.5" customHeight="1">
      <c r="A95" s="2563"/>
      <c r="B95" s="2539"/>
      <c r="C95" s="2564"/>
      <c r="D95" s="2565" t="s">
        <v>3602</v>
      </c>
      <c r="E95" s="2566"/>
      <c r="F95" s="2688"/>
      <c r="G95" s="2542"/>
      <c r="H95" s="2542"/>
      <c r="I95" s="2543"/>
    </row>
    <row r="96" spans="1:10" s="135" customFormat="1" ht="13.5" customHeight="1">
      <c r="A96" s="2545"/>
      <c r="B96" s="2546"/>
      <c r="C96" s="2547"/>
      <c r="D96" s="2551" t="s">
        <v>3603</v>
      </c>
      <c r="E96" s="2547"/>
      <c r="F96" s="2684">
        <f>(16.7+7.98+11.82+1.08+2.17+3.93+5.21+15.55+6.68+20.76+88.98)</f>
        <v>180.86</v>
      </c>
      <c r="G96" s="2548"/>
      <c r="H96" s="2548"/>
      <c r="I96" s="2549"/>
    </row>
    <row r="97" spans="1:13" s="135" customFormat="1" ht="54" customHeight="1">
      <c r="A97" s="2545"/>
      <c r="B97" s="2546"/>
      <c r="C97" s="2547"/>
      <c r="D97" s="2551" t="s">
        <v>3604</v>
      </c>
      <c r="E97" s="2547"/>
      <c r="F97" s="2684">
        <f>(5.52+6.84+11.15+5.5+1.08+0.78+24.21+15.78+12.83+20.64+13.58+12.35+3.12+4.25+12.8+12.85+3.13+2.41+1.44+3.58+84.54+192.71+9.24+15.05+9.8+4.34+5.09+3.15+2.24+3.15+6.02+43.03+38.25+17.25+65.26+9.22+23.03+9.09)</f>
        <v>714.3</v>
      </c>
      <c r="G97" s="2548"/>
      <c r="H97" s="2548"/>
      <c r="I97" s="2549"/>
    </row>
    <row r="98" spans="1:13" s="135" customFormat="1" ht="40.5" customHeight="1">
      <c r="A98" s="2545"/>
      <c r="B98" s="2546"/>
      <c r="C98" s="2547"/>
      <c r="D98" s="2551" t="s">
        <v>3605</v>
      </c>
      <c r="E98" s="2547"/>
      <c r="F98" s="2684">
        <f>(5.91+88+22.26+64.47+2.24+6.74+6.18+1.4+5.96+5.29+3.36+77.13+22.94+31.05+66.77+4.33+4.96+4.75+1.96+2.65+3.68+1.36+12.71+9.93+58.68+66.77+56.95+70.1)</f>
        <v>708.53</v>
      </c>
      <c r="G98" s="2548"/>
      <c r="H98" s="2548"/>
      <c r="I98" s="2549"/>
      <c r="J98" s="217"/>
      <c r="L98" s="217"/>
    </row>
    <row r="99" spans="1:13" s="135" customFormat="1" ht="13.5" customHeight="1">
      <c r="A99" s="2558"/>
      <c r="B99" s="2562"/>
      <c r="C99" s="2523"/>
      <c r="D99" s="2551" t="s">
        <v>3606</v>
      </c>
      <c r="E99" s="2523"/>
      <c r="F99" s="2684"/>
      <c r="G99" s="2525"/>
      <c r="H99" s="2525"/>
      <c r="I99" s="2552"/>
    </row>
    <row r="100" spans="1:13" s="135" customFormat="1" ht="13.5" customHeight="1">
      <c r="A100" s="2545">
        <v>28</v>
      </c>
      <c r="B100" s="2546" t="s">
        <v>320</v>
      </c>
      <c r="C100" s="2547">
        <v>952901111</v>
      </c>
      <c r="D100" s="2547" t="s">
        <v>346</v>
      </c>
      <c r="E100" s="2547" t="s">
        <v>165</v>
      </c>
      <c r="F100" s="2683">
        <f>SUM(F102:F104)</f>
        <v>1603.69</v>
      </c>
      <c r="G100" s="2548"/>
      <c r="H100" s="2548">
        <f>F100*G100</f>
        <v>0</v>
      </c>
      <c r="I100" s="2543" t="s">
        <v>138</v>
      </c>
    </row>
    <row r="101" spans="1:13" s="135" customFormat="1" ht="13.5" customHeight="1">
      <c r="A101" s="2545"/>
      <c r="B101" s="2546"/>
      <c r="C101" s="2547"/>
      <c r="D101" s="2568" t="s">
        <v>3607</v>
      </c>
      <c r="E101" s="2547"/>
      <c r="F101" s="2689"/>
      <c r="G101" s="2548"/>
      <c r="H101" s="2548"/>
      <c r="I101" s="2549"/>
      <c r="J101" s="2659"/>
    </row>
    <row r="102" spans="1:13" s="135" customFormat="1" ht="13.5" customHeight="1">
      <c r="A102" s="2545"/>
      <c r="B102" s="2546"/>
      <c r="C102" s="2547"/>
      <c r="D102" s="2551" t="s">
        <v>3608</v>
      </c>
      <c r="E102" s="2547"/>
      <c r="F102" s="2684">
        <f>(16.7+7.98+11.82+1.08+2.17+3.93+5.21+15.55+6.68+20.76+88.98)</f>
        <v>180.86</v>
      </c>
      <c r="G102" s="2548"/>
      <c r="H102" s="2548"/>
      <c r="I102" s="2549"/>
    </row>
    <row r="103" spans="1:13" s="135" customFormat="1" ht="54" customHeight="1">
      <c r="A103" s="2545"/>
      <c r="B103" s="2546"/>
      <c r="C103" s="2547"/>
      <c r="D103" s="2551" t="s">
        <v>3609</v>
      </c>
      <c r="E103" s="2547"/>
      <c r="F103" s="2684">
        <f>(5.52+6.84+11.15+5.5+1.08+0.78+24.21+15.78+12.83+20.64+13.58+12.35+3.12+4.25+12.8+12.85+3.13+2.41+1.44+3.58+84.54+192.71+9.24+15.05+9.8+4.34+5.09+3.15+2.24+3.15+6.02+43.03+38.25+17.25+65.26+9.22+23.03+9.09)</f>
        <v>714.3</v>
      </c>
      <c r="G103" s="2548"/>
      <c r="H103" s="2548"/>
      <c r="I103" s="2549"/>
    </row>
    <row r="104" spans="1:13" s="135" customFormat="1" ht="40.5" customHeight="1">
      <c r="A104" s="2545"/>
      <c r="B104" s="2546"/>
      <c r="C104" s="2547"/>
      <c r="D104" s="2551" t="s">
        <v>3610</v>
      </c>
      <c r="E104" s="2547"/>
      <c r="F104" s="2684">
        <f>(5.91+88+22.26+64.47+2.24+6.74+6.18+1.4+5.96+5.29+3.36+77.13+22.94+31.05+66.77+4.33+4.96+4.75+1.96+2.65+3.68+1.36+12.71+9.93+58.68+66.77+56.95+70.1)</f>
        <v>708.53</v>
      </c>
      <c r="G104" s="2548"/>
      <c r="H104" s="2548"/>
      <c r="I104" s="2549"/>
      <c r="J104" s="217"/>
      <c r="L104" s="217"/>
    </row>
    <row r="105" spans="1:13" ht="13.5" customHeight="1">
      <c r="A105" s="2545">
        <v>29</v>
      </c>
      <c r="B105" s="2546" t="s">
        <v>3611</v>
      </c>
      <c r="C105" s="2547">
        <v>961055111</v>
      </c>
      <c r="D105" s="2547" t="s">
        <v>3612</v>
      </c>
      <c r="E105" s="2547" t="s">
        <v>147</v>
      </c>
      <c r="F105" s="2683">
        <f>SUM(F106:F107)</f>
        <v>1.093</v>
      </c>
      <c r="G105" s="2548"/>
      <c r="H105" s="2548">
        <f>F105*G105</f>
        <v>0</v>
      </c>
      <c r="I105" s="2543" t="s">
        <v>138</v>
      </c>
      <c r="M105" s="158"/>
    </row>
    <row r="106" spans="1:13" ht="13.5" customHeight="1">
      <c r="A106" s="2559"/>
      <c r="B106" s="2547"/>
      <c r="C106" s="2551"/>
      <c r="D106" s="2551" t="s">
        <v>3613</v>
      </c>
      <c r="E106" s="2551"/>
      <c r="F106" s="2684">
        <v>0.77</v>
      </c>
      <c r="G106" s="2569"/>
      <c r="H106" s="2569"/>
      <c r="I106" s="2549"/>
      <c r="M106" s="158"/>
    </row>
    <row r="107" spans="1:13" ht="13.5" customHeight="1">
      <c r="A107" s="2559"/>
      <c r="B107" s="2547"/>
      <c r="C107" s="2551"/>
      <c r="D107" s="2551" t="s">
        <v>3614</v>
      </c>
      <c r="E107" s="2551"/>
      <c r="F107" s="2684">
        <v>0.32300000000000001</v>
      </c>
      <c r="G107" s="2569"/>
      <c r="H107" s="2569"/>
      <c r="I107" s="2549"/>
      <c r="M107" s="158"/>
    </row>
    <row r="108" spans="1:13" ht="13.5" customHeight="1">
      <c r="A108" s="2545">
        <v>30</v>
      </c>
      <c r="B108" s="2546" t="s">
        <v>3611</v>
      </c>
      <c r="C108" s="2547">
        <v>961031311</v>
      </c>
      <c r="D108" s="2547" t="s">
        <v>3615</v>
      </c>
      <c r="E108" s="2547" t="s">
        <v>147</v>
      </c>
      <c r="F108" s="2683">
        <f>SUM(F109:F109)</f>
        <v>17.016999999999999</v>
      </c>
      <c r="G108" s="2548"/>
      <c r="H108" s="2548">
        <f>F108*G108</f>
        <v>0</v>
      </c>
      <c r="I108" s="2543" t="s">
        <v>138</v>
      </c>
      <c r="M108" s="158"/>
    </row>
    <row r="109" spans="1:13" ht="13.5" customHeight="1">
      <c r="A109" s="2559"/>
      <c r="B109" s="2547"/>
      <c r="C109" s="2551"/>
      <c r="D109" s="2551" t="s">
        <v>3616</v>
      </c>
      <c r="E109" s="2551"/>
      <c r="F109" s="2684">
        <f>(1.008+12.553+3.456)</f>
        <v>17.016999999999999</v>
      </c>
      <c r="G109" s="2569"/>
      <c r="H109" s="2569"/>
      <c r="I109" s="2549"/>
      <c r="M109" s="158"/>
    </row>
    <row r="110" spans="1:13" ht="13.5" customHeight="1">
      <c r="A110" s="2545">
        <v>31</v>
      </c>
      <c r="B110" s="2546" t="s">
        <v>3611</v>
      </c>
      <c r="C110" s="2547">
        <v>961031411</v>
      </c>
      <c r="D110" s="2547" t="s">
        <v>3617</v>
      </c>
      <c r="E110" s="2547" t="s">
        <v>147</v>
      </c>
      <c r="F110" s="2683">
        <f>SUM(F111:F111)</f>
        <v>6.61</v>
      </c>
      <c r="G110" s="2548"/>
      <c r="H110" s="2548">
        <f>F110*G110</f>
        <v>0</v>
      </c>
      <c r="I110" s="2543" t="s">
        <v>138</v>
      </c>
      <c r="M110" s="158"/>
    </row>
    <row r="111" spans="1:13" ht="13.5" customHeight="1">
      <c r="A111" s="2559"/>
      <c r="B111" s="2547"/>
      <c r="C111" s="2551"/>
      <c r="D111" s="2551" t="s">
        <v>3618</v>
      </c>
      <c r="E111" s="2551"/>
      <c r="F111" s="2684">
        <v>6.61</v>
      </c>
      <c r="G111" s="2569"/>
      <c r="H111" s="2569"/>
      <c r="I111" s="2549"/>
      <c r="M111" s="158"/>
    </row>
    <row r="112" spans="1:13" ht="13.5" customHeight="1">
      <c r="A112" s="2545">
        <v>32</v>
      </c>
      <c r="B112" s="2546" t="s">
        <v>3611</v>
      </c>
      <c r="C112" s="2547">
        <v>962032230</v>
      </c>
      <c r="D112" s="2547" t="s">
        <v>3619</v>
      </c>
      <c r="E112" s="2547" t="s">
        <v>147</v>
      </c>
      <c r="F112" s="2683">
        <f>SUM(F113:F114)</f>
        <v>1.268</v>
      </c>
      <c r="G112" s="2548"/>
      <c r="H112" s="2548">
        <f>F112*G112</f>
        <v>0</v>
      </c>
      <c r="I112" s="2543" t="s">
        <v>138</v>
      </c>
      <c r="M112" s="158"/>
    </row>
    <row r="113" spans="1:13" ht="13.5" customHeight="1">
      <c r="A113" s="2559"/>
      <c r="B113" s="2547"/>
      <c r="C113" s="2551"/>
      <c r="D113" s="2551" t="s">
        <v>3620</v>
      </c>
      <c r="E113" s="2551"/>
      <c r="F113" s="2684">
        <f>(0.36)</f>
        <v>0.36</v>
      </c>
      <c r="G113" s="2569"/>
      <c r="H113" s="2569"/>
      <c r="I113" s="2549"/>
      <c r="M113" s="158"/>
    </row>
    <row r="114" spans="1:13" ht="13.5" customHeight="1">
      <c r="A114" s="2559"/>
      <c r="B114" s="2547"/>
      <c r="C114" s="2551"/>
      <c r="D114" s="2551" t="s">
        <v>3621</v>
      </c>
      <c r="E114" s="2551"/>
      <c r="F114" s="2684">
        <v>0.90800000000000003</v>
      </c>
      <c r="G114" s="2569"/>
      <c r="H114" s="2569"/>
      <c r="I114" s="2549"/>
      <c r="M114" s="158"/>
    </row>
    <row r="115" spans="1:13" ht="13.5" customHeight="1">
      <c r="A115" s="2545">
        <v>33</v>
      </c>
      <c r="B115" s="2546" t="s">
        <v>3611</v>
      </c>
      <c r="C115" s="2547">
        <v>962032231</v>
      </c>
      <c r="D115" s="2547" t="s">
        <v>3622</v>
      </c>
      <c r="E115" s="2547" t="s">
        <v>147</v>
      </c>
      <c r="F115" s="2683">
        <f>SUM(F116:F116)</f>
        <v>8.9719999999999995</v>
      </c>
      <c r="G115" s="2548"/>
      <c r="H115" s="2548">
        <f>F115*G115</f>
        <v>0</v>
      </c>
      <c r="I115" s="2543" t="s">
        <v>138</v>
      </c>
      <c r="M115" s="158"/>
    </row>
    <row r="116" spans="1:13" ht="13.5" customHeight="1">
      <c r="A116" s="2559"/>
      <c r="B116" s="2547"/>
      <c r="C116" s="2551"/>
      <c r="D116" s="2551" t="s">
        <v>3623</v>
      </c>
      <c r="E116" s="2551"/>
      <c r="F116" s="2684">
        <f>(0.36+8.612)</f>
        <v>8.9719999999999995</v>
      </c>
      <c r="G116" s="2569"/>
      <c r="H116" s="2569"/>
      <c r="I116" s="2549"/>
      <c r="M116" s="158"/>
    </row>
    <row r="117" spans="1:13" ht="13.5" customHeight="1">
      <c r="A117" s="2545">
        <v>34</v>
      </c>
      <c r="B117" s="2546" t="s">
        <v>3611</v>
      </c>
      <c r="C117" s="2547">
        <v>962032240</v>
      </c>
      <c r="D117" s="2547" t="s">
        <v>3624</v>
      </c>
      <c r="E117" s="2547" t="s">
        <v>147</v>
      </c>
      <c r="F117" s="2683">
        <f>SUM(F118:F118)</f>
        <v>0.153</v>
      </c>
      <c r="G117" s="2548"/>
      <c r="H117" s="2548">
        <f>F117*G117</f>
        <v>0</v>
      </c>
      <c r="I117" s="2543" t="s">
        <v>138</v>
      </c>
      <c r="M117" s="158"/>
    </row>
    <row r="118" spans="1:13" ht="13.5" customHeight="1">
      <c r="A118" s="2559"/>
      <c r="B118" s="2547"/>
      <c r="C118" s="2551"/>
      <c r="D118" s="2551" t="s">
        <v>3625</v>
      </c>
      <c r="E118" s="2551"/>
      <c r="F118" s="2684">
        <v>0.153</v>
      </c>
      <c r="G118" s="2569"/>
      <c r="H118" s="2569"/>
      <c r="I118" s="2549"/>
      <c r="M118" s="158"/>
    </row>
    <row r="119" spans="1:13" ht="13.5" customHeight="1">
      <c r="A119" s="2545">
        <v>35</v>
      </c>
      <c r="B119" s="2546" t="s">
        <v>3611</v>
      </c>
      <c r="C119" s="2547">
        <v>962032241</v>
      </c>
      <c r="D119" s="2547" t="s">
        <v>3626</v>
      </c>
      <c r="E119" s="2547" t="s">
        <v>147</v>
      </c>
      <c r="F119" s="2683">
        <f>SUM(F120:F121)</f>
        <v>57.910000000000004</v>
      </c>
      <c r="G119" s="2548"/>
      <c r="H119" s="2548">
        <f>F119*G119</f>
        <v>0</v>
      </c>
      <c r="I119" s="2543" t="s">
        <v>138</v>
      </c>
      <c r="M119" s="158"/>
    </row>
    <row r="120" spans="1:13" ht="13.5" customHeight="1">
      <c r="A120" s="2559"/>
      <c r="B120" s="2547"/>
      <c r="C120" s="2551"/>
      <c r="D120" s="2551" t="s">
        <v>3627</v>
      </c>
      <c r="E120" s="2551"/>
      <c r="F120" s="2684">
        <v>37.270000000000003</v>
      </c>
      <c r="G120" s="2569"/>
      <c r="H120" s="2569"/>
      <c r="I120" s="2549"/>
      <c r="M120" s="158"/>
    </row>
    <row r="121" spans="1:13" ht="13.5" customHeight="1">
      <c r="A121" s="2559"/>
      <c r="B121" s="2547"/>
      <c r="C121" s="2551"/>
      <c r="D121" s="2551" t="s">
        <v>3628</v>
      </c>
      <c r="E121" s="2551"/>
      <c r="F121" s="2684">
        <v>20.64</v>
      </c>
      <c r="G121" s="2569"/>
      <c r="H121" s="2569"/>
      <c r="I121" s="2549"/>
      <c r="M121" s="158"/>
    </row>
    <row r="122" spans="1:13" ht="13.5" customHeight="1">
      <c r="A122" s="2545">
        <v>36</v>
      </c>
      <c r="B122" s="2546" t="s">
        <v>3611</v>
      </c>
      <c r="C122" s="2547">
        <v>962052210</v>
      </c>
      <c r="D122" s="2547" t="s">
        <v>3629</v>
      </c>
      <c r="E122" s="2547" t="s">
        <v>147</v>
      </c>
      <c r="F122" s="2683">
        <f>SUM(F123:F123)</f>
        <v>0.16</v>
      </c>
      <c r="G122" s="2548"/>
      <c r="H122" s="2548">
        <f>F122*G122</f>
        <v>0</v>
      </c>
      <c r="I122" s="2543" t="s">
        <v>138</v>
      </c>
      <c r="M122" s="158"/>
    </row>
    <row r="123" spans="1:13" ht="13.5" customHeight="1">
      <c r="A123" s="2559"/>
      <c r="B123" s="2547"/>
      <c r="C123" s="2551"/>
      <c r="D123" s="2551" t="s">
        <v>3630</v>
      </c>
      <c r="E123" s="2551"/>
      <c r="F123" s="2684">
        <v>0.16</v>
      </c>
      <c r="G123" s="2569"/>
      <c r="H123" s="2569"/>
      <c r="I123" s="2549"/>
      <c r="M123" s="158"/>
    </row>
    <row r="124" spans="1:13" s="135" customFormat="1" ht="13.5" customHeight="1">
      <c r="A124" s="2545">
        <v>37</v>
      </c>
      <c r="B124" s="2546" t="s">
        <v>3611</v>
      </c>
      <c r="C124" s="2547">
        <v>962081131</v>
      </c>
      <c r="D124" s="2547" t="s">
        <v>3631</v>
      </c>
      <c r="E124" s="2547" t="s">
        <v>165</v>
      </c>
      <c r="F124" s="2683">
        <f>SUM(F125:F125)</f>
        <v>3.6190000000000002</v>
      </c>
      <c r="G124" s="2548"/>
      <c r="H124" s="2548">
        <f>F124*G124</f>
        <v>0</v>
      </c>
      <c r="I124" s="2543" t="s">
        <v>138</v>
      </c>
      <c r="J124" s="2660"/>
    </row>
    <row r="125" spans="1:13" s="135" customFormat="1" ht="13.5" customHeight="1">
      <c r="A125" s="2545"/>
      <c r="B125" s="2546"/>
      <c r="C125" s="2547"/>
      <c r="D125" s="2568" t="s">
        <v>3632</v>
      </c>
      <c r="E125" s="2547"/>
      <c r="F125" s="2689">
        <v>3.6190000000000002</v>
      </c>
      <c r="G125" s="2548"/>
      <c r="H125" s="2548"/>
      <c r="I125" s="2549"/>
      <c r="J125" s="2661"/>
    </row>
    <row r="126" spans="1:13" ht="13.5" customHeight="1">
      <c r="A126" s="2545">
        <v>38</v>
      </c>
      <c r="B126" s="2546" t="s">
        <v>3611</v>
      </c>
      <c r="C126" s="2547" t="s">
        <v>3633</v>
      </c>
      <c r="D126" s="2547" t="s">
        <v>3634</v>
      </c>
      <c r="E126" s="2547" t="s">
        <v>49</v>
      </c>
      <c r="F126" s="2683">
        <f>F127</f>
        <v>1</v>
      </c>
      <c r="G126" s="2548"/>
      <c r="H126" s="2548">
        <f>F126*G126</f>
        <v>0</v>
      </c>
      <c r="I126" s="2549" t="s">
        <v>3635</v>
      </c>
    </row>
    <row r="127" spans="1:13" ht="13.5" customHeight="1">
      <c r="A127" s="2545"/>
      <c r="B127" s="2546"/>
      <c r="C127" s="2547"/>
      <c r="D127" s="2551" t="s">
        <v>3636</v>
      </c>
      <c r="E127" s="2547"/>
      <c r="F127" s="2689">
        <v>1</v>
      </c>
      <c r="G127" s="2548"/>
      <c r="H127" s="2548"/>
      <c r="I127" s="2549"/>
    </row>
    <row r="128" spans="1:13" s="135" customFormat="1" ht="63" customHeight="1">
      <c r="A128" s="2545"/>
      <c r="B128" s="2546"/>
      <c r="C128" s="2547"/>
      <c r="D128" s="2570" t="s">
        <v>3637</v>
      </c>
      <c r="E128" s="2547"/>
      <c r="F128" s="2684"/>
      <c r="G128" s="2548"/>
      <c r="H128" s="2548"/>
      <c r="I128" s="2552"/>
    </row>
    <row r="129" spans="1:16" ht="13.5" customHeight="1">
      <c r="A129" s="2545">
        <v>39</v>
      </c>
      <c r="B129" s="2546" t="s">
        <v>3611</v>
      </c>
      <c r="C129" s="2547" t="s">
        <v>3633</v>
      </c>
      <c r="D129" s="2547" t="s">
        <v>3638</v>
      </c>
      <c r="E129" s="2547" t="s">
        <v>49</v>
      </c>
      <c r="F129" s="2683">
        <f>F130</f>
        <v>1</v>
      </c>
      <c r="G129" s="2548"/>
      <c r="H129" s="2548">
        <f>F129*G129</f>
        <v>0</v>
      </c>
      <c r="I129" s="2549" t="s">
        <v>3635</v>
      </c>
    </row>
    <row r="130" spans="1:16" ht="13.5" customHeight="1">
      <c r="A130" s="2545"/>
      <c r="B130" s="2546"/>
      <c r="C130" s="2547"/>
      <c r="D130" s="2551" t="s">
        <v>3639</v>
      </c>
      <c r="E130" s="2547"/>
      <c r="F130" s="2689">
        <v>1</v>
      </c>
      <c r="G130" s="2548"/>
      <c r="H130" s="2548"/>
      <c r="I130" s="2549"/>
    </row>
    <row r="131" spans="1:16" s="135" customFormat="1" ht="63" customHeight="1">
      <c r="A131" s="2545"/>
      <c r="B131" s="2546"/>
      <c r="C131" s="2547"/>
      <c r="D131" s="2570" t="s">
        <v>3637</v>
      </c>
      <c r="E131" s="2547"/>
      <c r="F131" s="2684"/>
      <c r="G131" s="2548"/>
      <c r="H131" s="2548"/>
      <c r="I131" s="2552"/>
    </row>
    <row r="132" spans="1:16" s="135" customFormat="1" ht="27" customHeight="1">
      <c r="A132" s="2559">
        <v>40</v>
      </c>
      <c r="B132" s="2546" t="s">
        <v>3611</v>
      </c>
      <c r="C132" s="2547" t="s">
        <v>3640</v>
      </c>
      <c r="D132" s="2547" t="s">
        <v>3641</v>
      </c>
      <c r="E132" s="2547" t="s">
        <v>49</v>
      </c>
      <c r="F132" s="2683">
        <f>SUM(F133:F133)</f>
        <v>1</v>
      </c>
      <c r="G132" s="2560"/>
      <c r="H132" s="2560">
        <f>F132*G132</f>
        <v>0</v>
      </c>
      <c r="I132" s="2549" t="s">
        <v>3635</v>
      </c>
      <c r="J132" s="2661"/>
      <c r="P132" s="2662"/>
    </row>
    <row r="133" spans="1:16" s="135" customFormat="1" ht="13.5" customHeight="1">
      <c r="A133" s="2559"/>
      <c r="B133" s="2546"/>
      <c r="C133" s="2547"/>
      <c r="D133" s="2568" t="s">
        <v>3642</v>
      </c>
      <c r="E133" s="2547"/>
      <c r="F133" s="2689">
        <v>1</v>
      </c>
      <c r="G133" s="2560"/>
      <c r="H133" s="2560"/>
      <c r="I133" s="2549"/>
      <c r="J133" s="2663"/>
    </row>
    <row r="134" spans="1:16" s="135" customFormat="1" ht="40.5" customHeight="1">
      <c r="A134" s="2571"/>
      <c r="B134" s="2550"/>
      <c r="C134" s="2550"/>
      <c r="D134" s="2551" t="s">
        <v>3643</v>
      </c>
      <c r="E134" s="2550"/>
      <c r="F134" s="2684"/>
      <c r="G134" s="2572"/>
      <c r="H134" s="2560"/>
      <c r="I134" s="2552"/>
      <c r="J134" s="2661"/>
      <c r="L134" s="2664"/>
    </row>
    <row r="135" spans="1:16" s="135" customFormat="1" ht="69.75" customHeight="1">
      <c r="A135" s="2571"/>
      <c r="B135" s="2573"/>
      <c r="C135" s="2550"/>
      <c r="D135" s="2570" t="s">
        <v>3637</v>
      </c>
      <c r="E135" s="2551"/>
      <c r="F135" s="2684"/>
      <c r="G135" s="2560"/>
      <c r="H135" s="2560"/>
      <c r="I135" s="2552"/>
    </row>
    <row r="136" spans="1:16" s="135" customFormat="1" ht="27" customHeight="1">
      <c r="A136" s="2559">
        <v>41</v>
      </c>
      <c r="B136" s="2546" t="s">
        <v>3611</v>
      </c>
      <c r="C136" s="2547" t="s">
        <v>3644</v>
      </c>
      <c r="D136" s="2547" t="s">
        <v>3645</v>
      </c>
      <c r="E136" s="2547" t="s">
        <v>49</v>
      </c>
      <c r="F136" s="2683">
        <f>SUM(F137:F137)</f>
        <v>1</v>
      </c>
      <c r="G136" s="2560"/>
      <c r="H136" s="2560">
        <f>F136*G136</f>
        <v>0</v>
      </c>
      <c r="I136" s="2549" t="s">
        <v>3635</v>
      </c>
      <c r="J136" s="2661"/>
      <c r="P136" s="2662"/>
    </row>
    <row r="137" spans="1:16" s="135" customFormat="1" ht="13.5" customHeight="1">
      <c r="A137" s="2559"/>
      <c r="B137" s="2546"/>
      <c r="C137" s="2547"/>
      <c r="D137" s="2568" t="s">
        <v>3646</v>
      </c>
      <c r="E137" s="2547"/>
      <c r="F137" s="2689">
        <v>1</v>
      </c>
      <c r="G137" s="2560"/>
      <c r="H137" s="2560"/>
      <c r="I137" s="2549"/>
      <c r="J137" s="2663"/>
    </row>
    <row r="138" spans="1:16" s="135" customFormat="1" ht="27" customHeight="1">
      <c r="A138" s="2571"/>
      <c r="B138" s="2550"/>
      <c r="C138" s="2550"/>
      <c r="D138" s="2551" t="s">
        <v>3647</v>
      </c>
      <c r="E138" s="2550"/>
      <c r="F138" s="2684"/>
      <c r="G138" s="2572"/>
      <c r="H138" s="2560"/>
      <c r="I138" s="2552"/>
      <c r="J138" s="2661"/>
      <c r="L138" s="2664"/>
    </row>
    <row r="139" spans="1:16" s="135" customFormat="1" ht="71.25" customHeight="1">
      <c r="A139" s="2571"/>
      <c r="B139" s="2573"/>
      <c r="C139" s="2550"/>
      <c r="D139" s="2570" t="s">
        <v>3637</v>
      </c>
      <c r="E139" s="2551"/>
      <c r="F139" s="2684"/>
      <c r="G139" s="2560"/>
      <c r="H139" s="2560"/>
      <c r="I139" s="2552"/>
    </row>
    <row r="140" spans="1:16" s="135" customFormat="1" ht="27" customHeight="1">
      <c r="A140" s="2545">
        <v>42</v>
      </c>
      <c r="B140" s="2546" t="s">
        <v>3611</v>
      </c>
      <c r="C140" s="2547" t="s">
        <v>3648</v>
      </c>
      <c r="D140" s="2547" t="s">
        <v>3649</v>
      </c>
      <c r="E140" s="2547" t="s">
        <v>165</v>
      </c>
      <c r="F140" s="2683">
        <f>SUM(F141:F141)</f>
        <v>477.50000000000006</v>
      </c>
      <c r="G140" s="2548"/>
      <c r="H140" s="2548">
        <f>F140*G140</f>
        <v>0</v>
      </c>
      <c r="I140" s="2549" t="s">
        <v>111</v>
      </c>
      <c r="J140" s="301"/>
    </row>
    <row r="141" spans="1:16" s="135" customFormat="1" ht="40.5" customHeight="1">
      <c r="A141" s="2545"/>
      <c r="B141" s="2546"/>
      <c r="C141" s="2547"/>
      <c r="D141" s="2551" t="s">
        <v>3650</v>
      </c>
      <c r="E141" s="2547"/>
      <c r="F141" s="2684">
        <f>(15.78+12.83+84.54+15.05+9.8+9.24+65.26+192.71+20.64+13.58+4.25+12.8+12.85+3.13+2.41+1.44+1.19)</f>
        <v>477.50000000000006</v>
      </c>
      <c r="G141" s="2548"/>
      <c r="H141" s="2548"/>
      <c r="I141" s="2552"/>
      <c r="J141" s="499"/>
      <c r="L141" s="301"/>
    </row>
    <row r="142" spans="1:16" s="135" customFormat="1" ht="40.5" customHeight="1">
      <c r="A142" s="2545"/>
      <c r="B142" s="2546"/>
      <c r="C142" s="2547"/>
      <c r="D142" s="2551" t="s">
        <v>3651</v>
      </c>
      <c r="E142" s="2547"/>
      <c r="F142" s="2684"/>
      <c r="G142" s="2548"/>
      <c r="H142" s="2548"/>
      <c r="I142" s="2552"/>
    </row>
    <row r="143" spans="1:16" s="135" customFormat="1" ht="40.5" customHeight="1">
      <c r="A143" s="2545"/>
      <c r="B143" s="2546"/>
      <c r="C143" s="2547"/>
      <c r="D143" s="2551" t="s">
        <v>3652</v>
      </c>
      <c r="E143" s="2547"/>
      <c r="F143" s="2684"/>
      <c r="G143" s="2548"/>
      <c r="H143" s="2548"/>
      <c r="I143" s="2552"/>
      <c r="J143" s="217"/>
    </row>
    <row r="144" spans="1:16" s="135" customFormat="1" ht="27" customHeight="1">
      <c r="A144" s="2545"/>
      <c r="B144" s="2546"/>
      <c r="C144" s="2547"/>
      <c r="D144" s="2551" t="s">
        <v>3653</v>
      </c>
      <c r="E144" s="2547"/>
      <c r="F144" s="2684"/>
      <c r="G144" s="2548"/>
      <c r="H144" s="2548"/>
      <c r="I144" s="2552"/>
      <c r="J144" s="2665"/>
    </row>
    <row r="145" spans="1:12" s="135" customFormat="1" ht="67.5" customHeight="1">
      <c r="A145" s="2545"/>
      <c r="B145" s="2546"/>
      <c r="C145" s="2547"/>
      <c r="D145" s="2570" t="s">
        <v>3637</v>
      </c>
      <c r="E145" s="2547"/>
      <c r="F145" s="2684"/>
      <c r="G145" s="2548"/>
      <c r="H145" s="2548"/>
      <c r="I145" s="2552"/>
    </row>
    <row r="146" spans="1:12" s="135" customFormat="1" ht="13.5" customHeight="1">
      <c r="A146" s="2545">
        <v>43</v>
      </c>
      <c r="B146" s="2546" t="s">
        <v>3611</v>
      </c>
      <c r="C146" s="2547" t="s">
        <v>3654</v>
      </c>
      <c r="D146" s="2547" t="s">
        <v>3655</v>
      </c>
      <c r="E146" s="2547" t="s">
        <v>165</v>
      </c>
      <c r="F146" s="2683">
        <f>SUM(F147:F147)</f>
        <v>204.35000000000002</v>
      </c>
      <c r="G146" s="2548"/>
      <c r="H146" s="2548">
        <f>F146*G146</f>
        <v>0</v>
      </c>
      <c r="I146" s="2549" t="s">
        <v>111</v>
      </c>
      <c r="J146" s="301"/>
    </row>
    <row r="147" spans="1:12" s="135" customFormat="1" ht="38.25" customHeight="1">
      <c r="A147" s="2545"/>
      <c r="B147" s="2546"/>
      <c r="C147" s="2547"/>
      <c r="D147" s="2551" t="s">
        <v>3656</v>
      </c>
      <c r="E147" s="2547"/>
      <c r="F147" s="2684">
        <f>(5.52+6.84+11.15+1.08+0.78+24.21+9.22+23.03+5.09+4.34+3.15+2.24+3.15+6.02+43.03+38.25+17.25)</f>
        <v>204.35000000000002</v>
      </c>
      <c r="G147" s="2548"/>
      <c r="H147" s="2548"/>
      <c r="I147" s="2552"/>
      <c r="J147" s="301"/>
    </row>
    <row r="148" spans="1:12" s="135" customFormat="1" ht="40.5" customHeight="1">
      <c r="A148" s="2545"/>
      <c r="B148" s="2546"/>
      <c r="C148" s="2547"/>
      <c r="D148" s="2551" t="s">
        <v>3657</v>
      </c>
      <c r="E148" s="2547"/>
      <c r="F148" s="2684"/>
      <c r="G148" s="2548"/>
      <c r="H148" s="2548"/>
      <c r="I148" s="2552"/>
    </row>
    <row r="149" spans="1:12" s="135" customFormat="1" ht="27" customHeight="1">
      <c r="A149" s="2545"/>
      <c r="B149" s="2546"/>
      <c r="C149" s="2547"/>
      <c r="D149" s="2551" t="s">
        <v>3658</v>
      </c>
      <c r="E149" s="2547"/>
      <c r="F149" s="2684"/>
      <c r="G149" s="2548"/>
      <c r="H149" s="2548"/>
      <c r="I149" s="2552"/>
      <c r="J149" s="2665"/>
    </row>
    <row r="150" spans="1:12" s="135" customFormat="1" ht="63" customHeight="1">
      <c r="A150" s="2545"/>
      <c r="B150" s="2546"/>
      <c r="C150" s="2547"/>
      <c r="D150" s="2570" t="s">
        <v>3637</v>
      </c>
      <c r="E150" s="2547"/>
      <c r="F150" s="2684"/>
      <c r="G150" s="2548"/>
      <c r="H150" s="2548"/>
      <c r="I150" s="2552"/>
    </row>
    <row r="151" spans="1:12" s="135" customFormat="1" ht="29.25" customHeight="1">
      <c r="A151" s="2545">
        <v>44</v>
      </c>
      <c r="B151" s="2546" t="s">
        <v>3611</v>
      </c>
      <c r="C151" s="2547">
        <v>965042141</v>
      </c>
      <c r="D151" s="2547" t="s">
        <v>3659</v>
      </c>
      <c r="E151" s="2547" t="s">
        <v>147</v>
      </c>
      <c r="F151" s="2683">
        <f>SUM(F153:F154)</f>
        <v>383.44</v>
      </c>
      <c r="G151" s="2548"/>
      <c r="H151" s="2548">
        <f>F151*G151</f>
        <v>0</v>
      </c>
      <c r="I151" s="2574" t="s">
        <v>138</v>
      </c>
      <c r="J151" s="301"/>
    </row>
    <row r="152" spans="1:12" s="135" customFormat="1" ht="13.5" customHeight="1">
      <c r="A152" s="2545"/>
      <c r="B152" s="2546"/>
      <c r="C152" s="2547"/>
      <c r="D152" s="2551" t="s">
        <v>3660</v>
      </c>
      <c r="E152" s="2547"/>
      <c r="F152" s="2684"/>
      <c r="G152" s="2548"/>
      <c r="H152" s="2548"/>
      <c r="I152" s="2526"/>
    </row>
    <row r="153" spans="1:12" s="135" customFormat="1" ht="40.5" customHeight="1">
      <c r="A153" s="2545"/>
      <c r="B153" s="2546"/>
      <c r="C153" s="2547"/>
      <c r="D153" s="2551" t="s">
        <v>3661</v>
      </c>
      <c r="E153" s="2547"/>
      <c r="F153" s="2684">
        <f>(5.52+6.84+11.15+24.21+15.78+12.83+20.64+13.58+3.12+2.41+1.44+3.58+84.54+5.09+3.15+2.24+3.15+6.02+43.03+38.25+17.25+9.09)</f>
        <v>332.91</v>
      </c>
      <c r="G153" s="2548"/>
      <c r="H153" s="2548"/>
      <c r="I153" s="2526"/>
      <c r="J153" s="2666"/>
      <c r="K153" s="2666"/>
      <c r="L153" s="2666"/>
    </row>
    <row r="154" spans="1:12" s="135" customFormat="1" ht="13.5" customHeight="1">
      <c r="A154" s="2545"/>
      <c r="B154" s="2546"/>
      <c r="C154" s="2547"/>
      <c r="D154" s="2575" t="s">
        <v>3662</v>
      </c>
      <c r="E154" s="2547"/>
      <c r="F154" s="2684">
        <f>(2.24+6.74+6.18+1.4+5.96+5.29+3.36+4.96+4.75+1.96+2.65+3.68+1.36)</f>
        <v>50.529999999999994</v>
      </c>
      <c r="G154" s="2548"/>
      <c r="H154" s="2548"/>
      <c r="I154" s="2526"/>
      <c r="J154" s="2666"/>
      <c r="K154" s="2666"/>
      <c r="L154" s="2666"/>
    </row>
    <row r="155" spans="1:12" s="135" customFormat="1" ht="13.5" customHeight="1">
      <c r="A155" s="2545">
        <v>45</v>
      </c>
      <c r="B155" s="2546" t="s">
        <v>3611</v>
      </c>
      <c r="C155" s="2547">
        <v>965081223</v>
      </c>
      <c r="D155" s="2547" t="s">
        <v>3663</v>
      </c>
      <c r="E155" s="2547" t="s">
        <v>165</v>
      </c>
      <c r="F155" s="2683">
        <f>SUM(F157:F158)</f>
        <v>383.44</v>
      </c>
      <c r="G155" s="2548"/>
      <c r="H155" s="2548">
        <f>F155*G155</f>
        <v>0</v>
      </c>
      <c r="I155" s="2574" t="s">
        <v>138</v>
      </c>
    </row>
    <row r="156" spans="1:12" s="135" customFormat="1" ht="13.5" customHeight="1">
      <c r="A156" s="2545"/>
      <c r="B156" s="2546"/>
      <c r="C156" s="2547"/>
      <c r="D156" s="2551" t="s">
        <v>3664</v>
      </c>
      <c r="E156" s="2547"/>
      <c r="F156" s="2684"/>
      <c r="G156" s="2548"/>
      <c r="H156" s="2548"/>
      <c r="I156" s="2526"/>
    </row>
    <row r="157" spans="1:12" s="135" customFormat="1" ht="40.5" customHeight="1">
      <c r="A157" s="2545"/>
      <c r="B157" s="2546"/>
      <c r="C157" s="2547"/>
      <c r="D157" s="2551" t="s">
        <v>3661</v>
      </c>
      <c r="E157" s="2547"/>
      <c r="F157" s="2684">
        <f>(5.52+6.84+11.15+24.21+15.78+12.83+20.64+13.58+3.12+2.41+1.44+3.58+84.54+5.09+3.15+2.24+3.15+6.02+43.03+38.25+17.25+9.09)</f>
        <v>332.91</v>
      </c>
      <c r="G157" s="2548"/>
      <c r="H157" s="2548"/>
      <c r="I157" s="2526"/>
      <c r="J157" s="2666"/>
      <c r="K157" s="2666"/>
      <c r="L157" s="2666"/>
    </row>
    <row r="158" spans="1:12" s="135" customFormat="1" ht="13.5" customHeight="1">
      <c r="A158" s="2545"/>
      <c r="B158" s="2546"/>
      <c r="C158" s="2547"/>
      <c r="D158" s="2575" t="s">
        <v>3662</v>
      </c>
      <c r="E158" s="2547"/>
      <c r="F158" s="2684">
        <f>(2.24+6.74+6.18+1.4+5.96+5.29+3.36+4.96+4.75+1.96+2.65+3.68+1.36)</f>
        <v>50.529999999999994</v>
      </c>
      <c r="G158" s="2548"/>
      <c r="H158" s="2548"/>
      <c r="I158" s="2526"/>
      <c r="J158" s="2666"/>
      <c r="K158" s="2666"/>
      <c r="L158" s="2666"/>
    </row>
    <row r="159" spans="1:12" s="135" customFormat="1" ht="13.5" customHeight="1">
      <c r="A159" s="2576">
        <v>46</v>
      </c>
      <c r="B159" s="2474" t="s">
        <v>3611</v>
      </c>
      <c r="C159" s="2474" t="s">
        <v>3665</v>
      </c>
      <c r="D159" s="2474" t="s">
        <v>3666</v>
      </c>
      <c r="E159" s="2474" t="s">
        <v>165</v>
      </c>
      <c r="F159" s="2690">
        <f>SUM(F160:F162)</f>
        <v>258.75</v>
      </c>
      <c r="G159" s="2577"/>
      <c r="H159" s="2577">
        <f>F159*G159</f>
        <v>0</v>
      </c>
      <c r="I159" s="2549" t="s">
        <v>111</v>
      </c>
      <c r="J159" s="301"/>
    </row>
    <row r="160" spans="1:12" s="135" customFormat="1" ht="13.5" customHeight="1">
      <c r="A160" s="2576"/>
      <c r="B160" s="2474"/>
      <c r="C160" s="2474"/>
      <c r="D160" s="2447" t="s">
        <v>3667</v>
      </c>
      <c r="E160" s="2474"/>
      <c r="F160" s="2684">
        <f>(0.9*0.6*4)</f>
        <v>2.16</v>
      </c>
      <c r="G160" s="2577"/>
      <c r="H160" s="2577"/>
      <c r="I160" s="2475"/>
    </row>
    <row r="161" spans="1:10" s="135" customFormat="1" ht="27" customHeight="1">
      <c r="A161" s="2576"/>
      <c r="B161" s="2474"/>
      <c r="C161" s="2474"/>
      <c r="D161" s="2447" t="s">
        <v>3668</v>
      </c>
      <c r="E161" s="2474"/>
      <c r="F161" s="2684">
        <f>(2.4*1.8*12)+(0.9*1.8*3)+(1.2*1.8*3)+(2.4*2.1*9)+(0.9*2.1*4)+(1.2*2.1*4)</f>
        <v>126.18</v>
      </c>
      <c r="G161" s="2577"/>
      <c r="H161" s="2577"/>
      <c r="I161" s="2475"/>
    </row>
    <row r="162" spans="1:10" s="135" customFormat="1" ht="13.5" customHeight="1">
      <c r="A162" s="2576"/>
      <c r="B162" s="2474"/>
      <c r="C162" s="2474"/>
      <c r="D162" s="2447" t="s">
        <v>3669</v>
      </c>
      <c r="E162" s="2474"/>
      <c r="F162" s="2684">
        <f>(2.4*2.1*12)+(0.9*2.1*5)+(1.2*2.1*4)+(2.4*2.1*10)</f>
        <v>130.41</v>
      </c>
      <c r="G162" s="2577"/>
      <c r="H162" s="2577"/>
      <c r="I162" s="2475"/>
    </row>
    <row r="163" spans="1:10" s="135" customFormat="1" ht="40.5" customHeight="1">
      <c r="A163" s="2578"/>
      <c r="B163" s="2446"/>
      <c r="C163" s="2446"/>
      <c r="D163" s="2551" t="s">
        <v>3670</v>
      </c>
      <c r="E163" s="2446"/>
      <c r="F163" s="2691"/>
      <c r="G163" s="2579"/>
      <c r="H163" s="2577"/>
      <c r="I163" s="2475"/>
    </row>
    <row r="164" spans="1:10" s="135" customFormat="1" ht="50.25" customHeight="1">
      <c r="A164" s="2578"/>
      <c r="B164" s="2580"/>
      <c r="C164" s="2446"/>
      <c r="D164" s="2581" t="s">
        <v>3671</v>
      </c>
      <c r="E164" s="2447"/>
      <c r="F164" s="2692"/>
      <c r="G164" s="2577"/>
      <c r="H164" s="2577"/>
      <c r="I164" s="2465"/>
    </row>
    <row r="165" spans="1:10" s="135" customFormat="1" ht="13.5" customHeight="1">
      <c r="A165" s="2545">
        <v>47</v>
      </c>
      <c r="B165" s="2474" t="s">
        <v>3611</v>
      </c>
      <c r="C165" s="2547" t="s">
        <v>3672</v>
      </c>
      <c r="D165" s="2547" t="s">
        <v>3673</v>
      </c>
      <c r="E165" s="2547" t="s">
        <v>165</v>
      </c>
      <c r="F165" s="2683">
        <f>SUM(F166:F167)</f>
        <v>90.156999999999996</v>
      </c>
      <c r="G165" s="2548"/>
      <c r="H165" s="2548">
        <f>F165*G165</f>
        <v>0</v>
      </c>
      <c r="I165" s="2549" t="s">
        <v>111</v>
      </c>
      <c r="J165" s="301"/>
    </row>
    <row r="166" spans="1:10" s="135" customFormat="1" ht="40.5" customHeight="1">
      <c r="A166" s="2545"/>
      <c r="B166" s="2546"/>
      <c r="C166" s="2547"/>
      <c r="D166" s="2551" t="s">
        <v>3674</v>
      </c>
      <c r="E166" s="2547"/>
      <c r="F166" s="2684">
        <f>(1.65*1.97)+(0.8*1.97)+(0.6*1.97*12)+(0.8*1.97*15)+(0.9*1.97*2)+((0.9+0.615)*2.1)+(1.45*1.97)+(1.25*1.97*7)+(1.65*1.97)</f>
        <v>72.722499999999997</v>
      </c>
      <c r="G166" s="2548"/>
      <c r="H166" s="2548"/>
      <c r="I166" s="2552"/>
    </row>
    <row r="167" spans="1:10" s="135" customFormat="1" ht="13.5" customHeight="1">
      <c r="A167" s="2545"/>
      <c r="B167" s="2546"/>
      <c r="C167" s="2547"/>
      <c r="D167" s="2551" t="s">
        <v>3675</v>
      </c>
      <c r="E167" s="2547"/>
      <c r="F167" s="2684">
        <f>(0.6*1.97*10)+(0.8*1.97*2)+(1.25*1.97)</f>
        <v>17.4345</v>
      </c>
      <c r="G167" s="2548"/>
      <c r="H167" s="2548"/>
      <c r="I167" s="2552"/>
    </row>
    <row r="168" spans="1:10" s="135" customFormat="1" ht="54" customHeight="1">
      <c r="A168" s="2545"/>
      <c r="B168" s="2546"/>
      <c r="C168" s="2547"/>
      <c r="D168" s="2551" t="s">
        <v>3676</v>
      </c>
      <c r="E168" s="2547"/>
      <c r="F168" s="2684"/>
      <c r="G168" s="2548"/>
      <c r="H168" s="2548"/>
      <c r="I168" s="2552"/>
    </row>
    <row r="169" spans="1:10" s="135" customFormat="1" ht="50.25" customHeight="1">
      <c r="A169" s="2582"/>
      <c r="B169" s="2573"/>
      <c r="C169" s="2550"/>
      <c r="D169" s="2581" t="s">
        <v>3671</v>
      </c>
      <c r="E169" s="2551"/>
      <c r="F169" s="2684"/>
      <c r="G169" s="2548"/>
      <c r="H169" s="2548"/>
      <c r="I169" s="2549"/>
    </row>
    <row r="170" spans="1:10" s="174" customFormat="1" ht="13.5" customHeight="1">
      <c r="A170" s="2583">
        <v>48</v>
      </c>
      <c r="B170" s="2584" t="s">
        <v>3611</v>
      </c>
      <c r="C170" s="2585" t="s">
        <v>3677</v>
      </c>
      <c r="D170" s="2586" t="s">
        <v>3678</v>
      </c>
      <c r="E170" s="2587" t="s">
        <v>49</v>
      </c>
      <c r="F170" s="2693">
        <f>F171</f>
        <v>1</v>
      </c>
      <c r="G170" s="2588"/>
      <c r="H170" s="2589">
        <f>F170*G170</f>
        <v>0</v>
      </c>
      <c r="I170" s="2549" t="s">
        <v>111</v>
      </c>
      <c r="J170" s="2667"/>
    </row>
    <row r="171" spans="1:10" s="2590" customFormat="1" ht="13.5" customHeight="1">
      <c r="A171" s="2583"/>
      <c r="B171" s="2539"/>
      <c r="C171" s="2585"/>
      <c r="D171" s="2540" t="s">
        <v>3679</v>
      </c>
      <c r="E171" s="2587"/>
      <c r="F171" s="2694">
        <v>1</v>
      </c>
      <c r="G171" s="2588"/>
      <c r="H171" s="2589"/>
      <c r="I171" s="2543"/>
    </row>
    <row r="172" spans="1:10" s="135" customFormat="1" ht="50.25" customHeight="1">
      <c r="A172" s="2582"/>
      <c r="B172" s="2573"/>
      <c r="C172" s="2550"/>
      <c r="D172" s="2581" t="s">
        <v>3671</v>
      </c>
      <c r="E172" s="2551"/>
      <c r="F172" s="2684"/>
      <c r="G172" s="2548"/>
      <c r="H172" s="2548"/>
      <c r="I172" s="2552"/>
    </row>
    <row r="173" spans="1:10" s="135" customFormat="1" ht="13.5" customHeight="1">
      <c r="A173" s="2559">
        <v>49</v>
      </c>
      <c r="B173" s="2539" t="s">
        <v>3611</v>
      </c>
      <c r="C173" s="2547" t="s">
        <v>3680</v>
      </c>
      <c r="D173" s="2547" t="s">
        <v>3681</v>
      </c>
      <c r="E173" s="2547" t="s">
        <v>49</v>
      </c>
      <c r="F173" s="2683">
        <f>F174</f>
        <v>1</v>
      </c>
      <c r="G173" s="2560"/>
      <c r="H173" s="2560">
        <f>F173*G173</f>
        <v>0</v>
      </c>
      <c r="I173" s="2549" t="s">
        <v>111</v>
      </c>
      <c r="J173" s="2668"/>
    </row>
    <row r="174" spans="1:10" s="135" customFormat="1" ht="13.5" customHeight="1">
      <c r="A174" s="2559"/>
      <c r="B174" s="2539"/>
      <c r="C174" s="2547"/>
      <c r="D174" s="2551" t="s">
        <v>3682</v>
      </c>
      <c r="E174" s="2547"/>
      <c r="F174" s="2694">
        <v>1</v>
      </c>
      <c r="G174" s="2560"/>
      <c r="H174" s="2560"/>
      <c r="I174" s="2591"/>
      <c r="J174" s="2668"/>
    </row>
    <row r="175" spans="1:10" s="135" customFormat="1" ht="50.25" customHeight="1">
      <c r="A175" s="2582"/>
      <c r="B175" s="2573"/>
      <c r="C175" s="2550"/>
      <c r="D175" s="2581" t="s">
        <v>3671</v>
      </c>
      <c r="E175" s="2551"/>
      <c r="F175" s="2684"/>
      <c r="G175" s="2548"/>
      <c r="H175" s="2548"/>
      <c r="I175" s="2552"/>
    </row>
    <row r="176" spans="1:10" s="335" customFormat="1" ht="27" customHeight="1">
      <c r="A176" s="2583">
        <v>50</v>
      </c>
      <c r="B176" s="2539" t="s">
        <v>3611</v>
      </c>
      <c r="C176" s="2585" t="s">
        <v>3680</v>
      </c>
      <c r="D176" s="2586" t="s">
        <v>3683</v>
      </c>
      <c r="E176" s="2587" t="s">
        <v>49</v>
      </c>
      <c r="F176" s="2693">
        <f>SUM(F177:F178)</f>
        <v>1</v>
      </c>
      <c r="G176" s="2588"/>
      <c r="H176" s="2589">
        <f>F176*G176</f>
        <v>0</v>
      </c>
      <c r="I176" s="2549" t="s">
        <v>111</v>
      </c>
    </row>
    <row r="177" spans="1:11" s="335" customFormat="1" ht="40.5" customHeight="1">
      <c r="A177" s="2583"/>
      <c r="B177" s="2539"/>
      <c r="C177" s="2585"/>
      <c r="D177" s="2540" t="s">
        <v>3684</v>
      </c>
      <c r="E177" s="2587"/>
      <c r="F177" s="2694">
        <v>1</v>
      </c>
      <c r="G177" s="2588"/>
      <c r="H177" s="2589"/>
      <c r="I177" s="2543"/>
    </row>
    <row r="178" spans="1:11" s="335" customFormat="1" ht="40.5" customHeight="1">
      <c r="A178" s="2583"/>
      <c r="B178" s="2539"/>
      <c r="C178" s="2585"/>
      <c r="D178" s="2540" t="s">
        <v>3685</v>
      </c>
      <c r="E178" s="2587"/>
      <c r="F178" s="2695"/>
      <c r="G178" s="2588"/>
      <c r="H178" s="2589"/>
      <c r="I178" s="2543"/>
    </row>
    <row r="179" spans="1:11" s="333" customFormat="1" ht="48.75" customHeight="1">
      <c r="A179" s="2592"/>
      <c r="B179" s="2593"/>
      <c r="C179" s="2593"/>
      <c r="D179" s="2581" t="s">
        <v>3671</v>
      </c>
      <c r="E179" s="2593"/>
      <c r="F179" s="2696"/>
      <c r="G179" s="2594"/>
      <c r="H179" s="2594"/>
      <c r="I179" s="2595"/>
    </row>
    <row r="180" spans="1:11" s="135" customFormat="1" ht="13.5" customHeight="1">
      <c r="A180" s="2545">
        <v>51</v>
      </c>
      <c r="B180" s="2546" t="s">
        <v>3611</v>
      </c>
      <c r="C180" s="2547" t="s">
        <v>3686</v>
      </c>
      <c r="D180" s="2547" t="s">
        <v>3687</v>
      </c>
      <c r="E180" s="2547" t="s">
        <v>49</v>
      </c>
      <c r="F180" s="2683">
        <f>F181</f>
        <v>1</v>
      </c>
      <c r="G180" s="2548"/>
      <c r="H180" s="2548">
        <f>F180*G180</f>
        <v>0</v>
      </c>
      <c r="I180" s="2549" t="s">
        <v>111</v>
      </c>
    </row>
    <row r="181" spans="1:11" s="135" customFormat="1" ht="13.5" customHeight="1">
      <c r="A181" s="2545"/>
      <c r="B181" s="2546"/>
      <c r="C181" s="2547"/>
      <c r="D181" s="2551" t="s">
        <v>3688</v>
      </c>
      <c r="E181" s="2547"/>
      <c r="F181" s="2694">
        <v>1</v>
      </c>
      <c r="G181" s="2548"/>
      <c r="H181" s="2548"/>
      <c r="I181" s="2549"/>
      <c r="J181" s="301"/>
    </row>
    <row r="182" spans="1:11" s="333" customFormat="1" ht="48.75" customHeight="1">
      <c r="A182" s="2592"/>
      <c r="B182" s="2593"/>
      <c r="C182" s="2593"/>
      <c r="D182" s="2581" t="s">
        <v>3671</v>
      </c>
      <c r="E182" s="2593"/>
      <c r="F182" s="2696"/>
      <c r="G182" s="2594"/>
      <c r="H182" s="2594"/>
      <c r="I182" s="2595"/>
    </row>
    <row r="183" spans="1:11" s="135" customFormat="1" ht="27" customHeight="1">
      <c r="A183" s="2559">
        <v>52</v>
      </c>
      <c r="B183" s="2546" t="s">
        <v>3611</v>
      </c>
      <c r="C183" s="2547" t="s">
        <v>3689</v>
      </c>
      <c r="D183" s="2547" t="s">
        <v>3690</v>
      </c>
      <c r="E183" s="2547" t="s">
        <v>165</v>
      </c>
      <c r="F183" s="2683">
        <f>SUM(F185)</f>
        <v>870</v>
      </c>
      <c r="G183" s="2560"/>
      <c r="H183" s="2560">
        <f>F183*G183</f>
        <v>0</v>
      </c>
      <c r="I183" s="2549" t="s">
        <v>111</v>
      </c>
    </row>
    <row r="184" spans="1:11" s="135" customFormat="1" ht="39.75" customHeight="1">
      <c r="A184" s="2559"/>
      <c r="B184" s="2546"/>
      <c r="C184" s="2547"/>
      <c r="D184" s="2551" t="s">
        <v>3691</v>
      </c>
      <c r="E184" s="2547"/>
      <c r="F184" s="2684"/>
      <c r="G184" s="2560"/>
      <c r="H184" s="2560"/>
      <c r="I184" s="2526"/>
    </row>
    <row r="185" spans="1:11" s="135" customFormat="1" ht="13.5" customHeight="1">
      <c r="A185" s="2559"/>
      <c r="B185" s="2546"/>
      <c r="C185" s="2547"/>
      <c r="D185" s="2551" t="s">
        <v>3692</v>
      </c>
      <c r="E185" s="2547"/>
      <c r="F185" s="2684">
        <v>870</v>
      </c>
      <c r="G185" s="2560"/>
      <c r="H185" s="2560"/>
      <c r="I185" s="2526"/>
    </row>
    <row r="186" spans="1:11" s="135" customFormat="1" ht="54" customHeight="1">
      <c r="A186" s="2559"/>
      <c r="B186" s="2546"/>
      <c r="C186" s="2547"/>
      <c r="D186" s="2581" t="s">
        <v>3671</v>
      </c>
      <c r="E186" s="2547"/>
      <c r="F186" s="2684"/>
      <c r="G186" s="2560"/>
      <c r="H186" s="2560"/>
      <c r="I186" s="2526"/>
    </row>
    <row r="187" spans="1:11" s="135" customFormat="1" ht="27" customHeight="1">
      <c r="A187" s="2559">
        <v>53</v>
      </c>
      <c r="B187" s="2546" t="s">
        <v>3611</v>
      </c>
      <c r="C187" s="2547" t="s">
        <v>3693</v>
      </c>
      <c r="D187" s="2547" t="s">
        <v>3694</v>
      </c>
      <c r="E187" s="2547" t="s">
        <v>165</v>
      </c>
      <c r="F187" s="2683">
        <f>SUM(F189:F189)</f>
        <v>870</v>
      </c>
      <c r="G187" s="2560"/>
      <c r="H187" s="2560">
        <f>F187*G187</f>
        <v>0</v>
      </c>
      <c r="I187" s="2549" t="s">
        <v>111</v>
      </c>
    </row>
    <row r="188" spans="1:11" s="135" customFormat="1" ht="54" customHeight="1">
      <c r="A188" s="2559"/>
      <c r="B188" s="2546"/>
      <c r="C188" s="2547"/>
      <c r="D188" s="2551" t="s">
        <v>3695</v>
      </c>
      <c r="E188" s="2547"/>
      <c r="F188" s="2684"/>
      <c r="G188" s="2560"/>
      <c r="H188" s="2560"/>
      <c r="I188" s="2526"/>
    </row>
    <row r="189" spans="1:11" s="135" customFormat="1" ht="13.5" customHeight="1">
      <c r="A189" s="2559"/>
      <c r="B189" s="2546"/>
      <c r="C189" s="2547"/>
      <c r="D189" s="2551" t="s">
        <v>3696</v>
      </c>
      <c r="E189" s="2547"/>
      <c r="F189" s="2684">
        <v>870</v>
      </c>
      <c r="G189" s="2560"/>
      <c r="H189" s="2560"/>
      <c r="I189" s="2526"/>
    </row>
    <row r="190" spans="1:11" s="135" customFormat="1" ht="54" customHeight="1">
      <c r="A190" s="2559"/>
      <c r="B190" s="2546"/>
      <c r="C190" s="2547"/>
      <c r="D190" s="2581" t="s">
        <v>3671</v>
      </c>
      <c r="E190" s="2547"/>
      <c r="F190" s="2684"/>
      <c r="G190" s="2560"/>
      <c r="H190" s="2560"/>
      <c r="I190" s="2526"/>
    </row>
    <row r="191" spans="1:11" s="135" customFormat="1" ht="13.5" customHeight="1">
      <c r="A191" s="2559">
        <v>54</v>
      </c>
      <c r="B191" s="2546" t="s">
        <v>3611</v>
      </c>
      <c r="C191" s="2547" t="s">
        <v>3697</v>
      </c>
      <c r="D191" s="2547" t="s">
        <v>3698</v>
      </c>
      <c r="E191" s="2547" t="s">
        <v>49</v>
      </c>
      <c r="F191" s="2683">
        <f>F192</f>
        <v>1</v>
      </c>
      <c r="G191" s="2560"/>
      <c r="H191" s="2560">
        <f>F191*G191</f>
        <v>0</v>
      </c>
      <c r="I191" s="2549" t="s">
        <v>111</v>
      </c>
      <c r="J191" s="2669"/>
      <c r="K191" s="2669"/>
    </row>
    <row r="192" spans="1:11" s="135" customFormat="1" ht="54" customHeight="1">
      <c r="A192" s="2571"/>
      <c r="B192" s="2573"/>
      <c r="C192" s="2550"/>
      <c r="D192" s="2551" t="s">
        <v>3699</v>
      </c>
      <c r="E192" s="2551"/>
      <c r="F192" s="2684">
        <v>1</v>
      </c>
      <c r="G192" s="2572"/>
      <c r="H192" s="2560"/>
      <c r="I192" s="2552"/>
      <c r="K192" s="2669"/>
    </row>
    <row r="193" spans="1:50" s="135" customFormat="1" ht="27" customHeight="1">
      <c r="A193" s="2571"/>
      <c r="B193" s="2573"/>
      <c r="C193" s="2550"/>
      <c r="D193" s="2551" t="s">
        <v>3700</v>
      </c>
      <c r="E193" s="2551"/>
      <c r="F193" s="2684"/>
      <c r="G193" s="2572"/>
      <c r="H193" s="2560"/>
      <c r="I193" s="2552"/>
      <c r="J193" s="2669"/>
      <c r="K193" s="2669"/>
    </row>
    <row r="194" spans="1:50" s="135" customFormat="1" ht="13.5" customHeight="1">
      <c r="A194" s="2559">
        <v>55</v>
      </c>
      <c r="B194" s="2546" t="s">
        <v>3701</v>
      </c>
      <c r="C194" s="2547" t="s">
        <v>3702</v>
      </c>
      <c r="D194" s="2547" t="s">
        <v>3698</v>
      </c>
      <c r="E194" s="2547" t="s">
        <v>49</v>
      </c>
      <c r="F194" s="2683">
        <f>F195</f>
        <v>1</v>
      </c>
      <c r="G194" s="2560"/>
      <c r="H194" s="2560">
        <f>F194*G194</f>
        <v>0</v>
      </c>
      <c r="I194" s="2549" t="s">
        <v>111</v>
      </c>
    </row>
    <row r="195" spans="1:50" s="135" customFormat="1" ht="54" customHeight="1">
      <c r="A195" s="2571"/>
      <c r="B195" s="2573"/>
      <c r="C195" s="2550"/>
      <c r="D195" s="2551" t="s">
        <v>3699</v>
      </c>
      <c r="E195" s="2551"/>
      <c r="F195" s="2684">
        <v>1</v>
      </c>
      <c r="G195" s="2572"/>
      <c r="H195" s="2560"/>
      <c r="I195" s="2552"/>
    </row>
    <row r="196" spans="1:50" s="135" customFormat="1" ht="27" customHeight="1">
      <c r="A196" s="2571"/>
      <c r="B196" s="2573"/>
      <c r="C196" s="2550"/>
      <c r="D196" s="2551" t="s">
        <v>3700</v>
      </c>
      <c r="E196" s="2551"/>
      <c r="F196" s="2684"/>
      <c r="G196" s="2572"/>
      <c r="H196" s="2560"/>
      <c r="I196" s="2552"/>
    </row>
    <row r="197" spans="1:50" s="135" customFormat="1" ht="13.5" customHeight="1">
      <c r="A197" s="2522"/>
      <c r="B197" s="2523"/>
      <c r="C197" s="2523" t="s">
        <v>363</v>
      </c>
      <c r="D197" s="2523" t="s">
        <v>364</v>
      </c>
      <c r="E197" s="2523"/>
      <c r="F197" s="2682"/>
      <c r="G197" s="2525"/>
      <c r="H197" s="2525">
        <f>SUM(H198:H202)</f>
        <v>0</v>
      </c>
      <c r="I197" s="2552"/>
    </row>
    <row r="198" spans="1:50" s="135" customFormat="1">
      <c r="A198" s="2559">
        <v>56</v>
      </c>
      <c r="B198" s="2546" t="s">
        <v>224</v>
      </c>
      <c r="C198" s="2547">
        <v>998011002</v>
      </c>
      <c r="D198" s="2547" t="s">
        <v>3703</v>
      </c>
      <c r="E198" s="2547" t="s">
        <v>178</v>
      </c>
      <c r="F198" s="2683">
        <v>426.04399999999998</v>
      </c>
      <c r="G198" s="2560"/>
      <c r="H198" s="2560">
        <f>F198*G198</f>
        <v>0</v>
      </c>
      <c r="I198" s="2549" t="s">
        <v>111</v>
      </c>
    </row>
    <row r="199" spans="1:50" ht="13.5" customHeight="1">
      <c r="A199" s="2596" t="s">
        <v>3704</v>
      </c>
      <c r="B199" s="2546" t="s">
        <v>224</v>
      </c>
      <c r="C199" s="2547" t="s">
        <v>3705</v>
      </c>
      <c r="D199" s="2547" t="s">
        <v>3706</v>
      </c>
      <c r="E199" s="2547" t="s">
        <v>49</v>
      </c>
      <c r="F199" s="2683">
        <f>SUM(F200)</f>
        <v>1</v>
      </c>
      <c r="G199" s="2560"/>
      <c r="H199" s="2560">
        <f>F199*G199</f>
        <v>0</v>
      </c>
      <c r="I199" s="2549" t="s">
        <v>111</v>
      </c>
      <c r="J199" s="2670"/>
      <c r="K199" s="855"/>
      <c r="L199" s="855"/>
      <c r="M199" s="855"/>
      <c r="N199" s="855"/>
      <c r="O199" s="855"/>
      <c r="P199" s="855"/>
      <c r="Q199" s="855"/>
      <c r="R199" s="855"/>
      <c r="S199" s="855"/>
      <c r="T199" s="855"/>
      <c r="U199" s="855"/>
      <c r="V199" s="855"/>
      <c r="W199" s="855"/>
      <c r="X199" s="855"/>
      <c r="Y199" s="855"/>
      <c r="Z199" s="855"/>
      <c r="AA199" s="855"/>
      <c r="AB199" s="855"/>
      <c r="AC199" s="855"/>
      <c r="AD199" s="855"/>
      <c r="AE199" s="855"/>
      <c r="AF199" s="855"/>
      <c r="AG199" s="855"/>
      <c r="AH199" s="855"/>
      <c r="AI199" s="855"/>
      <c r="AJ199" s="855"/>
      <c r="AK199" s="855"/>
      <c r="AL199" s="855"/>
      <c r="AM199" s="855"/>
      <c r="AN199" s="855"/>
      <c r="AO199" s="855"/>
      <c r="AP199" s="855"/>
      <c r="AQ199" s="855"/>
      <c r="AR199" s="855"/>
      <c r="AS199" s="855"/>
      <c r="AT199" s="855"/>
      <c r="AU199" s="855"/>
      <c r="AV199" s="855"/>
      <c r="AW199" s="855"/>
      <c r="AX199" s="855"/>
    </row>
    <row r="200" spans="1:50" ht="175.5" customHeight="1">
      <c r="A200" s="2596"/>
      <c r="B200" s="2546"/>
      <c r="C200" s="2547"/>
      <c r="D200" s="2575" t="s">
        <v>3707</v>
      </c>
      <c r="E200" s="2547"/>
      <c r="F200" s="2697">
        <v>1</v>
      </c>
      <c r="G200" s="2560"/>
      <c r="H200" s="2560"/>
      <c r="I200" s="2597"/>
      <c r="J200" s="2671"/>
      <c r="K200" s="855"/>
      <c r="L200" s="855"/>
      <c r="M200" s="855"/>
      <c r="N200" s="855"/>
      <c r="O200" s="855"/>
      <c r="P200" s="855"/>
      <c r="Q200" s="855"/>
      <c r="R200" s="855"/>
      <c r="S200" s="855"/>
      <c r="T200" s="855"/>
      <c r="U200" s="855"/>
      <c r="V200" s="855"/>
      <c r="W200" s="855"/>
      <c r="X200" s="855"/>
      <c r="Y200" s="855"/>
      <c r="Z200" s="855"/>
      <c r="AA200" s="855"/>
      <c r="AB200" s="855"/>
      <c r="AC200" s="855"/>
      <c r="AD200" s="855"/>
      <c r="AE200" s="855"/>
      <c r="AF200" s="855"/>
      <c r="AG200" s="855"/>
      <c r="AH200" s="855"/>
      <c r="AI200" s="855"/>
      <c r="AJ200" s="855"/>
      <c r="AK200" s="855"/>
      <c r="AL200" s="855"/>
      <c r="AM200" s="855"/>
      <c r="AN200" s="855"/>
      <c r="AO200" s="855"/>
      <c r="AP200" s="855"/>
      <c r="AQ200" s="855"/>
      <c r="AR200" s="855"/>
      <c r="AS200" s="855"/>
      <c r="AT200" s="855"/>
      <c r="AU200" s="855"/>
      <c r="AV200" s="855"/>
      <c r="AW200" s="855"/>
      <c r="AX200" s="855"/>
    </row>
    <row r="201" spans="1:50" s="135" customFormat="1" ht="13.5" customHeight="1">
      <c r="A201" s="2559">
        <v>58</v>
      </c>
      <c r="B201" s="2547" t="s">
        <v>369</v>
      </c>
      <c r="C201" s="2547" t="s">
        <v>2618</v>
      </c>
      <c r="D201" s="2547" t="s">
        <v>2619</v>
      </c>
      <c r="E201" s="2547" t="s">
        <v>69</v>
      </c>
      <c r="F201" s="2683">
        <f>F202</f>
        <v>350</v>
      </c>
      <c r="G201" s="2560"/>
      <c r="H201" s="2560">
        <f>F201*G201</f>
        <v>0</v>
      </c>
      <c r="I201" s="2549" t="s">
        <v>1927</v>
      </c>
    </row>
    <row r="202" spans="1:50" s="135" customFormat="1" ht="27" customHeight="1">
      <c r="A202" s="2559"/>
      <c r="B202" s="2547"/>
      <c r="C202" s="2598"/>
      <c r="D202" s="2551" t="s">
        <v>372</v>
      </c>
      <c r="E202" s="2598"/>
      <c r="F202" s="2697">
        <v>350</v>
      </c>
      <c r="G202" s="2599"/>
      <c r="H202" s="2599"/>
      <c r="I202" s="2600"/>
    </row>
    <row r="203" spans="1:50" s="135" customFormat="1" ht="21" customHeight="1">
      <c r="A203" s="2558"/>
      <c r="B203" s="2523"/>
      <c r="C203" s="2523" t="s">
        <v>373</v>
      </c>
      <c r="D203" s="2523" t="s">
        <v>374</v>
      </c>
      <c r="E203" s="2523"/>
      <c r="F203" s="2682"/>
      <c r="G203" s="2525"/>
      <c r="H203" s="2525">
        <f>SUM(H204,H235,H243,H250,H271,H296,H305,H314)</f>
        <v>0</v>
      </c>
      <c r="I203" s="2552"/>
    </row>
    <row r="204" spans="1:50" s="135" customFormat="1" ht="13.5" customHeight="1">
      <c r="A204" s="2545"/>
      <c r="B204" s="2523"/>
      <c r="C204" s="2523" t="s">
        <v>3708</v>
      </c>
      <c r="D204" s="2523" t="s">
        <v>3709</v>
      </c>
      <c r="E204" s="2523"/>
      <c r="F204" s="2682"/>
      <c r="G204" s="2548"/>
      <c r="H204" s="2525">
        <f>SUM(H228:H234)</f>
        <v>0</v>
      </c>
      <c r="I204" s="2552"/>
    </row>
    <row r="205" spans="1:50" s="227" customFormat="1" ht="27" customHeight="1">
      <c r="A205" s="2601" t="s">
        <v>3710</v>
      </c>
      <c r="B205" s="2602">
        <v>721</v>
      </c>
      <c r="C205" s="2602" t="s">
        <v>2801</v>
      </c>
      <c r="D205" s="2602" t="s">
        <v>3711</v>
      </c>
      <c r="E205" s="2602" t="s">
        <v>142</v>
      </c>
      <c r="F205" s="2603">
        <f>ROUND(SUM(F207),3)</f>
        <v>500</v>
      </c>
      <c r="G205" s="2604"/>
      <c r="H205" s="2402">
        <f t="shared" ref="H205" si="1">ROUND(F205*G205,2)</f>
        <v>0</v>
      </c>
      <c r="I205" s="2605" t="s">
        <v>111</v>
      </c>
      <c r="J205" s="2672"/>
    </row>
    <row r="206" spans="1:50" s="227" customFormat="1" ht="40.5" customHeight="1">
      <c r="A206" s="2601"/>
      <c r="B206" s="2602"/>
      <c r="C206" s="2602"/>
      <c r="D206" s="2606" t="s">
        <v>3712</v>
      </c>
      <c r="E206" s="2602"/>
      <c r="F206" s="2607"/>
      <c r="G206" s="2608"/>
      <c r="H206" s="2604"/>
      <c r="I206" s="2609"/>
      <c r="J206" s="2673"/>
      <c r="K206" s="699"/>
    </row>
    <row r="207" spans="1:50" s="227" customFormat="1" ht="13.5" customHeight="1">
      <c r="A207" s="2601"/>
      <c r="B207" s="2610"/>
      <c r="C207" s="2610"/>
      <c r="D207" s="2606" t="s">
        <v>3713</v>
      </c>
      <c r="E207" s="2610"/>
      <c r="F207" s="2607">
        <v>500</v>
      </c>
      <c r="G207" s="2611"/>
      <c r="H207" s="2604"/>
      <c r="I207" s="2609"/>
      <c r="J207" s="2673"/>
    </row>
    <row r="208" spans="1:50" s="227" customFormat="1" ht="40.5" customHeight="1">
      <c r="A208" s="2601"/>
      <c r="B208" s="2610"/>
      <c r="C208" s="2610"/>
      <c r="D208" s="2606" t="s">
        <v>3714</v>
      </c>
      <c r="E208" s="2610"/>
      <c r="F208" s="2607"/>
      <c r="G208" s="2611"/>
      <c r="H208" s="2604"/>
      <c r="I208" s="2609"/>
      <c r="J208" s="2673"/>
    </row>
    <row r="209" spans="1:17" s="227" customFormat="1" ht="27" customHeight="1">
      <c r="A209" s="2612"/>
      <c r="B209" s="2610"/>
      <c r="C209" s="2610"/>
      <c r="D209" s="2613" t="s">
        <v>3715</v>
      </c>
      <c r="E209" s="2610"/>
      <c r="F209" s="2607"/>
      <c r="G209" s="2611"/>
      <c r="H209" s="2604"/>
      <c r="I209" s="2609"/>
      <c r="J209" s="2674"/>
      <c r="K209" s="699"/>
      <c r="Q209" s="2675"/>
    </row>
    <row r="210" spans="1:17" s="227" customFormat="1" ht="67.5" customHeight="1">
      <c r="A210" s="2601"/>
      <c r="B210" s="2614"/>
      <c r="C210" s="2610"/>
      <c r="D210" s="2570" t="s">
        <v>3637</v>
      </c>
      <c r="E210" s="2615"/>
      <c r="F210" s="2616"/>
      <c r="G210" s="2611"/>
      <c r="H210" s="2604"/>
      <c r="I210" s="2609"/>
      <c r="J210" s="2674"/>
    </row>
    <row r="211" spans="1:17" s="227" customFormat="1" ht="27" customHeight="1">
      <c r="A211" s="2601" t="s">
        <v>3236</v>
      </c>
      <c r="B211" s="2602">
        <v>721</v>
      </c>
      <c r="C211" s="2602" t="s">
        <v>3716</v>
      </c>
      <c r="D211" s="2602" t="s">
        <v>3717</v>
      </c>
      <c r="E211" s="2602" t="s">
        <v>142</v>
      </c>
      <c r="F211" s="2603">
        <f>ROUND(SUM(F213),3)</f>
        <v>550</v>
      </c>
      <c r="G211" s="2604"/>
      <c r="H211" s="2402">
        <f t="shared" ref="H211" si="2">ROUND(F211*G211,2)</f>
        <v>0</v>
      </c>
      <c r="I211" s="2605" t="s">
        <v>111</v>
      </c>
      <c r="J211" s="2672"/>
    </row>
    <row r="212" spans="1:17" s="227" customFormat="1" ht="40.5" customHeight="1">
      <c r="A212" s="2601"/>
      <c r="B212" s="2614"/>
      <c r="C212" s="2610"/>
      <c r="D212" s="2581" t="s">
        <v>3718</v>
      </c>
      <c r="E212" s="2615"/>
      <c r="F212" s="2616"/>
      <c r="G212" s="2611"/>
      <c r="H212" s="2604"/>
      <c r="I212" s="2609"/>
      <c r="J212" s="2673"/>
      <c r="K212" s="699"/>
    </row>
    <row r="213" spans="1:17" s="227" customFormat="1" ht="13.5" customHeight="1">
      <c r="A213" s="2601"/>
      <c r="B213" s="2610"/>
      <c r="C213" s="2610"/>
      <c r="D213" s="2606" t="s">
        <v>3719</v>
      </c>
      <c r="E213" s="2610"/>
      <c r="F213" s="2607">
        <v>550</v>
      </c>
      <c r="G213" s="2611"/>
      <c r="H213" s="2604"/>
      <c r="I213" s="2609"/>
      <c r="J213" s="2673"/>
    </row>
    <row r="214" spans="1:17" s="227" customFormat="1" ht="40.5" customHeight="1">
      <c r="A214" s="2601"/>
      <c r="B214" s="2610"/>
      <c r="C214" s="2610"/>
      <c r="D214" s="2606" t="s">
        <v>3714</v>
      </c>
      <c r="E214" s="2610"/>
      <c r="F214" s="2607"/>
      <c r="G214" s="2611"/>
      <c r="H214" s="2604"/>
      <c r="I214" s="2609"/>
      <c r="J214" s="2674"/>
      <c r="K214" s="699"/>
      <c r="Q214" s="2675"/>
    </row>
    <row r="215" spans="1:17" s="227" customFormat="1" ht="27" customHeight="1">
      <c r="A215" s="2612"/>
      <c r="B215" s="2610"/>
      <c r="C215" s="2610"/>
      <c r="D215" s="2613" t="s">
        <v>3715</v>
      </c>
      <c r="E215" s="2610"/>
      <c r="F215" s="2607"/>
      <c r="G215" s="2611"/>
      <c r="H215" s="2604"/>
      <c r="I215" s="2609"/>
      <c r="K215" s="699"/>
    </row>
    <row r="216" spans="1:17" s="227" customFormat="1" ht="67.5" customHeight="1">
      <c r="A216" s="2601"/>
      <c r="B216" s="2614"/>
      <c r="C216" s="2610"/>
      <c r="D216" s="2570" t="s">
        <v>3637</v>
      </c>
      <c r="E216" s="2615"/>
      <c r="F216" s="2616"/>
      <c r="G216" s="2611"/>
      <c r="H216" s="2604"/>
      <c r="I216" s="2609"/>
      <c r="J216" s="2674"/>
    </row>
    <row r="217" spans="1:17" s="227" customFormat="1" ht="27" customHeight="1">
      <c r="A217" s="2601" t="s">
        <v>3237</v>
      </c>
      <c r="B217" s="2602">
        <v>721</v>
      </c>
      <c r="C217" s="2602" t="s">
        <v>3720</v>
      </c>
      <c r="D217" s="2602" t="s">
        <v>3721</v>
      </c>
      <c r="E217" s="2602" t="s">
        <v>142</v>
      </c>
      <c r="F217" s="2603">
        <f>ROUND(SUM(F219),3)</f>
        <v>40</v>
      </c>
      <c r="G217" s="2604"/>
      <c r="H217" s="2402">
        <f t="shared" ref="H217" si="3">ROUND(F217*G217,2)</f>
        <v>0</v>
      </c>
      <c r="I217" s="2605" t="s">
        <v>111</v>
      </c>
      <c r="J217" s="2672"/>
    </row>
    <row r="218" spans="1:17" s="227" customFormat="1" ht="40.5" customHeight="1">
      <c r="A218" s="2601"/>
      <c r="B218" s="2614"/>
      <c r="C218" s="2610"/>
      <c r="D218" s="2581" t="s">
        <v>3722</v>
      </c>
      <c r="E218" s="2615"/>
      <c r="F218" s="2616"/>
      <c r="G218" s="2611"/>
      <c r="H218" s="2604"/>
      <c r="I218" s="2609"/>
      <c r="J218" s="2673"/>
      <c r="K218" s="699"/>
    </row>
    <row r="219" spans="1:17" s="227" customFormat="1" ht="13.5" customHeight="1">
      <c r="A219" s="2601"/>
      <c r="B219" s="2610"/>
      <c r="C219" s="2610"/>
      <c r="D219" s="2606" t="s">
        <v>3723</v>
      </c>
      <c r="E219" s="2610"/>
      <c r="F219" s="2607">
        <v>40</v>
      </c>
      <c r="G219" s="2611"/>
      <c r="H219" s="2604"/>
      <c r="I219" s="2609"/>
      <c r="J219" s="2673"/>
    </row>
    <row r="220" spans="1:17" s="227" customFormat="1" ht="40.5" customHeight="1">
      <c r="A220" s="2601"/>
      <c r="B220" s="2610"/>
      <c r="C220" s="2610"/>
      <c r="D220" s="2606" t="s">
        <v>3714</v>
      </c>
      <c r="E220" s="2610"/>
      <c r="F220" s="2607"/>
      <c r="G220" s="2611"/>
      <c r="H220" s="2604"/>
      <c r="I220" s="2609"/>
      <c r="J220" s="2674"/>
    </row>
    <row r="221" spans="1:17" s="227" customFormat="1" ht="27" customHeight="1">
      <c r="A221" s="2612"/>
      <c r="B221" s="2610"/>
      <c r="C221" s="2610"/>
      <c r="D221" s="2613" t="s">
        <v>3715</v>
      </c>
      <c r="E221" s="2610"/>
      <c r="F221" s="2607"/>
      <c r="G221" s="2611"/>
      <c r="H221" s="2604"/>
      <c r="I221" s="2609"/>
      <c r="J221" s="2674"/>
      <c r="K221" s="699"/>
    </row>
    <row r="222" spans="1:17" s="227" customFormat="1" ht="67.5" customHeight="1">
      <c r="A222" s="2601"/>
      <c r="B222" s="2614"/>
      <c r="C222" s="2610"/>
      <c r="D222" s="2570" t="s">
        <v>3637</v>
      </c>
      <c r="E222" s="2615"/>
      <c r="F222" s="2616"/>
      <c r="G222" s="2611"/>
      <c r="H222" s="2604"/>
      <c r="I222" s="2609"/>
      <c r="J222" s="2673"/>
    </row>
    <row r="223" spans="1:17" s="227" customFormat="1" ht="13.5" customHeight="1">
      <c r="A223" s="2601" t="s">
        <v>3724</v>
      </c>
      <c r="B223" s="2602">
        <v>721</v>
      </c>
      <c r="C223" s="2602" t="s">
        <v>3725</v>
      </c>
      <c r="D223" s="2602" t="s">
        <v>3726</v>
      </c>
      <c r="E223" s="2602" t="s">
        <v>210</v>
      </c>
      <c r="F223" s="2603">
        <f>ROUND(SUM(F225),3)</f>
        <v>70</v>
      </c>
      <c r="G223" s="2604"/>
      <c r="H223" s="2402">
        <f t="shared" ref="H223" si="4">ROUND(F223*G223,2)</f>
        <v>0</v>
      </c>
      <c r="I223" s="2605" t="s">
        <v>111</v>
      </c>
      <c r="J223" s="2672"/>
    </row>
    <row r="224" spans="1:17" s="227" customFormat="1" ht="40.5" customHeight="1">
      <c r="A224" s="2601"/>
      <c r="B224" s="2602"/>
      <c r="C224" s="2602"/>
      <c r="D224" s="2606" t="s">
        <v>3727</v>
      </c>
      <c r="E224" s="2602"/>
      <c r="F224" s="2607"/>
      <c r="G224" s="2608"/>
      <c r="H224" s="2604"/>
      <c r="I224" s="2609"/>
      <c r="J224" s="2673"/>
    </row>
    <row r="225" spans="1:11" s="227" customFormat="1" ht="13.5" customHeight="1">
      <c r="A225" s="2601"/>
      <c r="B225" s="2610"/>
      <c r="C225" s="2610"/>
      <c r="D225" s="2606" t="s">
        <v>3728</v>
      </c>
      <c r="E225" s="2610"/>
      <c r="F225" s="2607">
        <v>70</v>
      </c>
      <c r="G225" s="2611"/>
      <c r="H225" s="2604"/>
      <c r="I225" s="2609"/>
      <c r="J225" s="2673"/>
    </row>
    <row r="226" spans="1:11" s="227" customFormat="1" ht="27" customHeight="1">
      <c r="A226" s="2612"/>
      <c r="B226" s="2610"/>
      <c r="C226" s="2610"/>
      <c r="D226" s="2613" t="s">
        <v>3715</v>
      </c>
      <c r="E226" s="2610"/>
      <c r="F226" s="2607"/>
      <c r="G226" s="2611"/>
      <c r="H226" s="2604"/>
      <c r="I226" s="2609"/>
      <c r="J226" s="2674"/>
      <c r="K226" s="699"/>
    </row>
    <row r="227" spans="1:11" s="227" customFormat="1" ht="67.5" customHeight="1">
      <c r="A227" s="2601"/>
      <c r="B227" s="2614"/>
      <c r="C227" s="2610"/>
      <c r="D227" s="2570" t="s">
        <v>3637</v>
      </c>
      <c r="E227" s="2615"/>
      <c r="F227" s="2616"/>
      <c r="G227" s="2611"/>
      <c r="H227" s="2604"/>
      <c r="I227" s="2609"/>
      <c r="J227" s="2673"/>
    </row>
    <row r="228" spans="1:11" s="135" customFormat="1" ht="13.5" customHeight="1">
      <c r="A228" s="2545">
        <v>63</v>
      </c>
      <c r="B228" s="2547">
        <v>721</v>
      </c>
      <c r="C228" s="2547" t="s">
        <v>3716</v>
      </c>
      <c r="D228" s="2547" t="s">
        <v>3729</v>
      </c>
      <c r="E228" s="2547" t="s">
        <v>49</v>
      </c>
      <c r="F228" s="2683">
        <f>F230</f>
        <v>2</v>
      </c>
      <c r="G228" s="2548"/>
      <c r="H228" s="2548">
        <f>F228*G228</f>
        <v>0</v>
      </c>
      <c r="I228" s="2605" t="s">
        <v>111</v>
      </c>
    </row>
    <row r="229" spans="1:11" s="135" customFormat="1" ht="27" customHeight="1">
      <c r="A229" s="2545"/>
      <c r="B229" s="2547"/>
      <c r="C229" s="2547"/>
      <c r="D229" s="2551" t="s">
        <v>3730</v>
      </c>
      <c r="E229" s="2547"/>
      <c r="F229" s="2684"/>
      <c r="G229" s="2548"/>
      <c r="H229" s="2548"/>
      <c r="I229" s="2552"/>
    </row>
    <row r="230" spans="1:11" s="135" customFormat="1" ht="13.5" customHeight="1">
      <c r="A230" s="2545"/>
      <c r="B230" s="2550"/>
      <c r="C230" s="2550"/>
      <c r="D230" s="2606" t="s">
        <v>3731</v>
      </c>
      <c r="E230" s="2550"/>
      <c r="F230" s="2684">
        <v>2</v>
      </c>
      <c r="G230" s="2548"/>
      <c r="H230" s="2548"/>
      <c r="I230" s="2552"/>
    </row>
    <row r="231" spans="1:11" s="135" customFormat="1" ht="51.75" customHeight="1">
      <c r="A231" s="2545"/>
      <c r="B231" s="2573"/>
      <c r="C231" s="2550"/>
      <c r="D231" s="2581" t="s">
        <v>3671</v>
      </c>
      <c r="E231" s="2551"/>
      <c r="F231" s="2698"/>
      <c r="G231" s="2548"/>
      <c r="H231" s="2548"/>
      <c r="I231" s="2552"/>
    </row>
    <row r="232" spans="1:11" s="135" customFormat="1" ht="13.5" customHeight="1">
      <c r="A232" s="2545">
        <v>64</v>
      </c>
      <c r="B232" s="2547" t="s">
        <v>369</v>
      </c>
      <c r="C232" s="2547" t="s">
        <v>2073</v>
      </c>
      <c r="D232" s="2547" t="s">
        <v>2074</v>
      </c>
      <c r="E232" s="2547" t="s">
        <v>69</v>
      </c>
      <c r="F232" s="2683">
        <f>F233</f>
        <v>10</v>
      </c>
      <c r="G232" s="2548"/>
      <c r="H232" s="2548">
        <f>F232*G232</f>
        <v>0</v>
      </c>
      <c r="I232" s="2605" t="s">
        <v>1927</v>
      </c>
    </row>
    <row r="233" spans="1:11" s="135" customFormat="1" ht="13.5" customHeight="1">
      <c r="A233" s="2545"/>
      <c r="B233" s="2550"/>
      <c r="C233" s="2550"/>
      <c r="D233" s="2551" t="s">
        <v>3732</v>
      </c>
      <c r="E233" s="2550"/>
      <c r="F233" s="2684">
        <v>10</v>
      </c>
      <c r="G233" s="2548"/>
      <c r="H233" s="2548"/>
      <c r="I233" s="2552"/>
    </row>
    <row r="234" spans="1:11" s="135" customFormat="1" ht="13.5" customHeight="1">
      <c r="A234" s="2545"/>
      <c r="B234" s="2550"/>
      <c r="C234" s="2550"/>
      <c r="D234" s="2551" t="s">
        <v>3733</v>
      </c>
      <c r="E234" s="2550"/>
      <c r="F234" s="2684"/>
      <c r="G234" s="2617"/>
      <c r="H234" s="2618"/>
      <c r="I234" s="2552"/>
    </row>
    <row r="235" spans="1:11" s="135" customFormat="1" ht="13.5" customHeight="1">
      <c r="A235" s="2522"/>
      <c r="B235" s="2523"/>
      <c r="C235" s="2523">
        <v>723</v>
      </c>
      <c r="D235" s="2523" t="s">
        <v>3734</v>
      </c>
      <c r="E235" s="2523"/>
      <c r="F235" s="2682"/>
      <c r="G235" s="2560"/>
      <c r="H235" s="2544">
        <f>SUM(H236:H242)</f>
        <v>0</v>
      </c>
      <c r="I235" s="2552"/>
      <c r="J235" s="325"/>
      <c r="K235" s="325"/>
    </row>
    <row r="236" spans="1:11" s="135" customFormat="1" ht="13.5" customHeight="1">
      <c r="A236" s="2559">
        <v>65</v>
      </c>
      <c r="B236" s="2547">
        <v>721</v>
      </c>
      <c r="C236" s="2547" t="s">
        <v>3735</v>
      </c>
      <c r="D236" s="2547" t="s">
        <v>3736</v>
      </c>
      <c r="E236" s="2547" t="s">
        <v>142</v>
      </c>
      <c r="F236" s="2683">
        <f>F238</f>
        <v>25</v>
      </c>
      <c r="G236" s="2560"/>
      <c r="H236" s="2560">
        <f>F236*G236</f>
        <v>0</v>
      </c>
      <c r="I236" s="2605" t="s">
        <v>111</v>
      </c>
      <c r="J236" s="325"/>
      <c r="K236" s="325"/>
    </row>
    <row r="237" spans="1:11" s="135" customFormat="1" ht="40.5" customHeight="1">
      <c r="A237" s="2559"/>
      <c r="B237" s="2547"/>
      <c r="C237" s="2547"/>
      <c r="D237" s="2551" t="s">
        <v>3737</v>
      </c>
      <c r="E237" s="2547"/>
      <c r="F237" s="2699"/>
      <c r="G237" s="2560"/>
      <c r="H237" s="2560"/>
      <c r="I237" s="2552"/>
      <c r="J237" s="325"/>
      <c r="K237" s="325"/>
    </row>
    <row r="238" spans="1:11" s="135" customFormat="1" ht="13.5" customHeight="1">
      <c r="A238" s="2545"/>
      <c r="B238" s="2550"/>
      <c r="C238" s="2550"/>
      <c r="D238" s="2606" t="s">
        <v>3738</v>
      </c>
      <c r="E238" s="2550"/>
      <c r="F238" s="2684">
        <v>25</v>
      </c>
      <c r="G238" s="2548"/>
      <c r="H238" s="2548"/>
      <c r="I238" s="2552"/>
    </row>
    <row r="239" spans="1:11" s="135" customFormat="1" ht="69" customHeight="1">
      <c r="A239" s="2559"/>
      <c r="B239" s="2547"/>
      <c r="C239" s="2547"/>
      <c r="D239" s="2570" t="s">
        <v>3637</v>
      </c>
      <c r="E239" s="2547"/>
      <c r="F239" s="2684"/>
      <c r="G239" s="2560"/>
      <c r="H239" s="2560"/>
      <c r="I239" s="2552"/>
      <c r="J239" s="325"/>
      <c r="K239" s="325"/>
    </row>
    <row r="240" spans="1:11" s="135" customFormat="1" ht="13.5" customHeight="1">
      <c r="A240" s="2545">
        <v>66</v>
      </c>
      <c r="B240" s="2547" t="s">
        <v>369</v>
      </c>
      <c r="C240" s="2547" t="s">
        <v>2073</v>
      </c>
      <c r="D240" s="2547" t="s">
        <v>2074</v>
      </c>
      <c r="E240" s="2547" t="s">
        <v>69</v>
      </c>
      <c r="F240" s="2683">
        <f>F241</f>
        <v>3</v>
      </c>
      <c r="G240" s="2548"/>
      <c r="H240" s="2548">
        <f>F240*G240</f>
        <v>0</v>
      </c>
      <c r="I240" s="2605" t="s">
        <v>111</v>
      </c>
    </row>
    <row r="241" spans="1:17" s="135" customFormat="1" ht="13.5" customHeight="1">
      <c r="A241" s="2545"/>
      <c r="B241" s="2550"/>
      <c r="C241" s="2550"/>
      <c r="D241" s="2551" t="s">
        <v>3739</v>
      </c>
      <c r="E241" s="2550"/>
      <c r="F241" s="2684">
        <v>3</v>
      </c>
      <c r="G241" s="2548"/>
      <c r="H241" s="2548"/>
      <c r="I241" s="2552"/>
    </row>
    <row r="242" spans="1:17" s="135" customFormat="1" ht="13.5" customHeight="1">
      <c r="A242" s="2545"/>
      <c r="B242" s="2550"/>
      <c r="C242" s="2550"/>
      <c r="D242" s="2551" t="s">
        <v>3740</v>
      </c>
      <c r="E242" s="2550"/>
      <c r="F242" s="2684"/>
      <c r="G242" s="2617"/>
      <c r="H242" s="2618"/>
      <c r="I242" s="2552"/>
    </row>
    <row r="243" spans="1:17" s="135" customFormat="1" ht="13.5" customHeight="1">
      <c r="A243" s="2558"/>
      <c r="B243" s="2523"/>
      <c r="C243" s="2523" t="s">
        <v>3741</v>
      </c>
      <c r="D243" s="2523" t="s">
        <v>3742</v>
      </c>
      <c r="E243" s="2523"/>
      <c r="F243" s="2682"/>
      <c r="G243" s="2525"/>
      <c r="H243" s="2525">
        <f>SUM(H244:H249)</f>
        <v>0</v>
      </c>
      <c r="I243" s="2552"/>
    </row>
    <row r="244" spans="1:17" s="135" customFormat="1" ht="13.5" customHeight="1">
      <c r="A244" s="2545">
        <v>67</v>
      </c>
      <c r="B244" s="2546" t="s">
        <v>3741</v>
      </c>
      <c r="C244" s="2547" t="s">
        <v>3743</v>
      </c>
      <c r="D244" s="2547" t="s">
        <v>3744</v>
      </c>
      <c r="E244" s="2547" t="s">
        <v>49</v>
      </c>
      <c r="F244" s="2683">
        <f>SUM(F245:F245)</f>
        <v>1</v>
      </c>
      <c r="G244" s="2548"/>
      <c r="H244" s="2548">
        <f>F244*G244</f>
        <v>0</v>
      </c>
      <c r="I244" s="2605" t="s">
        <v>111</v>
      </c>
    </row>
    <row r="245" spans="1:17" s="135" customFormat="1" ht="13.5" customHeight="1">
      <c r="A245" s="2545"/>
      <c r="B245" s="2547"/>
      <c r="C245" s="2547"/>
      <c r="D245" s="2551" t="s">
        <v>3745</v>
      </c>
      <c r="E245" s="2547"/>
      <c r="F245" s="2684">
        <v>1</v>
      </c>
      <c r="G245" s="2548"/>
      <c r="H245" s="2548"/>
      <c r="I245" s="2549"/>
    </row>
    <row r="246" spans="1:17" s="135" customFormat="1" ht="50.25" customHeight="1">
      <c r="A246" s="2545"/>
      <c r="B246" s="2573"/>
      <c r="C246" s="2550"/>
      <c r="D246" s="2581" t="s">
        <v>3671</v>
      </c>
      <c r="E246" s="2551"/>
      <c r="F246" s="2698"/>
      <c r="G246" s="2548"/>
      <c r="H246" s="2548"/>
      <c r="I246" s="2552"/>
    </row>
    <row r="247" spans="1:17" s="135" customFormat="1" ht="13.5" customHeight="1">
      <c r="A247" s="2545">
        <v>68</v>
      </c>
      <c r="B247" s="2546" t="s">
        <v>369</v>
      </c>
      <c r="C247" s="2547" t="s">
        <v>856</v>
      </c>
      <c r="D247" s="2547" t="s">
        <v>857</v>
      </c>
      <c r="E247" s="2547" t="s">
        <v>69</v>
      </c>
      <c r="F247" s="2683">
        <f>F248</f>
        <v>5</v>
      </c>
      <c r="G247" s="2548"/>
      <c r="H247" s="2548">
        <f>F247*G247</f>
        <v>0</v>
      </c>
      <c r="I247" s="2605" t="s">
        <v>1927</v>
      </c>
    </row>
    <row r="248" spans="1:17" s="135" customFormat="1" ht="13.5" customHeight="1">
      <c r="A248" s="2582"/>
      <c r="B248" s="2550"/>
      <c r="C248" s="2550"/>
      <c r="D248" s="2551" t="s">
        <v>3746</v>
      </c>
      <c r="E248" s="2550"/>
      <c r="F248" s="2684">
        <v>5</v>
      </c>
      <c r="G248" s="2619"/>
      <c r="H248" s="2548"/>
      <c r="I248" s="2552"/>
    </row>
    <row r="249" spans="1:17" s="135" customFormat="1" ht="13.5" customHeight="1">
      <c r="A249" s="2582"/>
      <c r="B249" s="2550"/>
      <c r="C249" s="2550"/>
      <c r="D249" s="2551" t="s">
        <v>398</v>
      </c>
      <c r="E249" s="2550"/>
      <c r="F249" s="2684"/>
      <c r="G249" s="2619"/>
      <c r="H249" s="2548"/>
      <c r="I249" s="2552"/>
    </row>
    <row r="250" spans="1:17" s="135" customFormat="1" ht="13.5" customHeight="1">
      <c r="A250" s="2522"/>
      <c r="B250" s="2523"/>
      <c r="C250" s="2523" t="s">
        <v>3747</v>
      </c>
      <c r="D250" s="2523" t="s">
        <v>3748</v>
      </c>
      <c r="E250" s="2523"/>
      <c r="F250" s="2682"/>
      <c r="G250" s="2544"/>
      <c r="H250" s="2525">
        <f>SUM(H251:H270)</f>
        <v>0</v>
      </c>
      <c r="I250" s="2552"/>
    </row>
    <row r="251" spans="1:17" s="227" customFormat="1" ht="27" customHeight="1">
      <c r="A251" s="2601" t="s">
        <v>3258</v>
      </c>
      <c r="B251" s="2602">
        <v>731</v>
      </c>
      <c r="C251" s="2602" t="s">
        <v>2205</v>
      </c>
      <c r="D251" s="2602" t="s">
        <v>3749</v>
      </c>
      <c r="E251" s="2602" t="s">
        <v>142</v>
      </c>
      <c r="F251" s="2603">
        <f>ROUND(SUM(F253),3)</f>
        <v>820</v>
      </c>
      <c r="G251" s="2604"/>
      <c r="H251" s="2402">
        <f t="shared" ref="H251" si="5">ROUND(F251*G251,2)</f>
        <v>0</v>
      </c>
      <c r="I251" s="2605" t="s">
        <v>111</v>
      </c>
      <c r="J251" s="2672"/>
    </row>
    <row r="252" spans="1:17" s="227" customFormat="1" ht="40.5" customHeight="1">
      <c r="A252" s="2601"/>
      <c r="B252" s="2602"/>
      <c r="C252" s="2602"/>
      <c r="D252" s="2606" t="s">
        <v>3750</v>
      </c>
      <c r="E252" s="2602"/>
      <c r="F252" s="2607"/>
      <c r="G252" s="2608"/>
      <c r="H252" s="2604"/>
      <c r="I252" s="2609"/>
      <c r="J252" s="2673"/>
    </row>
    <row r="253" spans="1:17" s="227" customFormat="1" ht="13.5" customHeight="1">
      <c r="A253" s="2601"/>
      <c r="B253" s="2610"/>
      <c r="C253" s="2610"/>
      <c r="D253" s="2606" t="s">
        <v>3751</v>
      </c>
      <c r="E253" s="2610"/>
      <c r="F253" s="2607">
        <v>820</v>
      </c>
      <c r="G253" s="2611"/>
      <c r="H253" s="2604"/>
      <c r="I253" s="2609"/>
      <c r="J253" s="2673"/>
    </row>
    <row r="254" spans="1:17" s="227" customFormat="1" ht="40.5" customHeight="1">
      <c r="A254" s="2601"/>
      <c r="B254" s="2610"/>
      <c r="C254" s="2610"/>
      <c r="D254" s="2606" t="s">
        <v>3714</v>
      </c>
      <c r="E254" s="2610"/>
      <c r="F254" s="2607"/>
      <c r="G254" s="2611"/>
      <c r="H254" s="2604"/>
      <c r="I254" s="2609"/>
      <c r="J254" s="2673"/>
    </row>
    <row r="255" spans="1:17" s="227" customFormat="1" ht="27" customHeight="1">
      <c r="A255" s="2612"/>
      <c r="B255" s="2610"/>
      <c r="C255" s="2610"/>
      <c r="D255" s="2613" t="s">
        <v>3715</v>
      </c>
      <c r="E255" s="2610"/>
      <c r="F255" s="2607"/>
      <c r="G255" s="2611"/>
      <c r="H255" s="2604"/>
      <c r="I255" s="2609"/>
      <c r="J255" s="2673"/>
      <c r="K255" s="699"/>
      <c r="L255" s="699"/>
      <c r="M255" s="699"/>
      <c r="N255" s="699"/>
      <c r="O255" s="699"/>
      <c r="P255" s="699"/>
      <c r="Q255" s="699"/>
    </row>
    <row r="256" spans="1:17" s="227" customFormat="1" ht="67.5" customHeight="1">
      <c r="A256" s="2601"/>
      <c r="B256" s="2614"/>
      <c r="C256" s="2610"/>
      <c r="D256" s="2570" t="s">
        <v>317</v>
      </c>
      <c r="E256" s="2615"/>
      <c r="F256" s="2616"/>
      <c r="G256" s="2611"/>
      <c r="H256" s="2604"/>
      <c r="I256" s="2609"/>
      <c r="J256" s="2673"/>
    </row>
    <row r="257" spans="1:12" s="227" customFormat="1" ht="13.5" customHeight="1">
      <c r="A257" s="2601" t="s">
        <v>3752</v>
      </c>
      <c r="B257" s="2602">
        <v>731</v>
      </c>
      <c r="C257" s="2602" t="s">
        <v>2210</v>
      </c>
      <c r="D257" s="2602" t="s">
        <v>3753</v>
      </c>
      <c r="E257" s="2602" t="s">
        <v>210</v>
      </c>
      <c r="F257" s="2603">
        <f>ROUND(SUM(F259),3)</f>
        <v>70</v>
      </c>
      <c r="G257" s="2604"/>
      <c r="H257" s="2402">
        <f t="shared" ref="H257" si="6">ROUND(F257*G257,2)</f>
        <v>0</v>
      </c>
      <c r="I257" s="2605" t="s">
        <v>111</v>
      </c>
      <c r="J257" s="2672"/>
    </row>
    <row r="258" spans="1:12" s="227" customFormat="1" ht="27" customHeight="1">
      <c r="A258" s="2601"/>
      <c r="B258" s="2602"/>
      <c r="C258" s="2602"/>
      <c r="D258" s="2606" t="s">
        <v>3754</v>
      </c>
      <c r="E258" s="2602"/>
      <c r="F258" s="2607"/>
      <c r="G258" s="2608"/>
      <c r="H258" s="2604"/>
      <c r="I258" s="2609"/>
      <c r="J258" s="2673"/>
      <c r="K258" s="699"/>
    </row>
    <row r="259" spans="1:12" s="227" customFormat="1" ht="13.5" customHeight="1">
      <c r="A259" s="2601"/>
      <c r="B259" s="2610"/>
      <c r="C259" s="2610"/>
      <c r="D259" s="2606" t="s">
        <v>3728</v>
      </c>
      <c r="E259" s="2610"/>
      <c r="F259" s="2607">
        <v>70</v>
      </c>
      <c r="G259" s="2611"/>
      <c r="H259" s="2604"/>
      <c r="I259" s="2609"/>
      <c r="J259" s="2673"/>
    </row>
    <row r="260" spans="1:12" s="227" customFormat="1" ht="27" customHeight="1">
      <c r="A260" s="2601"/>
      <c r="B260" s="2610"/>
      <c r="C260" s="2610"/>
      <c r="D260" s="2606" t="s">
        <v>3755</v>
      </c>
      <c r="E260" s="2610"/>
      <c r="F260" s="2607"/>
      <c r="G260" s="2611"/>
      <c r="H260" s="2604"/>
      <c r="I260" s="2609"/>
      <c r="J260" s="2673"/>
    </row>
    <row r="261" spans="1:12" s="227" customFormat="1" ht="27" customHeight="1">
      <c r="A261" s="2612"/>
      <c r="B261" s="2610"/>
      <c r="C261" s="2610"/>
      <c r="D261" s="2613" t="s">
        <v>3715</v>
      </c>
      <c r="E261" s="2610"/>
      <c r="F261" s="2607"/>
      <c r="G261" s="2611"/>
      <c r="H261" s="2604"/>
      <c r="I261" s="2609"/>
      <c r="J261" s="2674"/>
      <c r="K261" s="699"/>
    </row>
    <row r="262" spans="1:12" s="227" customFormat="1" ht="67.5" customHeight="1">
      <c r="A262" s="2601"/>
      <c r="B262" s="2614"/>
      <c r="C262" s="2610"/>
      <c r="D262" s="2570" t="s">
        <v>317</v>
      </c>
      <c r="E262" s="2615"/>
      <c r="F262" s="2616"/>
      <c r="G262" s="2611"/>
      <c r="H262" s="2604"/>
      <c r="I262" s="2609"/>
      <c r="J262" s="2673"/>
    </row>
    <row r="263" spans="1:12" s="227" customFormat="1" ht="13.5" customHeight="1">
      <c r="A263" s="2601" t="s">
        <v>3756</v>
      </c>
      <c r="B263" s="2602">
        <v>731</v>
      </c>
      <c r="C263" s="2602" t="s">
        <v>2212</v>
      </c>
      <c r="D263" s="2602" t="s">
        <v>3757</v>
      </c>
      <c r="E263" s="2602" t="s">
        <v>210</v>
      </c>
      <c r="F263" s="2603">
        <f>ROUND(SUM(F265),3)</f>
        <v>150</v>
      </c>
      <c r="G263" s="2604"/>
      <c r="H263" s="2402">
        <f t="shared" ref="H263" si="7">ROUND(F263*G263,2)</f>
        <v>0</v>
      </c>
      <c r="I263" s="2605" t="s">
        <v>111</v>
      </c>
      <c r="J263" s="2672"/>
    </row>
    <row r="264" spans="1:12" s="227" customFormat="1" ht="54" customHeight="1">
      <c r="A264" s="2601"/>
      <c r="B264" s="2614"/>
      <c r="C264" s="2610"/>
      <c r="D264" s="2570" t="s">
        <v>3758</v>
      </c>
      <c r="E264" s="2615"/>
      <c r="F264" s="2616"/>
      <c r="G264" s="2611"/>
      <c r="H264" s="2604"/>
      <c r="I264" s="2609"/>
      <c r="J264" s="2673"/>
      <c r="K264" s="699"/>
    </row>
    <row r="265" spans="1:12" s="227" customFormat="1" ht="13.5" customHeight="1">
      <c r="A265" s="2601"/>
      <c r="B265" s="2610"/>
      <c r="C265" s="2610"/>
      <c r="D265" s="2606" t="s">
        <v>3759</v>
      </c>
      <c r="E265" s="2610"/>
      <c r="F265" s="2607">
        <v>150</v>
      </c>
      <c r="G265" s="2611"/>
      <c r="H265" s="2604"/>
      <c r="I265" s="2609"/>
      <c r="J265" s="2673"/>
    </row>
    <row r="266" spans="1:12" s="227" customFormat="1" ht="27" customHeight="1">
      <c r="A266" s="2612"/>
      <c r="B266" s="2610"/>
      <c r="C266" s="2610"/>
      <c r="D266" s="2613" t="s">
        <v>3715</v>
      </c>
      <c r="E266" s="2610"/>
      <c r="F266" s="2607"/>
      <c r="G266" s="2611"/>
      <c r="H266" s="2604"/>
      <c r="I266" s="2609"/>
      <c r="J266" s="2674"/>
      <c r="K266" s="699"/>
    </row>
    <row r="267" spans="1:12" s="227" customFormat="1" ht="67.5" customHeight="1">
      <c r="A267" s="2601"/>
      <c r="B267" s="2614"/>
      <c r="C267" s="2610"/>
      <c r="D267" s="2570" t="s">
        <v>317</v>
      </c>
      <c r="E267" s="2615"/>
      <c r="F267" s="2616"/>
      <c r="G267" s="2611"/>
      <c r="H267" s="2604"/>
      <c r="I267" s="2609"/>
      <c r="J267" s="2673"/>
    </row>
    <row r="268" spans="1:12" s="135" customFormat="1" ht="13.5" customHeight="1">
      <c r="A268" s="2545">
        <v>72</v>
      </c>
      <c r="B268" s="2547" t="s">
        <v>369</v>
      </c>
      <c r="C268" s="2547" t="s">
        <v>2073</v>
      </c>
      <c r="D268" s="2547" t="s">
        <v>2074</v>
      </c>
      <c r="E268" s="2547" t="s">
        <v>69</v>
      </c>
      <c r="F268" s="2683">
        <f>F269</f>
        <v>10</v>
      </c>
      <c r="G268" s="2548"/>
      <c r="H268" s="2548">
        <f>F268*G268</f>
        <v>0</v>
      </c>
      <c r="I268" s="2605" t="s">
        <v>1927</v>
      </c>
    </row>
    <row r="269" spans="1:12" s="135" customFormat="1" ht="13.5" customHeight="1">
      <c r="A269" s="2545"/>
      <c r="B269" s="2550"/>
      <c r="C269" s="2550"/>
      <c r="D269" s="2551" t="s">
        <v>3760</v>
      </c>
      <c r="E269" s="2550"/>
      <c r="F269" s="2684">
        <v>10</v>
      </c>
      <c r="G269" s="2548"/>
      <c r="H269" s="2548"/>
      <c r="I269" s="2552"/>
    </row>
    <row r="270" spans="1:12" s="135" customFormat="1" ht="13.5" customHeight="1">
      <c r="A270" s="2545"/>
      <c r="B270" s="2550"/>
      <c r="C270" s="2550"/>
      <c r="D270" s="2551" t="s">
        <v>3733</v>
      </c>
      <c r="E270" s="2550"/>
      <c r="F270" s="2684"/>
      <c r="G270" s="2548"/>
      <c r="H270" s="2548"/>
      <c r="I270" s="2552"/>
    </row>
    <row r="271" spans="1:12" s="286" customFormat="1" ht="13.5" customHeight="1">
      <c r="A271" s="2545"/>
      <c r="B271" s="2547"/>
      <c r="C271" s="2523">
        <v>741</v>
      </c>
      <c r="D271" s="2523" t="s">
        <v>3761</v>
      </c>
      <c r="E271" s="2523"/>
      <c r="F271" s="2682"/>
      <c r="G271" s="2548"/>
      <c r="H271" s="2525">
        <f>SUM(H272:H295)</f>
        <v>0</v>
      </c>
      <c r="I271" s="2552"/>
    </row>
    <row r="272" spans="1:12" s="670" customFormat="1" ht="26.25" customHeight="1">
      <c r="A272" s="2601" t="s">
        <v>3762</v>
      </c>
      <c r="B272" s="2620" t="s">
        <v>3763</v>
      </c>
      <c r="C272" s="2621" t="s">
        <v>1926</v>
      </c>
      <c r="D272" s="2602" t="s">
        <v>3764</v>
      </c>
      <c r="E272" s="2602" t="s">
        <v>210</v>
      </c>
      <c r="F272" s="2603">
        <f>ROUND(SUM(F274),3)</f>
        <v>180</v>
      </c>
      <c r="G272" s="2604"/>
      <c r="H272" s="2402">
        <f t="shared" ref="H272" si="8">ROUND(F272*G272,2)</f>
        <v>0</v>
      </c>
      <c r="I272" s="2605" t="s">
        <v>111</v>
      </c>
      <c r="J272" s="2676"/>
      <c r="L272" s="227"/>
    </row>
    <row r="273" spans="1:20" s="227" customFormat="1" ht="27" customHeight="1">
      <c r="A273" s="2601"/>
      <c r="B273" s="2602"/>
      <c r="C273" s="2602"/>
      <c r="D273" s="2606" t="s">
        <v>3765</v>
      </c>
      <c r="E273" s="2602"/>
      <c r="F273" s="2607"/>
      <c r="G273" s="2608"/>
      <c r="H273" s="2604"/>
      <c r="I273" s="2609"/>
      <c r="J273" s="2676"/>
    </row>
    <row r="274" spans="1:20" s="227" customFormat="1" ht="13.5" customHeight="1">
      <c r="A274" s="2601"/>
      <c r="B274" s="2610"/>
      <c r="C274" s="2610"/>
      <c r="D274" s="2606" t="s">
        <v>3766</v>
      </c>
      <c r="E274" s="2610"/>
      <c r="F274" s="2607">
        <v>180</v>
      </c>
      <c r="G274" s="2611"/>
      <c r="H274" s="2604"/>
      <c r="I274" s="2609"/>
      <c r="J274" s="2673"/>
    </row>
    <row r="275" spans="1:20" s="227" customFormat="1" ht="27" customHeight="1">
      <c r="A275" s="2601"/>
      <c r="B275" s="2602"/>
      <c r="C275" s="2602"/>
      <c r="D275" s="2606" t="s">
        <v>3767</v>
      </c>
      <c r="E275" s="2602"/>
      <c r="F275" s="2622"/>
      <c r="G275" s="2608"/>
      <c r="H275" s="2604"/>
      <c r="I275" s="2609"/>
      <c r="J275" s="2673"/>
    </row>
    <row r="276" spans="1:20" s="227" customFormat="1" ht="67.5" customHeight="1">
      <c r="A276" s="2601"/>
      <c r="B276" s="2614"/>
      <c r="C276" s="2610"/>
      <c r="D276" s="2570" t="s">
        <v>317</v>
      </c>
      <c r="E276" s="2615"/>
      <c r="F276" s="2607"/>
      <c r="G276" s="2604"/>
      <c r="H276" s="2604"/>
      <c r="I276" s="2609"/>
      <c r="J276" s="2673"/>
    </row>
    <row r="277" spans="1:20" s="670" customFormat="1" ht="26.25" customHeight="1">
      <c r="A277" s="2601" t="s">
        <v>3768</v>
      </c>
      <c r="B277" s="2620" t="s">
        <v>3763</v>
      </c>
      <c r="C277" s="2621" t="s">
        <v>3087</v>
      </c>
      <c r="D277" s="2602" t="s">
        <v>3769</v>
      </c>
      <c r="E277" s="2602" t="s">
        <v>210</v>
      </c>
      <c r="F277" s="2603">
        <f>ROUND(SUM(F279),3)</f>
        <v>290</v>
      </c>
      <c r="G277" s="2604"/>
      <c r="H277" s="2402">
        <f t="shared" ref="H277" si="9">ROUND(F277*G277,2)</f>
        <v>0</v>
      </c>
      <c r="I277" s="2605" t="s">
        <v>111</v>
      </c>
      <c r="J277" s="2676"/>
      <c r="L277" s="227"/>
    </row>
    <row r="278" spans="1:20" s="227" customFormat="1" ht="27" customHeight="1">
      <c r="A278" s="2601"/>
      <c r="B278" s="2602"/>
      <c r="C278" s="2602"/>
      <c r="D278" s="2606" t="s">
        <v>3770</v>
      </c>
      <c r="E278" s="2602"/>
      <c r="F278" s="2607"/>
      <c r="G278" s="2608"/>
      <c r="H278" s="2604"/>
      <c r="I278" s="2609"/>
      <c r="J278" s="2676"/>
    </row>
    <row r="279" spans="1:20" s="227" customFormat="1" ht="13.5" customHeight="1">
      <c r="A279" s="2601"/>
      <c r="B279" s="2610"/>
      <c r="C279" s="2610"/>
      <c r="D279" s="2606" t="s">
        <v>3771</v>
      </c>
      <c r="E279" s="2610"/>
      <c r="F279" s="2607">
        <v>290</v>
      </c>
      <c r="G279" s="2611"/>
      <c r="H279" s="2604"/>
      <c r="I279" s="2609"/>
      <c r="J279" s="2673"/>
    </row>
    <row r="280" spans="1:20" s="227" customFormat="1" ht="27" customHeight="1">
      <c r="A280" s="2601"/>
      <c r="B280" s="2602"/>
      <c r="C280" s="2602"/>
      <c r="D280" s="2606" t="s">
        <v>3772</v>
      </c>
      <c r="E280" s="2602"/>
      <c r="F280" s="2622"/>
      <c r="G280" s="2608"/>
      <c r="H280" s="2604"/>
      <c r="I280" s="2609"/>
      <c r="J280" s="2673"/>
    </row>
    <row r="281" spans="1:20" s="227" customFormat="1" ht="27" customHeight="1">
      <c r="A281" s="2601"/>
      <c r="B281" s="2602"/>
      <c r="C281" s="2602"/>
      <c r="D281" s="2606" t="s">
        <v>3767</v>
      </c>
      <c r="E281" s="2602"/>
      <c r="F281" s="2622"/>
      <c r="G281" s="2608"/>
      <c r="H281" s="2604"/>
      <c r="I281" s="2609"/>
      <c r="J281" s="2673"/>
    </row>
    <row r="282" spans="1:20" s="227" customFormat="1" ht="67.5" customHeight="1">
      <c r="A282" s="2601"/>
      <c r="B282" s="2614"/>
      <c r="C282" s="2610"/>
      <c r="D282" s="2570" t="s">
        <v>317</v>
      </c>
      <c r="E282" s="2615"/>
      <c r="F282" s="2607"/>
      <c r="G282" s="2604"/>
      <c r="H282" s="2604"/>
      <c r="I282" s="2609"/>
      <c r="J282" s="2673"/>
    </row>
    <row r="283" spans="1:20" s="670" customFormat="1" ht="26.25" customHeight="1">
      <c r="A283" s="2601" t="s">
        <v>2809</v>
      </c>
      <c r="B283" s="2620" t="s">
        <v>3763</v>
      </c>
      <c r="C283" s="2621" t="s">
        <v>3090</v>
      </c>
      <c r="D283" s="2602" t="s">
        <v>3773</v>
      </c>
      <c r="E283" s="2602" t="s">
        <v>142</v>
      </c>
      <c r="F283" s="2603">
        <f>ROUND(SUM(F285),3)</f>
        <v>10000</v>
      </c>
      <c r="G283" s="2604"/>
      <c r="H283" s="2402">
        <f t="shared" ref="H283" si="10">ROUND(F283*G283,2)</f>
        <v>0</v>
      </c>
      <c r="I283" s="2605" t="s">
        <v>111</v>
      </c>
      <c r="J283" s="2676"/>
      <c r="L283" s="227"/>
    </row>
    <row r="284" spans="1:20" s="227" customFormat="1" ht="13.5" customHeight="1">
      <c r="A284" s="2601"/>
      <c r="B284" s="2602"/>
      <c r="C284" s="2602"/>
      <c r="D284" s="2606" t="s">
        <v>3774</v>
      </c>
      <c r="E284" s="2602"/>
      <c r="F284" s="2607"/>
      <c r="G284" s="2608"/>
      <c r="H284" s="2604"/>
      <c r="I284" s="2609"/>
      <c r="J284" s="2676"/>
    </row>
    <row r="285" spans="1:20" s="227" customFormat="1" ht="13.5" customHeight="1">
      <c r="A285" s="2601"/>
      <c r="B285" s="2610"/>
      <c r="C285" s="2610"/>
      <c r="D285" s="2606" t="s">
        <v>3775</v>
      </c>
      <c r="E285" s="2610"/>
      <c r="F285" s="2607">
        <v>10000</v>
      </c>
      <c r="G285" s="2611"/>
      <c r="H285" s="2604"/>
      <c r="I285" s="2609"/>
      <c r="J285" s="2673"/>
    </row>
    <row r="286" spans="1:20" s="227" customFormat="1" ht="27" customHeight="1">
      <c r="A286" s="2601"/>
      <c r="B286" s="2602"/>
      <c r="C286" s="2602"/>
      <c r="D286" s="2606" t="s">
        <v>3772</v>
      </c>
      <c r="E286" s="2602"/>
      <c r="F286" s="2622"/>
      <c r="G286" s="2608"/>
      <c r="H286" s="2604"/>
      <c r="I286" s="2609"/>
      <c r="J286" s="2673"/>
      <c r="K286" s="699"/>
      <c r="L286" s="699"/>
      <c r="M286" s="699"/>
      <c r="N286" s="699"/>
      <c r="O286" s="699"/>
      <c r="P286" s="699"/>
      <c r="Q286" s="699"/>
      <c r="R286" s="699"/>
      <c r="S286" s="699"/>
      <c r="T286" s="699"/>
    </row>
    <row r="287" spans="1:20" s="227" customFormat="1" ht="27" customHeight="1">
      <c r="A287" s="2601"/>
      <c r="B287" s="2602"/>
      <c r="C287" s="2602"/>
      <c r="D287" s="2606" t="s">
        <v>3767</v>
      </c>
      <c r="E287" s="2602"/>
      <c r="F287" s="2622"/>
      <c r="G287" s="2608"/>
      <c r="H287" s="2604"/>
      <c r="I287" s="2609"/>
      <c r="J287" s="2673"/>
      <c r="K287" s="699"/>
      <c r="L287" s="699"/>
      <c r="M287" s="699"/>
      <c r="N287" s="699"/>
      <c r="O287" s="699"/>
      <c r="P287" s="699"/>
      <c r="Q287" s="699"/>
      <c r="R287" s="699"/>
      <c r="S287" s="699"/>
      <c r="T287" s="699"/>
    </row>
    <row r="288" spans="1:20" s="227" customFormat="1" ht="67.5" customHeight="1">
      <c r="A288" s="2601"/>
      <c r="B288" s="2614"/>
      <c r="C288" s="2610"/>
      <c r="D288" s="2570" t="s">
        <v>317</v>
      </c>
      <c r="E288" s="2615"/>
      <c r="F288" s="2607"/>
      <c r="G288" s="2604"/>
      <c r="H288" s="2604"/>
      <c r="I288" s="2609"/>
      <c r="J288" s="2673"/>
    </row>
    <row r="289" spans="1:12" s="670" customFormat="1" ht="26.25" customHeight="1">
      <c r="A289" s="2601" t="s">
        <v>2815</v>
      </c>
      <c r="B289" s="2620" t="s">
        <v>3763</v>
      </c>
      <c r="C289" s="2621" t="s">
        <v>3093</v>
      </c>
      <c r="D289" s="2602" t="s">
        <v>3776</v>
      </c>
      <c r="E289" s="2602" t="s">
        <v>142</v>
      </c>
      <c r="F289" s="2603">
        <f>ROUND(SUM(F291),3)</f>
        <v>730</v>
      </c>
      <c r="G289" s="2604"/>
      <c r="H289" s="2402">
        <f t="shared" ref="H289" si="11">ROUND(F289*G289,2)</f>
        <v>0</v>
      </c>
      <c r="I289" s="2605" t="s">
        <v>111</v>
      </c>
      <c r="J289" s="2676"/>
      <c r="L289" s="227"/>
    </row>
    <row r="290" spans="1:12" s="227" customFormat="1" ht="27" customHeight="1">
      <c r="A290" s="2601"/>
      <c r="B290" s="2602"/>
      <c r="C290" s="2602"/>
      <c r="D290" s="2606" t="s">
        <v>3777</v>
      </c>
      <c r="E290" s="2602"/>
      <c r="F290" s="2607"/>
      <c r="G290" s="2608"/>
      <c r="H290" s="2604"/>
      <c r="I290" s="2609"/>
      <c r="J290" s="2676"/>
    </row>
    <row r="291" spans="1:12" s="227" customFormat="1" ht="13.5" customHeight="1">
      <c r="A291" s="2601"/>
      <c r="B291" s="2610"/>
      <c r="C291" s="2610"/>
      <c r="D291" s="2613" t="s">
        <v>3778</v>
      </c>
      <c r="E291" s="2610"/>
      <c r="F291" s="2607">
        <v>730</v>
      </c>
      <c r="G291" s="2611"/>
      <c r="H291" s="2604"/>
      <c r="I291" s="2609"/>
      <c r="J291" s="2673"/>
    </row>
    <row r="292" spans="1:12" s="227" customFormat="1" ht="67.5" customHeight="1">
      <c r="A292" s="2601"/>
      <c r="B292" s="2614"/>
      <c r="C292" s="2610"/>
      <c r="D292" s="2570" t="s">
        <v>317</v>
      </c>
      <c r="E292" s="2615"/>
      <c r="F292" s="2607"/>
      <c r="G292" s="2604"/>
      <c r="H292" s="2604"/>
      <c r="I292" s="2609"/>
      <c r="J292" s="2673"/>
    </row>
    <row r="293" spans="1:12" s="886" customFormat="1" ht="13.5" customHeight="1">
      <c r="A293" s="2545">
        <v>77</v>
      </c>
      <c r="B293" s="2546" t="s">
        <v>369</v>
      </c>
      <c r="C293" s="2623" t="s">
        <v>2257</v>
      </c>
      <c r="D293" s="2624" t="s">
        <v>1929</v>
      </c>
      <c r="E293" s="2624" t="s">
        <v>69</v>
      </c>
      <c r="F293" s="2700">
        <f>F294</f>
        <v>15</v>
      </c>
      <c r="G293" s="2548"/>
      <c r="H293" s="2548">
        <f>F293*G293</f>
        <v>0</v>
      </c>
      <c r="I293" s="2605" t="s">
        <v>1927</v>
      </c>
    </row>
    <row r="294" spans="1:12" s="886" customFormat="1" ht="13.5" customHeight="1">
      <c r="A294" s="2545"/>
      <c r="B294" s="2625"/>
      <c r="C294" s="2625"/>
      <c r="D294" s="2575" t="s">
        <v>3779</v>
      </c>
      <c r="E294" s="2625"/>
      <c r="F294" s="2701">
        <v>15</v>
      </c>
      <c r="G294" s="2548"/>
      <c r="H294" s="2548"/>
      <c r="I294" s="2626"/>
    </row>
    <row r="295" spans="1:12" s="886" customFormat="1" ht="13.5" customHeight="1">
      <c r="A295" s="2545"/>
      <c r="B295" s="2625"/>
      <c r="C295" s="2625"/>
      <c r="D295" s="2575" t="s">
        <v>3740</v>
      </c>
      <c r="E295" s="2625"/>
      <c r="F295" s="2701"/>
      <c r="G295" s="2548"/>
      <c r="H295" s="2548"/>
      <c r="I295" s="2626"/>
    </row>
    <row r="296" spans="1:12" s="135" customFormat="1" ht="13.5" customHeight="1">
      <c r="A296" s="2627"/>
      <c r="B296" s="2628"/>
      <c r="C296" s="2629">
        <v>750</v>
      </c>
      <c r="D296" s="2629" t="s">
        <v>3780</v>
      </c>
      <c r="E296" s="2629"/>
      <c r="F296" s="2702"/>
      <c r="G296" s="2560"/>
      <c r="H296" s="2630">
        <f>SUM(H297:H304)</f>
        <v>0</v>
      </c>
      <c r="I296" s="2631"/>
    </row>
    <row r="297" spans="1:12" s="2590" customFormat="1" ht="27" customHeight="1">
      <c r="A297" s="2583">
        <v>78</v>
      </c>
      <c r="B297" s="2539" t="s">
        <v>3781</v>
      </c>
      <c r="C297" s="2585" t="s">
        <v>3782</v>
      </c>
      <c r="D297" s="2547" t="s">
        <v>3783</v>
      </c>
      <c r="E297" s="2566" t="s">
        <v>142</v>
      </c>
      <c r="F297" s="2693">
        <f>F300</f>
        <v>200</v>
      </c>
      <c r="G297" s="2589"/>
      <c r="H297" s="2589">
        <f>F297*G297</f>
        <v>0</v>
      </c>
      <c r="I297" s="2605" t="s">
        <v>111</v>
      </c>
    </row>
    <row r="298" spans="1:12" s="174" customFormat="1" ht="27" customHeight="1">
      <c r="A298" s="2583"/>
      <c r="B298" s="2566"/>
      <c r="C298" s="2566"/>
      <c r="D298" s="2551" t="s">
        <v>3784</v>
      </c>
      <c r="E298" s="2566"/>
      <c r="F298" s="2681"/>
      <c r="G298" s="2632"/>
      <c r="H298" s="2589"/>
      <c r="I298" s="2633"/>
    </row>
    <row r="299" spans="1:12" s="135" customFormat="1" ht="13.5" customHeight="1">
      <c r="A299" s="2559"/>
      <c r="B299" s="2547"/>
      <c r="C299" s="2547"/>
      <c r="D299" s="2551" t="s">
        <v>3785</v>
      </c>
      <c r="E299" s="2547"/>
      <c r="F299" s="2683"/>
      <c r="G299" s="2634"/>
      <c r="H299" s="2560"/>
      <c r="I299" s="2552"/>
    </row>
    <row r="300" spans="1:12" s="135" customFormat="1" ht="13.5" customHeight="1">
      <c r="A300" s="2571"/>
      <c r="B300" s="2550"/>
      <c r="C300" s="2550"/>
      <c r="D300" s="2613" t="s">
        <v>3786</v>
      </c>
      <c r="E300" s="2550"/>
      <c r="F300" s="2684">
        <v>200</v>
      </c>
      <c r="G300" s="2572"/>
      <c r="H300" s="2560"/>
      <c r="I300" s="2552"/>
    </row>
    <row r="301" spans="1:12" s="174" customFormat="1" ht="71.25" customHeight="1">
      <c r="A301" s="2635"/>
      <c r="B301" s="2636"/>
      <c r="C301" s="2637"/>
      <c r="D301" s="2570" t="s">
        <v>317</v>
      </c>
      <c r="E301" s="2540"/>
      <c r="F301" s="2681"/>
      <c r="G301" s="2589"/>
      <c r="H301" s="2589"/>
      <c r="I301" s="2633"/>
    </row>
    <row r="302" spans="1:12" s="135" customFormat="1" ht="13.5" customHeight="1">
      <c r="A302" s="2545">
        <v>79</v>
      </c>
      <c r="B302" s="2547" t="s">
        <v>369</v>
      </c>
      <c r="C302" s="2547" t="s">
        <v>3787</v>
      </c>
      <c r="D302" s="2547" t="s">
        <v>2181</v>
      </c>
      <c r="E302" s="2547" t="s">
        <v>69</v>
      </c>
      <c r="F302" s="2683">
        <f>F303</f>
        <v>5</v>
      </c>
      <c r="G302" s="2548"/>
      <c r="H302" s="2548">
        <f>F302*G302</f>
        <v>0</v>
      </c>
      <c r="I302" s="2605" t="s">
        <v>1927</v>
      </c>
    </row>
    <row r="303" spans="1:12" s="135" customFormat="1" ht="13.5" customHeight="1">
      <c r="A303" s="2545"/>
      <c r="B303" s="2550"/>
      <c r="C303" s="2550"/>
      <c r="D303" s="2551" t="s">
        <v>3788</v>
      </c>
      <c r="E303" s="2550"/>
      <c r="F303" s="2684">
        <v>5</v>
      </c>
      <c r="G303" s="2548"/>
      <c r="H303" s="2548"/>
      <c r="I303" s="2552"/>
    </row>
    <row r="304" spans="1:12" s="135" customFormat="1" ht="13.5" customHeight="1">
      <c r="A304" s="2545"/>
      <c r="B304" s="2550"/>
      <c r="C304" s="2550"/>
      <c r="D304" s="2551" t="s">
        <v>3733</v>
      </c>
      <c r="E304" s="2550"/>
      <c r="F304" s="2684"/>
      <c r="G304" s="2548"/>
      <c r="H304" s="2548"/>
      <c r="I304" s="2552"/>
    </row>
    <row r="305" spans="1:18" s="135" customFormat="1" ht="13.5" customHeight="1">
      <c r="A305" s="2627"/>
      <c r="B305" s="2628"/>
      <c r="C305" s="2629">
        <v>751</v>
      </c>
      <c r="D305" s="2629" t="s">
        <v>2191</v>
      </c>
      <c r="E305" s="2629"/>
      <c r="F305" s="2702"/>
      <c r="G305" s="2560"/>
      <c r="H305" s="2630">
        <f>SUM(H306:H313)</f>
        <v>0</v>
      </c>
      <c r="I305" s="2631"/>
    </row>
    <row r="306" spans="1:18" s="2590" customFormat="1" ht="13.5" customHeight="1">
      <c r="A306" s="2583">
        <v>80</v>
      </c>
      <c r="B306" s="2539" t="s">
        <v>2175</v>
      </c>
      <c r="C306" s="2585" t="s">
        <v>3789</v>
      </c>
      <c r="D306" s="2586" t="s">
        <v>3790</v>
      </c>
      <c r="E306" s="2566" t="s">
        <v>142</v>
      </c>
      <c r="F306" s="2693">
        <f>F309</f>
        <v>300</v>
      </c>
      <c r="G306" s="2589"/>
      <c r="H306" s="2589">
        <f>F306*G306</f>
        <v>0</v>
      </c>
      <c r="I306" s="2605" t="s">
        <v>111</v>
      </c>
    </row>
    <row r="307" spans="1:18" s="174" customFormat="1" ht="48.75" customHeight="1">
      <c r="A307" s="2583"/>
      <c r="B307" s="2566"/>
      <c r="C307" s="2566"/>
      <c r="D307" s="2540" t="s">
        <v>3791</v>
      </c>
      <c r="E307" s="2566"/>
      <c r="F307" s="2681"/>
      <c r="G307" s="2632"/>
      <c r="H307" s="2589"/>
      <c r="I307" s="2633"/>
    </row>
    <row r="308" spans="1:18" s="135" customFormat="1" ht="13.5" customHeight="1">
      <c r="A308" s="2559"/>
      <c r="B308" s="2547"/>
      <c r="C308" s="2547"/>
      <c r="D308" s="2551" t="s">
        <v>3785</v>
      </c>
      <c r="E308" s="2547"/>
      <c r="F308" s="2683"/>
      <c r="G308" s="2634"/>
      <c r="H308" s="2560"/>
      <c r="I308" s="2552"/>
    </row>
    <row r="309" spans="1:18" s="135" customFormat="1" ht="13.5" customHeight="1">
      <c r="A309" s="2571"/>
      <c r="B309" s="2550"/>
      <c r="C309" s="2550"/>
      <c r="D309" s="2613" t="s">
        <v>3792</v>
      </c>
      <c r="E309" s="2550"/>
      <c r="F309" s="2684">
        <v>300</v>
      </c>
      <c r="G309" s="2572"/>
      <c r="H309" s="2560"/>
      <c r="I309" s="2552"/>
    </row>
    <row r="310" spans="1:18" s="174" customFormat="1" ht="72" customHeight="1">
      <c r="A310" s="2635"/>
      <c r="B310" s="2636"/>
      <c r="C310" s="2637"/>
      <c r="D310" s="2570" t="s">
        <v>317</v>
      </c>
      <c r="E310" s="2540"/>
      <c r="F310" s="2681"/>
      <c r="G310" s="2589"/>
      <c r="H310" s="2589"/>
      <c r="I310" s="2633"/>
    </row>
    <row r="311" spans="1:18" s="135" customFormat="1" ht="13.5" customHeight="1">
      <c r="A311" s="2545">
        <v>81</v>
      </c>
      <c r="B311" s="2547" t="s">
        <v>369</v>
      </c>
      <c r="C311" s="2547" t="s">
        <v>3787</v>
      </c>
      <c r="D311" s="2547" t="s">
        <v>2181</v>
      </c>
      <c r="E311" s="2547" t="s">
        <v>69</v>
      </c>
      <c r="F311" s="2683">
        <f>F312</f>
        <v>5</v>
      </c>
      <c r="G311" s="2548"/>
      <c r="H311" s="2548">
        <f>F311*G311</f>
        <v>0</v>
      </c>
      <c r="I311" s="2605" t="s">
        <v>1927</v>
      </c>
    </row>
    <row r="312" spans="1:18" s="135" customFormat="1" ht="13.5" customHeight="1">
      <c r="A312" s="2545"/>
      <c r="B312" s="2550"/>
      <c r="C312" s="2550"/>
      <c r="D312" s="2551" t="s">
        <v>2182</v>
      </c>
      <c r="E312" s="2550"/>
      <c r="F312" s="2684">
        <v>5</v>
      </c>
      <c r="G312" s="2548"/>
      <c r="H312" s="2548"/>
      <c r="I312" s="2552"/>
    </row>
    <row r="313" spans="1:18" s="135" customFormat="1" ht="13.5" customHeight="1">
      <c r="A313" s="2545"/>
      <c r="B313" s="2550"/>
      <c r="C313" s="2550"/>
      <c r="D313" s="2551" t="s">
        <v>3733</v>
      </c>
      <c r="E313" s="2550"/>
      <c r="F313" s="2684"/>
      <c r="G313" s="2548"/>
      <c r="H313" s="2548"/>
      <c r="I313" s="2552"/>
    </row>
    <row r="314" spans="1:18" s="2642" customFormat="1" ht="13.5" customHeight="1">
      <c r="A314" s="2638"/>
      <c r="B314" s="2639"/>
      <c r="C314" s="2639">
        <v>762</v>
      </c>
      <c r="D314" s="2639" t="s">
        <v>3793</v>
      </c>
      <c r="E314" s="2639"/>
      <c r="F314" s="2703"/>
      <c r="G314" s="2640"/>
      <c r="H314" s="2640">
        <f>SUM(H315:H320)</f>
        <v>0</v>
      </c>
      <c r="I314" s="2641"/>
    </row>
    <row r="315" spans="1:18" s="333" customFormat="1" ht="13.5" customHeight="1">
      <c r="A315" s="2643" t="s">
        <v>3294</v>
      </c>
      <c r="B315" s="2644" t="s">
        <v>3794</v>
      </c>
      <c r="C315" s="2593" t="s">
        <v>3795</v>
      </c>
      <c r="D315" s="2593" t="s">
        <v>3796</v>
      </c>
      <c r="E315" s="2593" t="s">
        <v>49</v>
      </c>
      <c r="F315" s="2704">
        <f>SUM(F316:F316)</f>
        <v>1</v>
      </c>
      <c r="G315" s="2645"/>
      <c r="H315" s="2560">
        <f>F315*G315</f>
        <v>0</v>
      </c>
      <c r="I315" s="2605" t="s">
        <v>111</v>
      </c>
    </row>
    <row r="316" spans="1:18" s="333" customFormat="1" ht="13.5" customHeight="1">
      <c r="A316" s="2646"/>
      <c r="B316" s="2593"/>
      <c r="C316" s="2593"/>
      <c r="D316" s="2647" t="s">
        <v>3797</v>
      </c>
      <c r="E316" s="2593"/>
      <c r="F316" s="2684">
        <v>1</v>
      </c>
      <c r="G316" s="2595"/>
      <c r="H316" s="2595"/>
      <c r="I316" s="2648"/>
      <c r="J316" s="2677"/>
    </row>
    <row r="317" spans="1:18" s="174" customFormat="1" ht="72" customHeight="1">
      <c r="A317" s="2635"/>
      <c r="B317" s="2636"/>
      <c r="C317" s="2637"/>
      <c r="D317" s="2570" t="s">
        <v>317</v>
      </c>
      <c r="E317" s="2540"/>
      <c r="F317" s="2681"/>
      <c r="G317" s="2589"/>
      <c r="H317" s="2589"/>
      <c r="I317" s="2633"/>
    </row>
    <row r="318" spans="1:18" s="135" customFormat="1" ht="13.5" customHeight="1">
      <c r="A318" s="2583">
        <v>83</v>
      </c>
      <c r="B318" s="2566" t="s">
        <v>369</v>
      </c>
      <c r="C318" s="2566" t="s">
        <v>856</v>
      </c>
      <c r="D318" s="2566" t="s">
        <v>857</v>
      </c>
      <c r="E318" s="2566" t="s">
        <v>69</v>
      </c>
      <c r="F318" s="2688">
        <f>F319</f>
        <v>5</v>
      </c>
      <c r="G318" s="2589"/>
      <c r="H318" s="2589">
        <f>F318*G318</f>
        <v>0</v>
      </c>
      <c r="I318" s="2605" t="s">
        <v>1927</v>
      </c>
      <c r="J318" s="2678"/>
      <c r="R318" s="449"/>
    </row>
    <row r="319" spans="1:18" s="135" customFormat="1" ht="13.5" customHeight="1">
      <c r="A319" s="2635"/>
      <c r="B319" s="2637"/>
      <c r="C319" s="2637"/>
      <c r="D319" s="2540" t="s">
        <v>3798</v>
      </c>
      <c r="E319" s="2637"/>
      <c r="F319" s="2681">
        <v>5</v>
      </c>
      <c r="G319" s="2649"/>
      <c r="H319" s="2589"/>
      <c r="I319" s="2633"/>
      <c r="J319" s="2678"/>
      <c r="R319" s="449"/>
    </row>
    <row r="320" spans="1:18" s="135" customFormat="1" ht="13.5" customHeight="1">
      <c r="A320" s="2635"/>
      <c r="B320" s="2637"/>
      <c r="C320" s="2637"/>
      <c r="D320" s="2540" t="s">
        <v>3733</v>
      </c>
      <c r="E320" s="2637"/>
      <c r="F320" s="2681"/>
      <c r="G320" s="2649"/>
      <c r="H320" s="2589"/>
      <c r="I320" s="2633"/>
      <c r="J320" s="2678"/>
      <c r="R320" s="449"/>
    </row>
    <row r="321" spans="1:9" s="135" customFormat="1" ht="21" customHeight="1">
      <c r="A321" s="496"/>
      <c r="B321" s="497"/>
      <c r="C321" s="497"/>
      <c r="D321" s="497" t="s">
        <v>0</v>
      </c>
      <c r="E321" s="497"/>
      <c r="F321" s="948"/>
      <c r="G321" s="572"/>
      <c r="H321" s="572">
        <f>SUM(H203,H8)</f>
        <v>0</v>
      </c>
    </row>
    <row r="322" spans="1:9" s="135" customFormat="1" ht="12" customHeight="1">
      <c r="A322" s="498"/>
      <c r="B322" s="499"/>
      <c r="C322" s="499"/>
      <c r="D322" s="499"/>
      <c r="E322" s="499"/>
      <c r="F322" s="949"/>
      <c r="G322" s="444"/>
      <c r="H322" s="444"/>
    </row>
    <row r="323" spans="1:9" s="135" customFormat="1" ht="13.5" customHeight="1">
      <c r="A323" s="3038" t="s">
        <v>875</v>
      </c>
      <c r="B323" s="3039"/>
      <c r="C323" s="3040"/>
      <c r="D323" s="500" t="s">
        <v>3799</v>
      </c>
      <c r="E323" s="501"/>
      <c r="F323" s="950"/>
      <c r="G323" s="573"/>
      <c r="H323" s="581">
        <f>H321</f>
        <v>0</v>
      </c>
    </row>
    <row r="324" spans="1:9" s="135" customFormat="1" ht="13.5" customHeight="1">
      <c r="A324" s="502"/>
      <c r="B324" s="503"/>
      <c r="C324" s="503"/>
      <c r="D324" s="504"/>
      <c r="E324" s="505"/>
      <c r="F324" s="2650"/>
      <c r="G324" s="937"/>
      <c r="H324" s="795"/>
    </row>
    <row r="325" spans="1:9" s="129" customFormat="1" ht="11.25">
      <c r="A325" s="129" t="s">
        <v>1</v>
      </c>
    </row>
    <row r="326" spans="1:9" s="135" customFormat="1" ht="23.45" customHeight="1">
      <c r="A326" s="3018" t="s">
        <v>877</v>
      </c>
      <c r="B326" s="3037"/>
      <c r="C326" s="3037"/>
      <c r="D326" s="3037"/>
      <c r="E326" s="3037"/>
      <c r="F326" s="3037"/>
      <c r="G326" s="3037"/>
      <c r="H326" s="129"/>
    </row>
    <row r="327" spans="1:9" s="129" customFormat="1" ht="93.75" customHeight="1">
      <c r="A327" s="3018" t="s">
        <v>104</v>
      </c>
      <c r="B327" s="3041"/>
      <c r="C327" s="3041"/>
      <c r="D327" s="3041"/>
      <c r="E327" s="3041"/>
      <c r="F327" s="3041"/>
      <c r="G327" s="3041"/>
    </row>
    <row r="328" spans="1:9" s="325" customFormat="1" ht="13.5" customHeight="1">
      <c r="A328" s="3018" t="s">
        <v>105</v>
      </c>
      <c r="B328" s="3042"/>
      <c r="C328" s="3042"/>
      <c r="D328" s="3042"/>
      <c r="E328" s="3042"/>
      <c r="F328" s="3042"/>
      <c r="G328" s="3042"/>
      <c r="H328" s="507"/>
      <c r="I328" s="507"/>
    </row>
    <row r="329" spans="1:9" s="325" customFormat="1" ht="13.5" customHeight="1">
      <c r="A329" s="3018" t="s">
        <v>106</v>
      </c>
      <c r="B329" s="3042"/>
      <c r="C329" s="3042"/>
      <c r="D329" s="3042"/>
      <c r="E329" s="3042"/>
      <c r="F329" s="3042"/>
      <c r="G329" s="3042"/>
      <c r="H329" s="507"/>
      <c r="I329" s="507"/>
    </row>
    <row r="330" spans="1:9" s="325" customFormat="1" ht="13.5" customHeight="1">
      <c r="A330" s="132"/>
      <c r="B330" s="506"/>
      <c r="C330" s="506"/>
      <c r="D330" s="506"/>
      <c r="E330" s="506"/>
      <c r="F330" s="506"/>
      <c r="G330" s="506"/>
      <c r="H330" s="507"/>
      <c r="I330" s="507"/>
    </row>
    <row r="331" spans="1:9" s="129" customFormat="1" ht="23.45" customHeight="1">
      <c r="A331" s="3018"/>
      <c r="B331" s="3037"/>
      <c r="C331" s="3037"/>
      <c r="D331" s="3037"/>
      <c r="E331" s="3037"/>
      <c r="F331" s="3037"/>
      <c r="G331" s="3037"/>
    </row>
  </sheetData>
  <mergeCells count="6">
    <mergeCell ref="A331:G331"/>
    <mergeCell ref="A323:C323"/>
    <mergeCell ref="A326:G326"/>
    <mergeCell ref="A327:G327"/>
    <mergeCell ref="A328:G328"/>
    <mergeCell ref="A329:G329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5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A89A-CC43-4E3D-A303-D3B6F377635F}">
  <sheetPr>
    <pageSetUpPr fitToPage="1"/>
  </sheetPr>
  <dimension ref="A1:I33"/>
  <sheetViews>
    <sheetView workbookViewId="0">
      <selection activeCell="B21" sqref="B21"/>
    </sheetView>
  </sheetViews>
  <sheetFormatPr defaultRowHeight="10.5"/>
  <cols>
    <col min="1" max="1" width="13.6640625" style="510" customWidth="1"/>
    <col min="2" max="2" width="68.6640625" style="510" customWidth="1"/>
    <col min="3" max="3" width="18.33203125" style="510" customWidth="1"/>
    <col min="4" max="256" width="9.33203125" style="510"/>
    <col min="257" max="257" width="13.6640625" style="510" customWidth="1"/>
    <col min="258" max="258" width="68.6640625" style="510" customWidth="1"/>
    <col min="259" max="259" width="18.33203125" style="510" customWidth="1"/>
    <col min="260" max="512" width="9.33203125" style="510"/>
    <col min="513" max="513" width="13.6640625" style="510" customWidth="1"/>
    <col min="514" max="514" width="68.6640625" style="510" customWidth="1"/>
    <col min="515" max="515" width="18.33203125" style="510" customWidth="1"/>
    <col min="516" max="768" width="9.33203125" style="510"/>
    <col min="769" max="769" width="13.6640625" style="510" customWidth="1"/>
    <col min="770" max="770" width="68.6640625" style="510" customWidth="1"/>
    <col min="771" max="771" width="18.33203125" style="510" customWidth="1"/>
    <col min="772" max="1024" width="9.33203125" style="510"/>
    <col min="1025" max="1025" width="13.6640625" style="510" customWidth="1"/>
    <col min="1026" max="1026" width="68.6640625" style="510" customWidth="1"/>
    <col min="1027" max="1027" width="18.33203125" style="510" customWidth="1"/>
    <col min="1028" max="1280" width="9.33203125" style="510"/>
    <col min="1281" max="1281" width="13.6640625" style="510" customWidth="1"/>
    <col min="1282" max="1282" width="68.6640625" style="510" customWidth="1"/>
    <col min="1283" max="1283" width="18.33203125" style="510" customWidth="1"/>
    <col min="1284" max="1536" width="9.33203125" style="510"/>
    <col min="1537" max="1537" width="13.6640625" style="510" customWidth="1"/>
    <col min="1538" max="1538" width="68.6640625" style="510" customWidth="1"/>
    <col min="1539" max="1539" width="18.33203125" style="510" customWidth="1"/>
    <col min="1540" max="1792" width="9.33203125" style="510"/>
    <col min="1793" max="1793" width="13.6640625" style="510" customWidth="1"/>
    <col min="1794" max="1794" width="68.6640625" style="510" customWidth="1"/>
    <col min="1795" max="1795" width="18.33203125" style="510" customWidth="1"/>
    <col min="1796" max="2048" width="9.33203125" style="510"/>
    <col min="2049" max="2049" width="13.6640625" style="510" customWidth="1"/>
    <col min="2050" max="2050" width="68.6640625" style="510" customWidth="1"/>
    <col min="2051" max="2051" width="18.33203125" style="510" customWidth="1"/>
    <col min="2052" max="2304" width="9.33203125" style="510"/>
    <col min="2305" max="2305" width="13.6640625" style="510" customWidth="1"/>
    <col min="2306" max="2306" width="68.6640625" style="510" customWidth="1"/>
    <col min="2307" max="2307" width="18.33203125" style="510" customWidth="1"/>
    <col min="2308" max="2560" width="9.33203125" style="510"/>
    <col min="2561" max="2561" width="13.6640625" style="510" customWidth="1"/>
    <col min="2562" max="2562" width="68.6640625" style="510" customWidth="1"/>
    <col min="2563" max="2563" width="18.33203125" style="510" customWidth="1"/>
    <col min="2564" max="2816" width="9.33203125" style="510"/>
    <col min="2817" max="2817" width="13.6640625" style="510" customWidth="1"/>
    <col min="2818" max="2818" width="68.6640625" style="510" customWidth="1"/>
    <col min="2819" max="2819" width="18.33203125" style="510" customWidth="1"/>
    <col min="2820" max="3072" width="9.33203125" style="510"/>
    <col min="3073" max="3073" width="13.6640625" style="510" customWidth="1"/>
    <col min="3074" max="3074" width="68.6640625" style="510" customWidth="1"/>
    <col min="3075" max="3075" width="18.33203125" style="510" customWidth="1"/>
    <col min="3076" max="3328" width="9.33203125" style="510"/>
    <col min="3329" max="3329" width="13.6640625" style="510" customWidth="1"/>
    <col min="3330" max="3330" width="68.6640625" style="510" customWidth="1"/>
    <col min="3331" max="3331" width="18.33203125" style="510" customWidth="1"/>
    <col min="3332" max="3584" width="9.33203125" style="510"/>
    <col min="3585" max="3585" width="13.6640625" style="510" customWidth="1"/>
    <col min="3586" max="3586" width="68.6640625" style="510" customWidth="1"/>
    <col min="3587" max="3587" width="18.33203125" style="510" customWidth="1"/>
    <col min="3588" max="3840" width="9.33203125" style="510"/>
    <col min="3841" max="3841" width="13.6640625" style="510" customWidth="1"/>
    <col min="3842" max="3842" width="68.6640625" style="510" customWidth="1"/>
    <col min="3843" max="3843" width="18.33203125" style="510" customWidth="1"/>
    <col min="3844" max="4096" width="9.33203125" style="510"/>
    <col min="4097" max="4097" width="13.6640625" style="510" customWidth="1"/>
    <col min="4098" max="4098" width="68.6640625" style="510" customWidth="1"/>
    <col min="4099" max="4099" width="18.33203125" style="510" customWidth="1"/>
    <col min="4100" max="4352" width="9.33203125" style="510"/>
    <col min="4353" max="4353" width="13.6640625" style="510" customWidth="1"/>
    <col min="4354" max="4354" width="68.6640625" style="510" customWidth="1"/>
    <col min="4355" max="4355" width="18.33203125" style="510" customWidth="1"/>
    <col min="4356" max="4608" width="9.33203125" style="510"/>
    <col min="4609" max="4609" width="13.6640625" style="510" customWidth="1"/>
    <col min="4610" max="4610" width="68.6640625" style="510" customWidth="1"/>
    <col min="4611" max="4611" width="18.33203125" style="510" customWidth="1"/>
    <col min="4612" max="4864" width="9.33203125" style="510"/>
    <col min="4865" max="4865" width="13.6640625" style="510" customWidth="1"/>
    <col min="4866" max="4866" width="68.6640625" style="510" customWidth="1"/>
    <col min="4867" max="4867" width="18.33203125" style="510" customWidth="1"/>
    <col min="4868" max="5120" width="9.33203125" style="510"/>
    <col min="5121" max="5121" width="13.6640625" style="510" customWidth="1"/>
    <col min="5122" max="5122" width="68.6640625" style="510" customWidth="1"/>
    <col min="5123" max="5123" width="18.33203125" style="510" customWidth="1"/>
    <col min="5124" max="5376" width="9.33203125" style="510"/>
    <col min="5377" max="5377" width="13.6640625" style="510" customWidth="1"/>
    <col min="5378" max="5378" width="68.6640625" style="510" customWidth="1"/>
    <col min="5379" max="5379" width="18.33203125" style="510" customWidth="1"/>
    <col min="5380" max="5632" width="9.33203125" style="510"/>
    <col min="5633" max="5633" width="13.6640625" style="510" customWidth="1"/>
    <col min="5634" max="5634" width="68.6640625" style="510" customWidth="1"/>
    <col min="5635" max="5635" width="18.33203125" style="510" customWidth="1"/>
    <col min="5636" max="5888" width="9.33203125" style="510"/>
    <col min="5889" max="5889" width="13.6640625" style="510" customWidth="1"/>
    <col min="5890" max="5890" width="68.6640625" style="510" customWidth="1"/>
    <col min="5891" max="5891" width="18.33203125" style="510" customWidth="1"/>
    <col min="5892" max="6144" width="9.33203125" style="510"/>
    <col min="6145" max="6145" width="13.6640625" style="510" customWidth="1"/>
    <col min="6146" max="6146" width="68.6640625" style="510" customWidth="1"/>
    <col min="6147" max="6147" width="18.33203125" style="510" customWidth="1"/>
    <col min="6148" max="6400" width="9.33203125" style="510"/>
    <col min="6401" max="6401" width="13.6640625" style="510" customWidth="1"/>
    <col min="6402" max="6402" width="68.6640625" style="510" customWidth="1"/>
    <col min="6403" max="6403" width="18.33203125" style="510" customWidth="1"/>
    <col min="6404" max="6656" width="9.33203125" style="510"/>
    <col min="6657" max="6657" width="13.6640625" style="510" customWidth="1"/>
    <col min="6658" max="6658" width="68.6640625" style="510" customWidth="1"/>
    <col min="6659" max="6659" width="18.33203125" style="510" customWidth="1"/>
    <col min="6660" max="6912" width="9.33203125" style="510"/>
    <col min="6913" max="6913" width="13.6640625" style="510" customWidth="1"/>
    <col min="6914" max="6914" width="68.6640625" style="510" customWidth="1"/>
    <col min="6915" max="6915" width="18.33203125" style="510" customWidth="1"/>
    <col min="6916" max="7168" width="9.33203125" style="510"/>
    <col min="7169" max="7169" width="13.6640625" style="510" customWidth="1"/>
    <col min="7170" max="7170" width="68.6640625" style="510" customWidth="1"/>
    <col min="7171" max="7171" width="18.33203125" style="510" customWidth="1"/>
    <col min="7172" max="7424" width="9.33203125" style="510"/>
    <col min="7425" max="7425" width="13.6640625" style="510" customWidth="1"/>
    <col min="7426" max="7426" width="68.6640625" style="510" customWidth="1"/>
    <col min="7427" max="7427" width="18.33203125" style="510" customWidth="1"/>
    <col min="7428" max="7680" width="9.33203125" style="510"/>
    <col min="7681" max="7681" width="13.6640625" style="510" customWidth="1"/>
    <col min="7682" max="7682" width="68.6640625" style="510" customWidth="1"/>
    <col min="7683" max="7683" width="18.33203125" style="510" customWidth="1"/>
    <col min="7684" max="7936" width="9.33203125" style="510"/>
    <col min="7937" max="7937" width="13.6640625" style="510" customWidth="1"/>
    <col min="7938" max="7938" width="68.6640625" style="510" customWidth="1"/>
    <col min="7939" max="7939" width="18.33203125" style="510" customWidth="1"/>
    <col min="7940" max="8192" width="9.33203125" style="510"/>
    <col min="8193" max="8193" width="13.6640625" style="510" customWidth="1"/>
    <col min="8194" max="8194" width="68.6640625" style="510" customWidth="1"/>
    <col min="8195" max="8195" width="18.33203125" style="510" customWidth="1"/>
    <col min="8196" max="8448" width="9.33203125" style="510"/>
    <col min="8449" max="8449" width="13.6640625" style="510" customWidth="1"/>
    <col min="8450" max="8450" width="68.6640625" style="510" customWidth="1"/>
    <col min="8451" max="8451" width="18.33203125" style="510" customWidth="1"/>
    <col min="8452" max="8704" width="9.33203125" style="510"/>
    <col min="8705" max="8705" width="13.6640625" style="510" customWidth="1"/>
    <col min="8706" max="8706" width="68.6640625" style="510" customWidth="1"/>
    <col min="8707" max="8707" width="18.33203125" style="510" customWidth="1"/>
    <col min="8708" max="8960" width="9.33203125" style="510"/>
    <col min="8961" max="8961" width="13.6640625" style="510" customWidth="1"/>
    <col min="8962" max="8962" width="68.6640625" style="510" customWidth="1"/>
    <col min="8963" max="8963" width="18.33203125" style="510" customWidth="1"/>
    <col min="8964" max="9216" width="9.33203125" style="510"/>
    <col min="9217" max="9217" width="13.6640625" style="510" customWidth="1"/>
    <col min="9218" max="9218" width="68.6640625" style="510" customWidth="1"/>
    <col min="9219" max="9219" width="18.33203125" style="510" customWidth="1"/>
    <col min="9220" max="9472" width="9.33203125" style="510"/>
    <col min="9473" max="9473" width="13.6640625" style="510" customWidth="1"/>
    <col min="9474" max="9474" width="68.6640625" style="510" customWidth="1"/>
    <col min="9475" max="9475" width="18.33203125" style="510" customWidth="1"/>
    <col min="9476" max="9728" width="9.33203125" style="510"/>
    <col min="9729" max="9729" width="13.6640625" style="510" customWidth="1"/>
    <col min="9730" max="9730" width="68.6640625" style="510" customWidth="1"/>
    <col min="9731" max="9731" width="18.33203125" style="510" customWidth="1"/>
    <col min="9732" max="9984" width="9.33203125" style="510"/>
    <col min="9985" max="9985" width="13.6640625" style="510" customWidth="1"/>
    <col min="9986" max="9986" width="68.6640625" style="510" customWidth="1"/>
    <col min="9987" max="9987" width="18.33203125" style="510" customWidth="1"/>
    <col min="9988" max="10240" width="9.33203125" style="510"/>
    <col min="10241" max="10241" width="13.6640625" style="510" customWidth="1"/>
    <col min="10242" max="10242" width="68.6640625" style="510" customWidth="1"/>
    <col min="10243" max="10243" width="18.33203125" style="510" customWidth="1"/>
    <col min="10244" max="10496" width="9.33203125" style="510"/>
    <col min="10497" max="10497" width="13.6640625" style="510" customWidth="1"/>
    <col min="10498" max="10498" width="68.6640625" style="510" customWidth="1"/>
    <col min="10499" max="10499" width="18.33203125" style="510" customWidth="1"/>
    <col min="10500" max="10752" width="9.33203125" style="510"/>
    <col min="10753" max="10753" width="13.6640625" style="510" customWidth="1"/>
    <col min="10754" max="10754" width="68.6640625" style="510" customWidth="1"/>
    <col min="10755" max="10755" width="18.33203125" style="510" customWidth="1"/>
    <col min="10756" max="11008" width="9.33203125" style="510"/>
    <col min="11009" max="11009" width="13.6640625" style="510" customWidth="1"/>
    <col min="11010" max="11010" width="68.6640625" style="510" customWidth="1"/>
    <col min="11011" max="11011" width="18.33203125" style="510" customWidth="1"/>
    <col min="11012" max="11264" width="9.33203125" style="510"/>
    <col min="11265" max="11265" width="13.6640625" style="510" customWidth="1"/>
    <col min="11266" max="11266" width="68.6640625" style="510" customWidth="1"/>
    <col min="11267" max="11267" width="18.33203125" style="510" customWidth="1"/>
    <col min="11268" max="11520" width="9.33203125" style="510"/>
    <col min="11521" max="11521" width="13.6640625" style="510" customWidth="1"/>
    <col min="11522" max="11522" width="68.6640625" style="510" customWidth="1"/>
    <col min="11523" max="11523" width="18.33203125" style="510" customWidth="1"/>
    <col min="11524" max="11776" width="9.33203125" style="510"/>
    <col min="11777" max="11777" width="13.6640625" style="510" customWidth="1"/>
    <col min="11778" max="11778" width="68.6640625" style="510" customWidth="1"/>
    <col min="11779" max="11779" width="18.33203125" style="510" customWidth="1"/>
    <col min="11780" max="12032" width="9.33203125" style="510"/>
    <col min="12033" max="12033" width="13.6640625" style="510" customWidth="1"/>
    <col min="12034" max="12034" width="68.6640625" style="510" customWidth="1"/>
    <col min="12035" max="12035" width="18.33203125" style="510" customWidth="1"/>
    <col min="12036" max="12288" width="9.33203125" style="510"/>
    <col min="12289" max="12289" width="13.6640625" style="510" customWidth="1"/>
    <col min="12290" max="12290" width="68.6640625" style="510" customWidth="1"/>
    <col min="12291" max="12291" width="18.33203125" style="510" customWidth="1"/>
    <col min="12292" max="12544" width="9.33203125" style="510"/>
    <col min="12545" max="12545" width="13.6640625" style="510" customWidth="1"/>
    <col min="12546" max="12546" width="68.6640625" style="510" customWidth="1"/>
    <col min="12547" max="12547" width="18.33203125" style="510" customWidth="1"/>
    <col min="12548" max="12800" width="9.33203125" style="510"/>
    <col min="12801" max="12801" width="13.6640625" style="510" customWidth="1"/>
    <col min="12802" max="12802" width="68.6640625" style="510" customWidth="1"/>
    <col min="12803" max="12803" width="18.33203125" style="510" customWidth="1"/>
    <col min="12804" max="13056" width="9.33203125" style="510"/>
    <col min="13057" max="13057" width="13.6640625" style="510" customWidth="1"/>
    <col min="13058" max="13058" width="68.6640625" style="510" customWidth="1"/>
    <col min="13059" max="13059" width="18.33203125" style="510" customWidth="1"/>
    <col min="13060" max="13312" width="9.33203125" style="510"/>
    <col min="13313" max="13313" width="13.6640625" style="510" customWidth="1"/>
    <col min="13314" max="13314" width="68.6640625" style="510" customWidth="1"/>
    <col min="13315" max="13315" width="18.33203125" style="510" customWidth="1"/>
    <col min="13316" max="13568" width="9.33203125" style="510"/>
    <col min="13569" max="13569" width="13.6640625" style="510" customWidth="1"/>
    <col min="13570" max="13570" width="68.6640625" style="510" customWidth="1"/>
    <col min="13571" max="13571" width="18.33203125" style="510" customWidth="1"/>
    <col min="13572" max="13824" width="9.33203125" style="510"/>
    <col min="13825" max="13825" width="13.6640625" style="510" customWidth="1"/>
    <col min="13826" max="13826" width="68.6640625" style="510" customWidth="1"/>
    <col min="13827" max="13827" width="18.33203125" style="510" customWidth="1"/>
    <col min="13828" max="14080" width="9.33203125" style="510"/>
    <col min="14081" max="14081" width="13.6640625" style="510" customWidth="1"/>
    <col min="14082" max="14082" width="68.6640625" style="510" customWidth="1"/>
    <col min="14083" max="14083" width="18.33203125" style="510" customWidth="1"/>
    <col min="14084" max="14336" width="9.33203125" style="510"/>
    <col min="14337" max="14337" width="13.6640625" style="510" customWidth="1"/>
    <col min="14338" max="14338" width="68.6640625" style="510" customWidth="1"/>
    <col min="14339" max="14339" width="18.33203125" style="510" customWidth="1"/>
    <col min="14340" max="14592" width="9.33203125" style="510"/>
    <col min="14593" max="14593" width="13.6640625" style="510" customWidth="1"/>
    <col min="14594" max="14594" width="68.6640625" style="510" customWidth="1"/>
    <col min="14595" max="14595" width="18.33203125" style="510" customWidth="1"/>
    <col min="14596" max="14848" width="9.33203125" style="510"/>
    <col min="14849" max="14849" width="13.6640625" style="510" customWidth="1"/>
    <col min="14850" max="14850" width="68.6640625" style="510" customWidth="1"/>
    <col min="14851" max="14851" width="18.33203125" style="510" customWidth="1"/>
    <col min="14852" max="15104" width="9.33203125" style="510"/>
    <col min="15105" max="15105" width="13.6640625" style="510" customWidth="1"/>
    <col min="15106" max="15106" width="68.6640625" style="510" customWidth="1"/>
    <col min="15107" max="15107" width="18.33203125" style="510" customWidth="1"/>
    <col min="15108" max="15360" width="9.33203125" style="510"/>
    <col min="15361" max="15361" width="13.6640625" style="510" customWidth="1"/>
    <col min="15362" max="15362" width="68.6640625" style="510" customWidth="1"/>
    <col min="15363" max="15363" width="18.33203125" style="510" customWidth="1"/>
    <col min="15364" max="15616" width="9.33203125" style="510"/>
    <col min="15617" max="15617" width="13.6640625" style="510" customWidth="1"/>
    <col min="15618" max="15618" width="68.6640625" style="510" customWidth="1"/>
    <col min="15619" max="15619" width="18.33203125" style="510" customWidth="1"/>
    <col min="15620" max="15872" width="9.33203125" style="510"/>
    <col min="15873" max="15873" width="13.6640625" style="510" customWidth="1"/>
    <col min="15874" max="15874" width="68.6640625" style="510" customWidth="1"/>
    <col min="15875" max="15875" width="18.33203125" style="510" customWidth="1"/>
    <col min="15876" max="16128" width="9.33203125" style="510"/>
    <col min="16129" max="16129" width="13.6640625" style="510" customWidth="1"/>
    <col min="16130" max="16130" width="68.6640625" style="510" customWidth="1"/>
    <col min="16131" max="16131" width="18.33203125" style="510" customWidth="1"/>
    <col min="16132" max="16384" width="9.33203125" style="510"/>
  </cols>
  <sheetData>
    <row r="1" spans="1:9" ht="20.25" customHeight="1">
      <c r="A1" s="508" t="s">
        <v>879</v>
      </c>
      <c r="B1" s="509"/>
      <c r="C1" s="509"/>
    </row>
    <row r="2" spans="1:9" s="141" customFormat="1" ht="13.5" customHeight="1">
      <c r="A2" s="3043" t="s">
        <v>116</v>
      </c>
      <c r="B2" s="3043"/>
      <c r="C2" s="3043"/>
      <c r="D2" s="511"/>
      <c r="E2" s="511"/>
      <c r="F2" s="511"/>
      <c r="G2" s="511"/>
      <c r="H2" s="511"/>
      <c r="I2" s="511"/>
    </row>
    <row r="3" spans="1:9" s="141" customFormat="1" ht="13.5" customHeight="1">
      <c r="A3" s="139" t="s">
        <v>880</v>
      </c>
      <c r="B3" s="140"/>
      <c r="C3" s="140"/>
      <c r="D3" s="140"/>
      <c r="E3" s="140"/>
      <c r="F3" s="134"/>
      <c r="G3" s="134"/>
      <c r="H3" s="135"/>
      <c r="I3" s="135"/>
    </row>
    <row r="4" spans="1:9" ht="13.5" customHeight="1">
      <c r="A4" s="509"/>
      <c r="B4" s="509"/>
      <c r="C4" s="509"/>
    </row>
    <row r="5" spans="1:9" ht="23.25" customHeight="1">
      <c r="A5" s="512" t="s">
        <v>881</v>
      </c>
      <c r="B5" s="513" t="s">
        <v>122</v>
      </c>
      <c r="C5" s="514" t="s">
        <v>882</v>
      </c>
    </row>
    <row r="6" spans="1:9" ht="12.6" customHeight="1">
      <c r="A6" s="515">
        <v>1</v>
      </c>
      <c r="B6" s="516">
        <v>2</v>
      </c>
      <c r="C6" s="517">
        <v>3</v>
      </c>
    </row>
    <row r="7" spans="1:9" ht="21" customHeight="1">
      <c r="A7" s="518"/>
      <c r="B7" s="519"/>
      <c r="C7" s="519"/>
    </row>
    <row r="8" spans="1:9" ht="13.5" customHeight="1">
      <c r="A8" s="520" t="s">
        <v>133</v>
      </c>
      <c r="B8" s="521" t="s">
        <v>134</v>
      </c>
      <c r="C8" s="522">
        <f>SUM(C9:C15)</f>
        <v>0</v>
      </c>
    </row>
    <row r="9" spans="1:9" ht="13.5" customHeight="1">
      <c r="A9" s="523">
        <v>1</v>
      </c>
      <c r="B9" s="524" t="s">
        <v>135</v>
      </c>
      <c r="C9" s="525">
        <f>'D.1.1. ASŘ - NOVÝ STAV'!H9</f>
        <v>0</v>
      </c>
    </row>
    <row r="10" spans="1:9" ht="13.5" customHeight="1">
      <c r="A10" s="523">
        <v>2</v>
      </c>
      <c r="B10" s="524" t="s">
        <v>200</v>
      </c>
      <c r="C10" s="526">
        <f>'D.1.1. ASŘ - NOVÝ STAV'!H72</f>
        <v>0</v>
      </c>
    </row>
    <row r="11" spans="1:9" ht="13.5" customHeight="1">
      <c r="A11" s="523">
        <v>3</v>
      </c>
      <c r="B11" s="524" t="s">
        <v>254</v>
      </c>
      <c r="C11" s="525">
        <f>'D.1.1. ASŘ - NOVÝ STAV'!H118</f>
        <v>0</v>
      </c>
    </row>
    <row r="12" spans="1:9" ht="13.5" customHeight="1">
      <c r="A12" s="523">
        <v>4</v>
      </c>
      <c r="B12" s="524" t="s">
        <v>286</v>
      </c>
      <c r="C12" s="526">
        <f>'D.1.1. ASŘ - NOVÝ STAV'!H156</f>
        <v>0</v>
      </c>
    </row>
    <row r="13" spans="1:9" ht="13.5" customHeight="1">
      <c r="A13" s="523">
        <v>6</v>
      </c>
      <c r="B13" s="524" t="s">
        <v>301</v>
      </c>
      <c r="C13" s="525">
        <f>'D.1.1. ASŘ - NOVÝ STAV'!H171</f>
        <v>0</v>
      </c>
    </row>
    <row r="14" spans="1:9" ht="13.5" customHeight="1">
      <c r="A14" s="523">
        <v>9</v>
      </c>
      <c r="B14" s="524" t="s">
        <v>319</v>
      </c>
      <c r="C14" s="525">
        <f>'D.1.1. ASŘ - NOVÝ STAV'!H190</f>
        <v>0</v>
      </c>
    </row>
    <row r="15" spans="1:9" ht="13.5" customHeight="1">
      <c r="A15" s="527">
        <v>99</v>
      </c>
      <c r="B15" s="528" t="s">
        <v>364</v>
      </c>
      <c r="C15" s="529">
        <f>'D.1.1. ASŘ - NOVÝ STAV'!H239</f>
        <v>0</v>
      </c>
    </row>
    <row r="16" spans="1:9" ht="13.5" customHeight="1">
      <c r="A16" s="520" t="s">
        <v>373</v>
      </c>
      <c r="B16" s="521" t="s">
        <v>374</v>
      </c>
      <c r="C16" s="522">
        <f>SUM(C17:C29)</f>
        <v>0</v>
      </c>
    </row>
    <row r="17" spans="1:3" ht="13.5" customHeight="1">
      <c r="A17" s="523">
        <v>711</v>
      </c>
      <c r="B17" s="524" t="s">
        <v>376</v>
      </c>
      <c r="C17" s="525">
        <f>'D.1.1. ASŘ - NOVÝ STAV'!H247</f>
        <v>0</v>
      </c>
    </row>
    <row r="18" spans="1:3" ht="13.5" customHeight="1">
      <c r="A18" s="523">
        <v>712</v>
      </c>
      <c r="B18" s="524" t="s">
        <v>399</v>
      </c>
      <c r="C18" s="525">
        <f>'D.1.1. ASŘ - NOVÝ STAV'!H266</f>
        <v>0</v>
      </c>
    </row>
    <row r="19" spans="1:3" ht="13.5" customHeight="1">
      <c r="A19" s="523">
        <v>713</v>
      </c>
      <c r="B19" s="524" t="s">
        <v>475</v>
      </c>
      <c r="C19" s="526">
        <f>'D.1.1. ASŘ - NOVÝ STAV'!H353</f>
        <v>0</v>
      </c>
    </row>
    <row r="20" spans="1:3" ht="13.5" customHeight="1">
      <c r="A20" s="523">
        <v>714</v>
      </c>
      <c r="B20" s="524" t="s">
        <v>541</v>
      </c>
      <c r="C20" s="526">
        <f>'D.1.1. ASŘ - NOVÝ STAV'!H436</f>
        <v>0</v>
      </c>
    </row>
    <row r="21" spans="1:3" ht="13.5" customHeight="1">
      <c r="A21" s="523">
        <v>763</v>
      </c>
      <c r="B21" s="524" t="s">
        <v>551</v>
      </c>
      <c r="C21" s="525">
        <f>'D.1.1. ASŘ - NOVÝ STAV'!H444</f>
        <v>0</v>
      </c>
    </row>
    <row r="22" spans="1:3" ht="13.5" customHeight="1">
      <c r="A22" s="2970">
        <v>766</v>
      </c>
      <c r="B22" s="2971" t="s">
        <v>1028</v>
      </c>
      <c r="C22" s="2972">
        <f>'D.1.1. ASŘ - NOVÝ STAV'!H594</f>
        <v>0</v>
      </c>
    </row>
    <row r="23" spans="1:3" ht="13.5" customHeight="1">
      <c r="A23" s="523">
        <v>771</v>
      </c>
      <c r="B23" s="524" t="s">
        <v>646</v>
      </c>
      <c r="C23" s="525">
        <f>'D.1.1. ASŘ - NOVÝ STAV'!H605</f>
        <v>0</v>
      </c>
    </row>
    <row r="24" spans="1:3" ht="13.5" customHeight="1">
      <c r="A24" s="523">
        <v>771</v>
      </c>
      <c r="B24" s="524" t="s">
        <v>883</v>
      </c>
      <c r="C24" s="525">
        <f>'D.1.1. ASŘ - NOVÝ STAV'!H667</f>
        <v>0</v>
      </c>
    </row>
    <row r="25" spans="1:3" ht="13.5" customHeight="1">
      <c r="A25" s="523">
        <v>777</v>
      </c>
      <c r="B25" s="524" t="s">
        <v>759</v>
      </c>
      <c r="C25" s="525">
        <f>'D.1.1. ASŘ - NOVÝ STAV'!H749</f>
        <v>0</v>
      </c>
    </row>
    <row r="26" spans="1:3" ht="13.5" customHeight="1">
      <c r="A26" s="523">
        <v>781</v>
      </c>
      <c r="B26" s="524" t="s">
        <v>798</v>
      </c>
      <c r="C26" s="525">
        <f>'D.1.1. ASŘ - NOVÝ STAV'!H801</f>
        <v>0</v>
      </c>
    </row>
    <row r="27" spans="1:3" ht="13.5" customHeight="1">
      <c r="A27" s="523">
        <v>783</v>
      </c>
      <c r="B27" s="524" t="s">
        <v>812</v>
      </c>
      <c r="C27" s="525">
        <f>'D.1.1. ASŘ - NOVÝ STAV'!H815</f>
        <v>0</v>
      </c>
    </row>
    <row r="28" spans="1:3" ht="13.5" customHeight="1">
      <c r="A28" s="523">
        <v>784</v>
      </c>
      <c r="B28" s="524" t="s">
        <v>821</v>
      </c>
      <c r="C28" s="525">
        <f>'D.1.1. ASŘ - NOVÝ STAV'!H825</f>
        <v>0</v>
      </c>
    </row>
    <row r="29" spans="1:3" ht="13.5" customHeight="1">
      <c r="A29" s="523">
        <v>790</v>
      </c>
      <c r="B29" s="524" t="s">
        <v>849</v>
      </c>
      <c r="C29" s="525">
        <f>'D.1.1. ASŘ - NOVÝ STAV'!H858</f>
        <v>0</v>
      </c>
    </row>
    <row r="30" spans="1:3" ht="13.5" customHeight="1">
      <c r="A30" s="520" t="s">
        <v>859</v>
      </c>
      <c r="B30" s="521" t="s">
        <v>860</v>
      </c>
      <c r="C30" s="522">
        <f>SUM(C31)</f>
        <v>0</v>
      </c>
    </row>
    <row r="31" spans="1:3" ht="13.5" customHeight="1">
      <c r="A31" s="523" t="s">
        <v>861</v>
      </c>
      <c r="B31" s="524" t="s">
        <v>862</v>
      </c>
      <c r="C31" s="525">
        <f>'D.1.1. ASŘ - NOVÝ STAV'!H871</f>
        <v>0</v>
      </c>
    </row>
    <row r="32" spans="1:3" ht="21" customHeight="1">
      <c r="A32" s="530"/>
      <c r="B32" s="531" t="s">
        <v>884</v>
      </c>
      <c r="C32" s="532">
        <f>C16+C8+C30</f>
        <v>0</v>
      </c>
    </row>
    <row r="33" spans="1:3" ht="13.5" customHeight="1">
      <c r="A33" s="533"/>
      <c r="C33" s="534"/>
    </row>
  </sheetData>
  <mergeCells count="1">
    <mergeCell ref="A2:C2"/>
  </mergeCells>
  <printOptions horizontalCentered="1"/>
  <pageMargins left="0.39370078740157483" right="0.39370078740157483" top="0.78740157480314965" bottom="0.39370078740157483" header="0.51181102362204722" footer="0.51181102362204722"/>
  <pageSetup paperSize="9" fitToHeight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AEC8-8A7A-404A-990B-07E82101D41F}">
  <sheetPr>
    <pageSetUpPr fitToPage="1"/>
  </sheetPr>
  <dimension ref="A1:IV896"/>
  <sheetViews>
    <sheetView zoomScaleNormal="100" workbookViewId="0"/>
  </sheetViews>
  <sheetFormatPr defaultRowHeight="15"/>
  <cols>
    <col min="1" max="2" width="5.5" style="141" customWidth="1"/>
    <col min="3" max="3" width="15.33203125" style="141" customWidth="1"/>
    <col min="4" max="4" width="75.5" style="141" customWidth="1"/>
    <col min="5" max="5" width="7.6640625" style="141" customWidth="1"/>
    <col min="6" max="6" width="10.6640625" style="577" customWidth="1"/>
    <col min="7" max="7" width="12.83203125" style="577" customWidth="1"/>
    <col min="8" max="8" width="18.83203125" style="577" customWidth="1"/>
    <col min="9" max="9" width="19.6640625" style="141" customWidth="1"/>
    <col min="10" max="10" width="16" style="141" customWidth="1"/>
    <col min="11" max="11" width="16.6640625" style="141" customWidth="1"/>
    <col min="12" max="12" width="16.83203125" style="141" customWidth="1"/>
    <col min="13" max="13" width="15.6640625" style="141" customWidth="1"/>
    <col min="14" max="14" width="14.5" style="141" customWidth="1"/>
    <col min="15" max="15" width="15.83203125" style="141" customWidth="1"/>
    <col min="16" max="16" width="9.33203125" style="141"/>
    <col min="17" max="17" width="12.83203125" style="141" customWidth="1"/>
    <col min="18" max="18" width="9.33203125" style="141"/>
    <col min="19" max="19" width="12.1640625" style="141" bestFit="1" customWidth="1"/>
    <col min="20" max="20" width="9.33203125" style="141"/>
    <col min="21" max="21" width="11.5" style="141" bestFit="1" customWidth="1"/>
    <col min="22" max="16384" width="9.33203125" style="141"/>
  </cols>
  <sheetData>
    <row r="1" spans="1:14" s="135" customFormat="1" ht="20.25" customHeight="1">
      <c r="A1" s="133" t="s">
        <v>2956</v>
      </c>
      <c r="B1" s="134"/>
      <c r="C1" s="134"/>
      <c r="D1" s="134"/>
      <c r="E1" s="134"/>
      <c r="F1" s="535"/>
      <c r="G1" s="535"/>
      <c r="H1" s="557"/>
      <c r="I1" s="136"/>
      <c r="J1" s="2731"/>
      <c r="K1" s="137"/>
    </row>
    <row r="2" spans="1:14" ht="13.5" customHeight="1">
      <c r="A2" s="138" t="s">
        <v>116</v>
      </c>
      <c r="B2" s="139"/>
      <c r="C2" s="140"/>
      <c r="D2" s="140"/>
      <c r="E2" s="140"/>
      <c r="F2" s="536"/>
      <c r="J2" s="142"/>
      <c r="K2" s="143"/>
    </row>
    <row r="3" spans="1:14" ht="13.5" customHeight="1">
      <c r="A3" s="139" t="s">
        <v>117</v>
      </c>
      <c r="B3" s="140"/>
      <c r="C3" s="140"/>
      <c r="D3" s="140"/>
      <c r="E3" s="140"/>
      <c r="F3" s="535"/>
      <c r="G3" s="535"/>
      <c r="H3" s="557"/>
      <c r="I3" s="135"/>
    </row>
    <row r="4" spans="1:14" ht="13.5" customHeight="1">
      <c r="A4" s="139" t="s">
        <v>118</v>
      </c>
      <c r="B4" s="140"/>
      <c r="C4" s="140"/>
      <c r="D4" s="140"/>
      <c r="E4" s="140"/>
      <c r="F4" s="535"/>
      <c r="G4" s="535"/>
      <c r="H4" s="557"/>
      <c r="I4" s="135"/>
    </row>
    <row r="5" spans="1:14" s="135" customFormat="1" ht="12.75" customHeight="1">
      <c r="A5" s="140"/>
      <c r="B5" s="140"/>
      <c r="C5" s="140"/>
      <c r="D5" s="144"/>
      <c r="E5" s="140"/>
      <c r="F5" s="537"/>
      <c r="G5" s="535"/>
      <c r="H5" s="535"/>
    </row>
    <row r="6" spans="1:14" s="135" customFormat="1" ht="24.75" customHeight="1">
      <c r="A6" s="145" t="s">
        <v>119</v>
      </c>
      <c r="B6" s="145" t="s">
        <v>120</v>
      </c>
      <c r="C6" s="145" t="s">
        <v>121</v>
      </c>
      <c r="D6" s="145" t="s">
        <v>122</v>
      </c>
      <c r="E6" s="145" t="s">
        <v>123</v>
      </c>
      <c r="F6" s="538" t="s">
        <v>124</v>
      </c>
      <c r="G6" s="538" t="s">
        <v>125</v>
      </c>
      <c r="H6" s="538" t="s">
        <v>2</v>
      </c>
      <c r="I6" s="145" t="s">
        <v>46</v>
      </c>
      <c r="K6" s="2732"/>
    </row>
    <row r="7" spans="1:14" s="135" customFormat="1" ht="12.75" customHeight="1">
      <c r="A7" s="145" t="s">
        <v>126</v>
      </c>
      <c r="B7" s="145" t="s">
        <v>127</v>
      </c>
      <c r="C7" s="145" t="s">
        <v>128</v>
      </c>
      <c r="D7" s="145" t="s">
        <v>129</v>
      </c>
      <c r="E7" s="145" t="s">
        <v>130</v>
      </c>
      <c r="F7" s="538" t="s">
        <v>131</v>
      </c>
      <c r="G7" s="538" t="s">
        <v>132</v>
      </c>
      <c r="H7" s="538">
        <v>8</v>
      </c>
      <c r="I7" s="145">
        <v>9</v>
      </c>
    </row>
    <row r="8" spans="1:14" s="135" customFormat="1" ht="21" customHeight="1">
      <c r="A8" s="146"/>
      <c r="B8" s="147"/>
      <c r="C8" s="147" t="s">
        <v>133</v>
      </c>
      <c r="D8" s="147" t="s">
        <v>134</v>
      </c>
      <c r="E8" s="147"/>
      <c r="F8" s="539"/>
      <c r="G8" s="539"/>
      <c r="H8" s="539">
        <f>H9+H72+H118+H156+H171+H190+H239</f>
        <v>0</v>
      </c>
      <c r="J8" s="2733"/>
    </row>
    <row r="9" spans="1:14" s="135" customFormat="1" ht="13.5" customHeight="1">
      <c r="A9" s="148"/>
      <c r="B9" s="149"/>
      <c r="C9" s="149">
        <v>1</v>
      </c>
      <c r="D9" s="149" t="s">
        <v>135</v>
      </c>
      <c r="E9" s="149"/>
      <c r="F9" s="345"/>
      <c r="G9" s="345"/>
      <c r="H9" s="345">
        <f>SUM(H10:H63)</f>
        <v>0</v>
      </c>
      <c r="I9" s="150"/>
      <c r="J9" s="2734"/>
    </row>
    <row r="10" spans="1:14" s="135" customFormat="1" ht="13.5" customHeight="1">
      <c r="A10" s="151">
        <v>1</v>
      </c>
      <c r="B10" s="152" t="s">
        <v>136</v>
      </c>
      <c r="C10" s="152">
        <v>115101201</v>
      </c>
      <c r="D10" s="152" t="s">
        <v>137</v>
      </c>
      <c r="E10" s="152" t="s">
        <v>69</v>
      </c>
      <c r="F10" s="540">
        <v>160</v>
      </c>
      <c r="G10" s="461"/>
      <c r="H10" s="461">
        <f t="shared" ref="H10:H16" si="0">F10*G10</f>
        <v>0</v>
      </c>
      <c r="I10" s="153" t="s">
        <v>138</v>
      </c>
      <c r="J10" s="2735"/>
    </row>
    <row r="11" spans="1:14" s="135" customFormat="1" ht="13.5" customHeight="1">
      <c r="A11" s="151">
        <v>2</v>
      </c>
      <c r="B11" s="152" t="s">
        <v>136</v>
      </c>
      <c r="C11" s="152">
        <v>115101301</v>
      </c>
      <c r="D11" s="152" t="s">
        <v>139</v>
      </c>
      <c r="E11" s="152" t="s">
        <v>140</v>
      </c>
      <c r="F11" s="540">
        <v>20</v>
      </c>
      <c r="G11" s="461"/>
      <c r="H11" s="461">
        <f t="shared" si="0"/>
        <v>0</v>
      </c>
      <c r="I11" s="153" t="s">
        <v>138</v>
      </c>
      <c r="J11" s="2735"/>
    </row>
    <row r="12" spans="1:14" s="135" customFormat="1" ht="13.5" customHeight="1">
      <c r="A12" s="151">
        <v>3</v>
      </c>
      <c r="B12" s="152" t="s">
        <v>136</v>
      </c>
      <c r="C12" s="152">
        <v>119001402</v>
      </c>
      <c r="D12" s="152" t="s">
        <v>141</v>
      </c>
      <c r="E12" s="152" t="s">
        <v>142</v>
      </c>
      <c r="F12" s="540">
        <v>10</v>
      </c>
      <c r="G12" s="461"/>
      <c r="H12" s="461">
        <f t="shared" si="0"/>
        <v>0</v>
      </c>
      <c r="I12" s="153" t="s">
        <v>138</v>
      </c>
      <c r="J12" s="2735"/>
    </row>
    <row r="13" spans="1:14" s="135" customFormat="1" ht="13.5" customHeight="1">
      <c r="A13" s="151">
        <v>4</v>
      </c>
      <c r="B13" s="152" t="s">
        <v>136</v>
      </c>
      <c r="C13" s="152">
        <v>119001406</v>
      </c>
      <c r="D13" s="152" t="s">
        <v>143</v>
      </c>
      <c r="E13" s="152" t="s">
        <v>142</v>
      </c>
      <c r="F13" s="540">
        <v>10</v>
      </c>
      <c r="G13" s="461"/>
      <c r="H13" s="461">
        <f t="shared" si="0"/>
        <v>0</v>
      </c>
      <c r="I13" s="153" t="s">
        <v>138</v>
      </c>
      <c r="J13" s="2735"/>
    </row>
    <row r="14" spans="1:14" s="135" customFormat="1" ht="13.5" customHeight="1">
      <c r="A14" s="151">
        <v>5</v>
      </c>
      <c r="B14" s="152" t="s">
        <v>136</v>
      </c>
      <c r="C14" s="152">
        <v>119001412</v>
      </c>
      <c r="D14" s="152" t="s">
        <v>144</v>
      </c>
      <c r="E14" s="152" t="s">
        <v>142</v>
      </c>
      <c r="F14" s="540">
        <v>10</v>
      </c>
      <c r="G14" s="461"/>
      <c r="H14" s="461">
        <f t="shared" si="0"/>
        <v>0</v>
      </c>
      <c r="I14" s="153" t="s">
        <v>138</v>
      </c>
      <c r="J14" s="2735"/>
    </row>
    <row r="15" spans="1:14" s="135" customFormat="1" ht="13.5" customHeight="1">
      <c r="A15" s="151">
        <v>6</v>
      </c>
      <c r="B15" s="152" t="s">
        <v>136</v>
      </c>
      <c r="C15" s="152">
        <v>119001422</v>
      </c>
      <c r="D15" s="152" t="s">
        <v>145</v>
      </c>
      <c r="E15" s="152" t="s">
        <v>142</v>
      </c>
      <c r="F15" s="540">
        <v>70</v>
      </c>
      <c r="G15" s="461"/>
      <c r="H15" s="461">
        <f t="shared" si="0"/>
        <v>0</v>
      </c>
      <c r="I15" s="153" t="s">
        <v>138</v>
      </c>
      <c r="J15" s="2735"/>
    </row>
    <row r="16" spans="1:14" s="158" customFormat="1" ht="13.5" customHeight="1">
      <c r="A16" s="154">
        <v>7</v>
      </c>
      <c r="B16" s="155" t="s">
        <v>136</v>
      </c>
      <c r="C16" s="155">
        <v>131213702</v>
      </c>
      <c r="D16" s="155" t="s">
        <v>146</v>
      </c>
      <c r="E16" s="155" t="s">
        <v>147</v>
      </c>
      <c r="F16" s="156">
        <f>SUM(F17:F21)</f>
        <v>112.95850000000002</v>
      </c>
      <c r="G16" s="156"/>
      <c r="H16" s="156">
        <f t="shared" si="0"/>
        <v>0</v>
      </c>
      <c r="I16" s="153" t="s">
        <v>138</v>
      </c>
      <c r="J16" s="157"/>
      <c r="N16" s="159"/>
    </row>
    <row r="17" spans="1:23" s="165" customFormat="1" ht="13.5" customHeight="1">
      <c r="A17" s="160"/>
      <c r="B17" s="161"/>
      <c r="C17" s="161"/>
      <c r="D17" s="161" t="s">
        <v>148</v>
      </c>
      <c r="E17" s="161"/>
      <c r="F17" s="162"/>
      <c r="G17" s="162"/>
      <c r="H17" s="162"/>
      <c r="I17" s="163"/>
      <c r="J17" s="164"/>
      <c r="L17" s="166"/>
      <c r="N17" s="166"/>
    </row>
    <row r="18" spans="1:23" s="165" customFormat="1" ht="13.5" customHeight="1">
      <c r="A18" s="160"/>
      <c r="B18" s="161"/>
      <c r="C18" s="161"/>
      <c r="D18" s="161" t="s">
        <v>149</v>
      </c>
      <c r="E18" s="161"/>
      <c r="F18" s="162">
        <f>(10.64+153.6+41.61+33)*0.45</f>
        <v>107.48250000000002</v>
      </c>
      <c r="G18" s="162"/>
      <c r="H18" s="162"/>
      <c r="I18" s="163"/>
      <c r="J18" s="157"/>
      <c r="L18" s="166"/>
      <c r="N18" s="166"/>
    </row>
    <row r="19" spans="1:23" s="165" customFormat="1" ht="13.5" customHeight="1">
      <c r="A19" s="160"/>
      <c r="B19" s="161"/>
      <c r="C19" s="161"/>
      <c r="D19" s="161" t="s">
        <v>150</v>
      </c>
      <c r="E19" s="161"/>
      <c r="F19" s="162"/>
      <c r="G19" s="162"/>
      <c r="H19" s="162"/>
      <c r="I19" s="163"/>
      <c r="J19" s="164"/>
    </row>
    <row r="20" spans="1:23" s="165" customFormat="1" ht="13.5" customHeight="1">
      <c r="A20" s="160"/>
      <c r="B20" s="161"/>
      <c r="C20" s="161"/>
      <c r="D20" s="161" t="s">
        <v>151</v>
      </c>
      <c r="E20" s="161"/>
      <c r="F20" s="162">
        <f xml:space="preserve"> (35.46+19.3)*0.1</f>
        <v>5.4760000000000009</v>
      </c>
      <c r="G20" s="162"/>
      <c r="H20" s="162"/>
      <c r="I20" s="163"/>
      <c r="J20" s="167"/>
      <c r="L20" s="166"/>
      <c r="N20" s="166"/>
    </row>
    <row r="21" spans="1:23" s="174" customFormat="1" ht="27" customHeight="1">
      <c r="A21" s="168"/>
      <c r="B21" s="169"/>
      <c r="C21" s="170"/>
      <c r="D21" s="170" t="s">
        <v>152</v>
      </c>
      <c r="E21" s="170"/>
      <c r="F21" s="171"/>
      <c r="G21" s="171"/>
      <c r="H21" s="172"/>
      <c r="I21" s="173"/>
      <c r="J21" s="167"/>
      <c r="K21" s="165"/>
      <c r="L21" s="166"/>
      <c r="M21" s="165"/>
      <c r="U21" s="175"/>
      <c r="W21" s="175"/>
    </row>
    <row r="22" spans="1:23" s="158" customFormat="1" ht="13.5" customHeight="1">
      <c r="A22" s="154">
        <v>8</v>
      </c>
      <c r="B22" s="155" t="s">
        <v>136</v>
      </c>
      <c r="C22" s="155">
        <v>131313712</v>
      </c>
      <c r="D22" s="155" t="s">
        <v>153</v>
      </c>
      <c r="E22" s="155" t="s">
        <v>147</v>
      </c>
      <c r="F22" s="156">
        <f>SUM(F23:F27)</f>
        <v>145.81450000000001</v>
      </c>
      <c r="G22" s="156"/>
      <c r="H22" s="156">
        <f>F22*G22</f>
        <v>0</v>
      </c>
      <c r="I22" s="153" t="s">
        <v>138</v>
      </c>
      <c r="J22" s="2736"/>
      <c r="N22" s="159"/>
    </row>
    <row r="23" spans="1:23" s="165" customFormat="1" ht="13.5" customHeight="1">
      <c r="A23" s="160"/>
      <c r="B23" s="161"/>
      <c r="C23" s="161"/>
      <c r="D23" s="161" t="s">
        <v>154</v>
      </c>
      <c r="E23" s="161"/>
      <c r="F23" s="162"/>
      <c r="G23" s="162"/>
      <c r="H23" s="162"/>
      <c r="I23" s="163"/>
      <c r="J23" s="164"/>
    </row>
    <row r="24" spans="1:23" s="165" customFormat="1" ht="13.5" customHeight="1">
      <c r="A24" s="160"/>
      <c r="B24" s="161"/>
      <c r="C24" s="161"/>
      <c r="D24" s="161" t="s">
        <v>149</v>
      </c>
      <c r="E24" s="161"/>
      <c r="F24" s="162">
        <f>(10.64+153.6+41.61+33)*0.45</f>
        <v>107.48250000000002</v>
      </c>
      <c r="G24" s="162"/>
      <c r="H24" s="162"/>
      <c r="I24" s="163"/>
      <c r="J24" s="167"/>
      <c r="L24" s="166"/>
      <c r="N24" s="166"/>
    </row>
    <row r="25" spans="1:23" s="165" customFormat="1" ht="13.5" customHeight="1">
      <c r="A25" s="160"/>
      <c r="B25" s="161"/>
      <c r="C25" s="161"/>
      <c r="D25" s="161" t="s">
        <v>155</v>
      </c>
      <c r="E25" s="161"/>
      <c r="F25" s="162"/>
      <c r="G25" s="162"/>
      <c r="H25" s="162"/>
      <c r="I25" s="163"/>
      <c r="J25" s="164"/>
    </row>
    <row r="26" spans="1:23" s="165" customFormat="1" ht="13.5" customHeight="1">
      <c r="A26" s="160"/>
      <c r="B26" s="161"/>
      <c r="C26" s="161"/>
      <c r="D26" s="161" t="s">
        <v>156</v>
      </c>
      <c r="E26" s="161"/>
      <c r="F26" s="162">
        <f xml:space="preserve"> (35.46+19.3)*0.7</f>
        <v>38.332000000000001</v>
      </c>
      <c r="G26" s="162"/>
      <c r="H26" s="162"/>
      <c r="I26" s="163"/>
      <c r="J26" s="167"/>
      <c r="L26" s="166"/>
      <c r="N26" s="166"/>
    </row>
    <row r="27" spans="1:23" s="174" customFormat="1" ht="27" customHeight="1">
      <c r="A27" s="168"/>
      <c r="B27" s="169"/>
      <c r="C27" s="170"/>
      <c r="D27" s="170" t="s">
        <v>152</v>
      </c>
      <c r="E27" s="170"/>
      <c r="F27" s="171"/>
      <c r="G27" s="171"/>
      <c r="H27" s="172"/>
      <c r="I27" s="173"/>
      <c r="J27" s="167"/>
      <c r="K27" s="165"/>
      <c r="L27" s="166"/>
      <c r="M27" s="165"/>
      <c r="U27" s="175"/>
      <c r="W27" s="175"/>
    </row>
    <row r="28" spans="1:23" s="158" customFormat="1" ht="13.5" customHeight="1">
      <c r="A28" s="154">
        <v>9</v>
      </c>
      <c r="B28" s="155" t="s">
        <v>136</v>
      </c>
      <c r="C28" s="155">
        <v>131413712</v>
      </c>
      <c r="D28" s="155" t="s">
        <v>157</v>
      </c>
      <c r="E28" s="155" t="s">
        <v>147</v>
      </c>
      <c r="F28" s="156">
        <f>SUM(F29:F33)</f>
        <v>34.837000000000003</v>
      </c>
      <c r="G28" s="156"/>
      <c r="H28" s="156">
        <f>F28*G28</f>
        <v>0</v>
      </c>
      <c r="I28" s="153" t="s">
        <v>138</v>
      </c>
      <c r="J28" s="2736"/>
    </row>
    <row r="29" spans="1:23" s="165" customFormat="1" ht="13.5" customHeight="1">
      <c r="A29" s="160"/>
      <c r="B29" s="161"/>
      <c r="C29" s="161"/>
      <c r="D29" s="161" t="s">
        <v>150</v>
      </c>
      <c r="E29" s="161"/>
      <c r="F29" s="162"/>
      <c r="G29" s="162"/>
      <c r="H29" s="162"/>
      <c r="I29" s="163"/>
      <c r="J29" s="167"/>
    </row>
    <row r="30" spans="1:23" s="165" customFormat="1" ht="13.5" customHeight="1">
      <c r="A30" s="160"/>
      <c r="B30" s="161"/>
      <c r="C30" s="161"/>
      <c r="D30" s="161" t="s">
        <v>158</v>
      </c>
      <c r="E30" s="161"/>
      <c r="F30" s="162">
        <f>(10.64+153.6+41.61+33)*0.1</f>
        <v>23.885000000000005</v>
      </c>
      <c r="G30" s="162"/>
      <c r="H30" s="162"/>
      <c r="I30" s="163"/>
      <c r="J30" s="167"/>
    </row>
    <row r="31" spans="1:23" s="165" customFormat="1" ht="13.5" customHeight="1">
      <c r="A31" s="160"/>
      <c r="B31" s="161"/>
      <c r="C31" s="161"/>
      <c r="D31" s="161" t="s">
        <v>159</v>
      </c>
      <c r="E31" s="161"/>
      <c r="F31" s="162"/>
      <c r="G31" s="162"/>
      <c r="H31" s="162"/>
      <c r="I31" s="163"/>
      <c r="J31" s="164"/>
    </row>
    <row r="32" spans="1:23" s="165" customFormat="1" ht="13.5" customHeight="1">
      <c r="A32" s="160"/>
      <c r="B32" s="161"/>
      <c r="C32" s="161"/>
      <c r="D32" s="161" t="s">
        <v>160</v>
      </c>
      <c r="E32" s="161"/>
      <c r="F32" s="162">
        <f>(35.46+19.3)*0.2</f>
        <v>10.952000000000002</v>
      </c>
      <c r="G32" s="162"/>
      <c r="H32" s="162"/>
      <c r="I32" s="163"/>
      <c r="J32" s="167"/>
      <c r="L32" s="166"/>
      <c r="N32" s="166"/>
    </row>
    <row r="33" spans="1:23" s="174" customFormat="1" ht="27" customHeight="1">
      <c r="A33" s="168"/>
      <c r="B33" s="169"/>
      <c r="C33" s="170"/>
      <c r="D33" s="170" t="s">
        <v>161</v>
      </c>
      <c r="E33" s="170"/>
      <c r="F33" s="171"/>
      <c r="G33" s="171"/>
      <c r="H33" s="172"/>
      <c r="I33" s="173"/>
      <c r="J33" s="167"/>
      <c r="K33" s="165"/>
      <c r="L33" s="166"/>
      <c r="M33" s="165"/>
      <c r="U33" s="175"/>
      <c r="W33" s="175"/>
    </row>
    <row r="34" spans="1:23" s="135" customFormat="1" ht="13.5" customHeight="1">
      <c r="A34" s="176">
        <v>10</v>
      </c>
      <c r="B34" s="177" t="s">
        <v>136</v>
      </c>
      <c r="C34" s="177">
        <v>139001101</v>
      </c>
      <c r="D34" s="177" t="s">
        <v>162</v>
      </c>
      <c r="E34" s="177" t="s">
        <v>147</v>
      </c>
      <c r="F34" s="541">
        <f>F35</f>
        <v>23.885000000000005</v>
      </c>
      <c r="G34" s="178"/>
      <c r="H34" s="178">
        <f>F34*G34</f>
        <v>0</v>
      </c>
      <c r="I34" s="153" t="s">
        <v>138</v>
      </c>
      <c r="J34" s="2737"/>
    </row>
    <row r="35" spans="1:23" s="174" customFormat="1" ht="13.5" customHeight="1">
      <c r="A35" s="168"/>
      <c r="B35" s="169"/>
      <c r="C35" s="170"/>
      <c r="D35" s="170" t="s">
        <v>163</v>
      </c>
      <c r="E35" s="170"/>
      <c r="F35" s="171">
        <f>(10.64+153.6+41.61+33)*0.1</f>
        <v>23.885000000000005</v>
      </c>
      <c r="G35" s="171"/>
      <c r="H35" s="172"/>
      <c r="I35" s="173"/>
      <c r="J35" s="2738"/>
      <c r="T35" s="175"/>
      <c r="V35" s="175"/>
    </row>
    <row r="36" spans="1:23" s="135" customFormat="1" ht="13.5" customHeight="1">
      <c r="A36" s="179" t="s">
        <v>895</v>
      </c>
      <c r="B36" s="180" t="s">
        <v>136</v>
      </c>
      <c r="C36" s="177">
        <v>171152501</v>
      </c>
      <c r="D36" s="177" t="s">
        <v>164</v>
      </c>
      <c r="E36" s="177" t="s">
        <v>165</v>
      </c>
      <c r="F36" s="542">
        <f>SUM(F38:F39)</f>
        <v>75.05</v>
      </c>
      <c r="G36" s="178"/>
      <c r="H36" s="178">
        <f>F36*G36</f>
        <v>0</v>
      </c>
      <c r="I36" s="153" t="s">
        <v>138</v>
      </c>
      <c r="J36" s="182"/>
    </row>
    <row r="37" spans="1:23" s="135" customFormat="1" ht="13.5" customHeight="1">
      <c r="A37" s="179"/>
      <c r="B37" s="180"/>
      <c r="C37" s="177"/>
      <c r="D37" s="183" t="s">
        <v>166</v>
      </c>
      <c r="E37" s="177"/>
      <c r="F37" s="543"/>
      <c r="G37" s="178"/>
      <c r="H37" s="178"/>
      <c r="I37" s="184"/>
      <c r="J37" s="185"/>
    </row>
    <row r="38" spans="1:23" s="135" customFormat="1" ht="13.5" customHeight="1">
      <c r="A38" s="179"/>
      <c r="B38" s="180"/>
      <c r="C38" s="177"/>
      <c r="D38" s="183" t="s">
        <v>167</v>
      </c>
      <c r="E38" s="177"/>
      <c r="F38" s="543">
        <f>(71.81)</f>
        <v>71.81</v>
      </c>
      <c r="G38" s="178"/>
      <c r="H38" s="178"/>
      <c r="I38" s="184"/>
      <c r="J38" s="2739"/>
    </row>
    <row r="39" spans="1:23" s="135" customFormat="1" ht="13.5" customHeight="1">
      <c r="A39" s="179"/>
      <c r="B39" s="180"/>
      <c r="C39" s="177"/>
      <c r="D39" s="183" t="s">
        <v>168</v>
      </c>
      <c r="E39" s="177"/>
      <c r="F39" s="543">
        <f>(3.24)</f>
        <v>3.24</v>
      </c>
      <c r="G39" s="178"/>
      <c r="H39" s="178"/>
      <c r="I39" s="184"/>
      <c r="J39" s="2739"/>
    </row>
    <row r="40" spans="1:23" s="189" customFormat="1" ht="13.5" customHeight="1">
      <c r="A40" s="186">
        <v>12</v>
      </c>
      <c r="B40" s="187" t="s">
        <v>136</v>
      </c>
      <c r="C40" s="188">
        <v>174111101</v>
      </c>
      <c r="D40" s="188" t="s">
        <v>169</v>
      </c>
      <c r="E40" s="188" t="s">
        <v>147</v>
      </c>
      <c r="F40" s="544">
        <f>SUM(F41:F44)</f>
        <v>255.35</v>
      </c>
      <c r="G40" s="544"/>
      <c r="H40" s="544">
        <f>F40*G40</f>
        <v>0</v>
      </c>
      <c r="I40" s="153" t="s">
        <v>138</v>
      </c>
      <c r="J40" s="2740"/>
    </row>
    <row r="41" spans="1:23" s="189" customFormat="1" ht="13.5" customHeight="1">
      <c r="A41" s="186"/>
      <c r="B41" s="187"/>
      <c r="C41" s="188"/>
      <c r="D41" s="190" t="s">
        <v>170</v>
      </c>
      <c r="E41" s="188"/>
      <c r="F41" s="544"/>
      <c r="G41" s="544"/>
      <c r="H41" s="544"/>
      <c r="I41" s="191"/>
      <c r="J41" s="2740"/>
    </row>
    <row r="42" spans="1:23" s="189" customFormat="1" ht="13.5" customHeight="1">
      <c r="A42" s="186"/>
      <c r="B42" s="188"/>
      <c r="C42" s="188"/>
      <c r="D42" s="190" t="s">
        <v>171</v>
      </c>
      <c r="E42" s="188"/>
      <c r="F42" s="545">
        <f>(238.85)</f>
        <v>238.85</v>
      </c>
      <c r="G42" s="544"/>
      <c r="H42" s="544"/>
      <c r="I42" s="191"/>
    </row>
    <row r="43" spans="1:23" s="189" customFormat="1" ht="13.5" customHeight="1">
      <c r="A43" s="186"/>
      <c r="B43" s="187"/>
      <c r="C43" s="188"/>
      <c r="D43" s="190" t="s">
        <v>172</v>
      </c>
      <c r="E43" s="188"/>
      <c r="F43" s="544"/>
      <c r="G43" s="544"/>
      <c r="H43" s="544"/>
      <c r="I43" s="191"/>
      <c r="J43" s="2740"/>
    </row>
    <row r="44" spans="1:23" s="189" customFormat="1" ht="13.5" customHeight="1">
      <c r="A44" s="186"/>
      <c r="B44" s="188"/>
      <c r="C44" s="188"/>
      <c r="D44" s="190" t="s">
        <v>173</v>
      </c>
      <c r="E44" s="188"/>
      <c r="F44" s="545">
        <f>(15)*1.1</f>
        <v>16.5</v>
      </c>
      <c r="G44" s="544"/>
      <c r="H44" s="544"/>
      <c r="I44" s="191"/>
      <c r="J44" s="2740"/>
    </row>
    <row r="45" spans="1:23" s="189" customFormat="1" ht="13.5" customHeight="1">
      <c r="A45" s="186">
        <v>13</v>
      </c>
      <c r="B45" s="187" t="s">
        <v>136</v>
      </c>
      <c r="C45" s="188">
        <v>174111102</v>
      </c>
      <c r="D45" s="188" t="s">
        <v>174</v>
      </c>
      <c r="E45" s="188" t="s">
        <v>147</v>
      </c>
      <c r="F45" s="544">
        <f>SUM(F46:F48)</f>
        <v>323.85000000000002</v>
      </c>
      <c r="G45" s="544"/>
      <c r="H45" s="544">
        <f>F45*G45</f>
        <v>0</v>
      </c>
      <c r="I45" s="153" t="s">
        <v>138</v>
      </c>
      <c r="J45" s="2740"/>
    </row>
    <row r="46" spans="1:23" s="189" customFormat="1" ht="13.5" customHeight="1">
      <c r="A46" s="186"/>
      <c r="B46" s="187"/>
      <c r="C46" s="188"/>
      <c r="D46" s="190" t="s">
        <v>170</v>
      </c>
      <c r="E46" s="188"/>
      <c r="F46" s="544"/>
      <c r="G46" s="544"/>
      <c r="H46" s="544"/>
      <c r="I46" s="191"/>
      <c r="J46" s="2740"/>
    </row>
    <row r="47" spans="1:23" s="189" customFormat="1" ht="27" customHeight="1">
      <c r="A47" s="186"/>
      <c r="B47" s="188"/>
      <c r="C47" s="188"/>
      <c r="D47" s="190" t="s">
        <v>175</v>
      </c>
      <c r="E47" s="188"/>
      <c r="F47" s="545">
        <v>85</v>
      </c>
      <c r="G47" s="544"/>
      <c r="H47" s="544"/>
      <c r="I47" s="191"/>
    </row>
    <row r="48" spans="1:23" s="189" customFormat="1" ht="13.5" customHeight="1">
      <c r="A48" s="186"/>
      <c r="B48" s="188"/>
      <c r="C48" s="188"/>
      <c r="D48" s="190" t="s">
        <v>176</v>
      </c>
      <c r="E48" s="188"/>
      <c r="F48" s="545">
        <v>238.85</v>
      </c>
      <c r="G48" s="544"/>
      <c r="H48" s="544"/>
      <c r="I48" s="191"/>
    </row>
    <row r="49" spans="1:256" s="195" customFormat="1" ht="13.5" customHeight="1">
      <c r="A49" s="192">
        <v>14</v>
      </c>
      <c r="B49" s="193">
        <v>103</v>
      </c>
      <c r="C49" s="193">
        <v>10364100</v>
      </c>
      <c r="D49" s="193" t="s">
        <v>177</v>
      </c>
      <c r="E49" s="193" t="s">
        <v>178</v>
      </c>
      <c r="F49" s="546">
        <f>SUM(F51:F52)</f>
        <v>550.54499999999996</v>
      </c>
      <c r="G49" s="546"/>
      <c r="H49" s="546">
        <f>F49*G49</f>
        <v>0</v>
      </c>
      <c r="I49" s="194" t="s">
        <v>138</v>
      </c>
    </row>
    <row r="50" spans="1:256" s="189" customFormat="1" ht="13.5" customHeight="1">
      <c r="A50" s="196"/>
      <c r="B50" s="197"/>
      <c r="C50" s="198"/>
      <c r="D50" s="199" t="s">
        <v>170</v>
      </c>
      <c r="E50" s="198"/>
      <c r="F50" s="547"/>
      <c r="G50" s="547"/>
      <c r="H50" s="547"/>
      <c r="I50" s="200"/>
      <c r="J50" s="2740"/>
    </row>
    <row r="51" spans="1:256" s="189" customFormat="1" ht="27" customHeight="1">
      <c r="A51" s="196"/>
      <c r="B51" s="198"/>
      <c r="C51" s="198"/>
      <c r="D51" s="190" t="s">
        <v>179</v>
      </c>
      <c r="E51" s="198"/>
      <c r="F51" s="548">
        <f>(85)*1.7</f>
        <v>144.5</v>
      </c>
      <c r="G51" s="547"/>
      <c r="H51" s="547"/>
      <c r="I51" s="200"/>
    </row>
    <row r="52" spans="1:256" s="189" customFormat="1" ht="13.5" customHeight="1">
      <c r="A52" s="196"/>
      <c r="B52" s="198"/>
      <c r="C52" s="198"/>
      <c r="D52" s="190" t="s">
        <v>180</v>
      </c>
      <c r="E52" s="198"/>
      <c r="F52" s="548">
        <f>(238.85)*1.7</f>
        <v>406.04499999999996</v>
      </c>
      <c r="G52" s="547"/>
      <c r="H52" s="547"/>
      <c r="I52" s="200"/>
    </row>
    <row r="53" spans="1:256" s="195" customFormat="1" ht="13.5" customHeight="1">
      <c r="A53" s="192">
        <v>15</v>
      </c>
      <c r="B53" s="193">
        <v>583</v>
      </c>
      <c r="C53" s="193">
        <v>58344171</v>
      </c>
      <c r="D53" s="193" t="s">
        <v>181</v>
      </c>
      <c r="E53" s="193" t="s">
        <v>178</v>
      </c>
      <c r="F53" s="546">
        <f>SUM(F54:F55)</f>
        <v>33</v>
      </c>
      <c r="G53" s="546"/>
      <c r="H53" s="546">
        <f>F53*G53</f>
        <v>0</v>
      </c>
      <c r="I53" s="194" t="s">
        <v>138</v>
      </c>
      <c r="J53" s="2741"/>
    </row>
    <row r="54" spans="1:256" s="189" customFormat="1" ht="13.5" customHeight="1">
      <c r="A54" s="196"/>
      <c r="B54" s="197"/>
      <c r="C54" s="198"/>
      <c r="D54" s="199" t="s">
        <v>172</v>
      </c>
      <c r="E54" s="198"/>
      <c r="F54" s="547"/>
      <c r="G54" s="547"/>
      <c r="H54" s="547"/>
      <c r="I54" s="200"/>
      <c r="J54" s="2740"/>
    </row>
    <row r="55" spans="1:256" s="189" customFormat="1" ht="13.5" customHeight="1">
      <c r="A55" s="196"/>
      <c r="B55" s="198"/>
      <c r="C55" s="198"/>
      <c r="D55" s="199" t="s">
        <v>182</v>
      </c>
      <c r="E55" s="198"/>
      <c r="F55" s="548">
        <f>(16.5)*2</f>
        <v>33</v>
      </c>
      <c r="G55" s="547"/>
      <c r="H55" s="547"/>
      <c r="I55" s="200"/>
    </row>
    <row r="56" spans="1:256" s="206" customFormat="1" ht="27" customHeight="1">
      <c r="A56" s="201">
        <v>16</v>
      </c>
      <c r="B56" s="202" t="s">
        <v>136</v>
      </c>
      <c r="C56" s="203" t="s">
        <v>183</v>
      </c>
      <c r="D56" s="203" t="s">
        <v>184</v>
      </c>
      <c r="E56" s="203" t="s">
        <v>147</v>
      </c>
      <c r="F56" s="204">
        <f>F58+F61</f>
        <v>293.61</v>
      </c>
      <c r="G56" s="204">
        <f>SUM(H64:H69)/F56</f>
        <v>0</v>
      </c>
      <c r="H56" s="204">
        <f>F56*G56</f>
        <v>0</v>
      </c>
      <c r="I56" s="205" t="s">
        <v>111</v>
      </c>
      <c r="J56" s="2742"/>
      <c r="L56" s="207"/>
      <c r="M56" s="207"/>
      <c r="N56" s="207"/>
      <c r="O56" s="207"/>
      <c r="P56" s="207"/>
      <c r="Q56" s="207"/>
      <c r="R56" s="207"/>
      <c r="S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7"/>
      <c r="CA56" s="207"/>
      <c r="CB56" s="207"/>
      <c r="CC56" s="207"/>
      <c r="CD56" s="207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7"/>
      <c r="EF56" s="207"/>
      <c r="EG56" s="207"/>
      <c r="EH56" s="207"/>
      <c r="EI56" s="207"/>
      <c r="EJ56" s="207"/>
      <c r="EK56" s="207"/>
      <c r="EL56" s="207"/>
      <c r="EM56" s="207"/>
      <c r="EN56" s="207"/>
      <c r="EO56" s="207"/>
      <c r="EP56" s="207"/>
      <c r="EQ56" s="207"/>
      <c r="ER56" s="207"/>
      <c r="ES56" s="207"/>
      <c r="ET56" s="207"/>
      <c r="EU56" s="207"/>
      <c r="EV56" s="207"/>
      <c r="EW56" s="207"/>
      <c r="EX56" s="207"/>
      <c r="EY56" s="207"/>
      <c r="EZ56" s="207"/>
      <c r="FA56" s="207"/>
      <c r="FB56" s="207"/>
      <c r="FC56" s="207"/>
      <c r="FD56" s="207"/>
      <c r="FE56" s="207"/>
      <c r="FF56" s="207"/>
      <c r="FG56" s="207"/>
      <c r="FH56" s="207"/>
      <c r="FI56" s="207"/>
      <c r="FJ56" s="207"/>
      <c r="FK56" s="207"/>
      <c r="FL56" s="207"/>
      <c r="FM56" s="207"/>
      <c r="FN56" s="207"/>
      <c r="FO56" s="207"/>
      <c r="FP56" s="207"/>
      <c r="FQ56" s="207"/>
      <c r="FR56" s="207"/>
      <c r="FS56" s="207"/>
      <c r="FT56" s="207"/>
      <c r="FU56" s="207"/>
      <c r="FV56" s="207"/>
      <c r="FW56" s="207"/>
      <c r="FX56" s="207"/>
      <c r="FY56" s="207"/>
      <c r="FZ56" s="207"/>
      <c r="GA56" s="207"/>
      <c r="GB56" s="207"/>
      <c r="GC56" s="207"/>
      <c r="GD56" s="207"/>
      <c r="GE56" s="207"/>
      <c r="GF56" s="207"/>
      <c r="GG56" s="207"/>
      <c r="GH56" s="207"/>
      <c r="GI56" s="207"/>
      <c r="GJ56" s="207"/>
      <c r="GK56" s="207"/>
      <c r="GL56" s="207"/>
      <c r="GM56" s="207"/>
      <c r="GN56" s="207"/>
      <c r="GO56" s="207"/>
      <c r="GP56" s="207"/>
      <c r="GQ56" s="207"/>
      <c r="GR56" s="207"/>
      <c r="GS56" s="207"/>
      <c r="GT56" s="207"/>
      <c r="GU56" s="207"/>
      <c r="GV56" s="207"/>
      <c r="GW56" s="207"/>
      <c r="GX56" s="207"/>
      <c r="GY56" s="207"/>
      <c r="GZ56" s="207"/>
      <c r="HA56" s="207"/>
      <c r="HB56" s="207"/>
      <c r="HC56" s="207"/>
      <c r="HD56" s="207"/>
      <c r="HE56" s="207"/>
      <c r="HF56" s="207"/>
      <c r="HG56" s="207"/>
      <c r="HH56" s="207"/>
      <c r="HI56" s="207"/>
      <c r="HJ56" s="207"/>
      <c r="HK56" s="207"/>
      <c r="HL56" s="207"/>
      <c r="HM56" s="207"/>
      <c r="HN56" s="207"/>
      <c r="HO56" s="207"/>
      <c r="HP56" s="207"/>
      <c r="HQ56" s="207"/>
      <c r="HR56" s="207"/>
      <c r="HS56" s="207"/>
      <c r="HT56" s="207"/>
      <c r="HU56" s="207"/>
      <c r="HV56" s="207"/>
      <c r="HW56" s="207"/>
      <c r="HX56" s="207"/>
      <c r="HY56" s="207"/>
      <c r="HZ56" s="207"/>
      <c r="IA56" s="207"/>
      <c r="IB56" s="207"/>
      <c r="IC56" s="207"/>
      <c r="ID56" s="207"/>
      <c r="IE56" s="207"/>
      <c r="IF56" s="207"/>
      <c r="IG56" s="207"/>
      <c r="IH56" s="207"/>
      <c r="II56" s="207"/>
      <c r="IJ56" s="207"/>
      <c r="IK56" s="207"/>
      <c r="IL56" s="207"/>
      <c r="IM56" s="207"/>
      <c r="IN56" s="207"/>
      <c r="IO56" s="207"/>
      <c r="IP56" s="207"/>
      <c r="IQ56" s="207"/>
      <c r="IR56" s="207"/>
      <c r="IS56" s="207"/>
      <c r="IT56" s="207"/>
      <c r="IU56" s="207"/>
      <c r="IV56" s="207"/>
    </row>
    <row r="57" spans="1:256" s="206" customFormat="1" ht="13.5" customHeight="1">
      <c r="A57" s="201"/>
      <c r="B57" s="202"/>
      <c r="C57" s="203"/>
      <c r="D57" s="208" t="s">
        <v>185</v>
      </c>
      <c r="E57" s="203"/>
      <c r="F57" s="204"/>
      <c r="G57" s="204"/>
      <c r="H57" s="204"/>
      <c r="I57" s="205"/>
      <c r="J57" s="2742"/>
      <c r="L57" s="207"/>
      <c r="M57" s="207"/>
      <c r="N57" s="207"/>
      <c r="O57" s="207"/>
      <c r="P57" s="207"/>
      <c r="Q57" s="207"/>
      <c r="R57" s="207"/>
      <c r="S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  <c r="BW57" s="207"/>
      <c r="BX57" s="207"/>
      <c r="BY57" s="207"/>
      <c r="BZ57" s="207"/>
      <c r="CA57" s="207"/>
      <c r="CB57" s="207"/>
      <c r="CC57" s="207"/>
      <c r="CD57" s="207"/>
      <c r="CE57" s="207"/>
      <c r="CF57" s="207"/>
      <c r="CG57" s="207"/>
      <c r="CH57" s="207"/>
      <c r="CI57" s="207"/>
      <c r="CJ57" s="207"/>
      <c r="CK57" s="207"/>
      <c r="CL57" s="207"/>
      <c r="CM57" s="207"/>
      <c r="CN57" s="207"/>
      <c r="CO57" s="207"/>
      <c r="CP57" s="207"/>
      <c r="CQ57" s="207"/>
      <c r="CR57" s="207"/>
      <c r="CS57" s="207"/>
      <c r="CT57" s="207"/>
      <c r="CU57" s="207"/>
      <c r="CV57" s="207"/>
      <c r="CW57" s="207"/>
      <c r="CX57" s="207"/>
      <c r="CY57" s="207"/>
      <c r="CZ57" s="207"/>
      <c r="DA57" s="207"/>
      <c r="DB57" s="207"/>
      <c r="DC57" s="207"/>
      <c r="DD57" s="207"/>
      <c r="DE57" s="207"/>
      <c r="DF57" s="207"/>
      <c r="DG57" s="207"/>
      <c r="DH57" s="207"/>
      <c r="DI57" s="207"/>
      <c r="DJ57" s="207"/>
      <c r="DK57" s="207"/>
      <c r="DL57" s="207"/>
      <c r="DM57" s="207"/>
      <c r="DN57" s="207"/>
      <c r="DO57" s="207"/>
      <c r="DP57" s="207"/>
      <c r="DQ57" s="207"/>
      <c r="DR57" s="207"/>
      <c r="DS57" s="207"/>
      <c r="DT57" s="207"/>
      <c r="DU57" s="207"/>
      <c r="DV57" s="207"/>
      <c r="DW57" s="207"/>
      <c r="DX57" s="207"/>
      <c r="DY57" s="207"/>
      <c r="DZ57" s="207"/>
      <c r="EA57" s="207"/>
      <c r="EB57" s="207"/>
      <c r="EC57" s="207"/>
      <c r="ED57" s="207"/>
      <c r="EE57" s="207"/>
      <c r="EF57" s="207"/>
      <c r="EG57" s="207"/>
      <c r="EH57" s="207"/>
      <c r="EI57" s="207"/>
      <c r="EJ57" s="207"/>
      <c r="EK57" s="207"/>
      <c r="EL57" s="207"/>
      <c r="EM57" s="207"/>
      <c r="EN57" s="207"/>
      <c r="EO57" s="207"/>
      <c r="EP57" s="207"/>
      <c r="EQ57" s="207"/>
      <c r="ER57" s="207"/>
      <c r="ES57" s="207"/>
      <c r="ET57" s="207"/>
      <c r="EU57" s="207"/>
      <c r="EV57" s="207"/>
      <c r="EW57" s="207"/>
      <c r="EX57" s="207"/>
      <c r="EY57" s="207"/>
      <c r="EZ57" s="207"/>
      <c r="FA57" s="207"/>
      <c r="FB57" s="207"/>
      <c r="FC57" s="207"/>
      <c r="FD57" s="207"/>
      <c r="FE57" s="207"/>
      <c r="FF57" s="207"/>
      <c r="FG57" s="207"/>
      <c r="FH57" s="207"/>
      <c r="FI57" s="207"/>
      <c r="FJ57" s="207"/>
      <c r="FK57" s="207"/>
      <c r="FL57" s="207"/>
      <c r="FM57" s="207"/>
      <c r="FN57" s="207"/>
      <c r="FO57" s="207"/>
      <c r="FP57" s="207"/>
      <c r="FQ57" s="207"/>
      <c r="FR57" s="207"/>
      <c r="FS57" s="207"/>
      <c r="FT57" s="207"/>
      <c r="FU57" s="207"/>
      <c r="FV57" s="207"/>
      <c r="FW57" s="207"/>
      <c r="FX57" s="207"/>
      <c r="FY57" s="207"/>
      <c r="FZ57" s="207"/>
      <c r="GA57" s="207"/>
      <c r="GB57" s="207"/>
      <c r="GC57" s="207"/>
      <c r="GD57" s="207"/>
      <c r="GE57" s="207"/>
      <c r="GF57" s="207"/>
      <c r="GG57" s="207"/>
      <c r="GH57" s="207"/>
      <c r="GI57" s="207"/>
      <c r="GJ57" s="207"/>
      <c r="GK57" s="207"/>
      <c r="GL57" s="207"/>
      <c r="GM57" s="207"/>
      <c r="GN57" s="207"/>
      <c r="GO57" s="207"/>
      <c r="GP57" s="207"/>
      <c r="GQ57" s="207"/>
      <c r="GR57" s="207"/>
      <c r="GS57" s="207"/>
      <c r="GT57" s="207"/>
      <c r="GU57" s="207"/>
      <c r="GV57" s="207"/>
      <c r="GW57" s="207"/>
      <c r="GX57" s="207"/>
      <c r="GY57" s="207"/>
      <c r="GZ57" s="207"/>
      <c r="HA57" s="207"/>
      <c r="HB57" s="207"/>
      <c r="HC57" s="207"/>
      <c r="HD57" s="207"/>
      <c r="HE57" s="207"/>
      <c r="HF57" s="207"/>
      <c r="HG57" s="207"/>
      <c r="HH57" s="207"/>
      <c r="HI57" s="207"/>
      <c r="HJ57" s="207"/>
      <c r="HK57" s="207"/>
      <c r="HL57" s="207"/>
      <c r="HM57" s="207"/>
      <c r="HN57" s="207"/>
      <c r="HO57" s="207"/>
      <c r="HP57" s="207"/>
      <c r="HQ57" s="207"/>
      <c r="HR57" s="207"/>
      <c r="HS57" s="207"/>
      <c r="HT57" s="207"/>
      <c r="HU57" s="207"/>
      <c r="HV57" s="207"/>
      <c r="HW57" s="207"/>
      <c r="HX57" s="207"/>
      <c r="HY57" s="207"/>
      <c r="HZ57" s="207"/>
      <c r="IA57" s="207"/>
      <c r="IB57" s="207"/>
      <c r="IC57" s="207"/>
      <c r="ID57" s="207"/>
      <c r="IE57" s="207"/>
      <c r="IF57" s="207"/>
      <c r="IG57" s="207"/>
      <c r="IH57" s="207"/>
      <c r="II57" s="207"/>
      <c r="IJ57" s="207"/>
      <c r="IK57" s="207"/>
      <c r="IL57" s="207"/>
      <c r="IM57" s="207"/>
      <c r="IN57" s="207"/>
      <c r="IO57" s="207"/>
      <c r="IP57" s="207"/>
      <c r="IQ57" s="207"/>
      <c r="IR57" s="207"/>
      <c r="IS57" s="207"/>
      <c r="IT57" s="207"/>
      <c r="IU57" s="207"/>
      <c r="IV57" s="207"/>
    </row>
    <row r="58" spans="1:256" s="206" customFormat="1" ht="13.5" customHeight="1">
      <c r="A58" s="201"/>
      <c r="B58" s="202"/>
      <c r="C58" s="209"/>
      <c r="D58" s="210" t="s">
        <v>186</v>
      </c>
      <c r="E58" s="211"/>
      <c r="F58" s="549">
        <f>SUM(F59:F60)</f>
        <v>112.95850000000002</v>
      </c>
      <c r="G58" s="204"/>
      <c r="H58" s="204"/>
      <c r="I58" s="205"/>
      <c r="J58" s="2742"/>
      <c r="K58" s="2743"/>
      <c r="L58" s="2744"/>
      <c r="M58" s="207"/>
      <c r="N58" s="207"/>
      <c r="O58" s="207"/>
      <c r="P58" s="207"/>
      <c r="Q58" s="207"/>
      <c r="R58" s="207"/>
      <c r="S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7"/>
      <c r="BN58" s="207"/>
      <c r="BO58" s="207"/>
      <c r="BP58" s="207"/>
      <c r="BQ58" s="207"/>
      <c r="BR58" s="207"/>
      <c r="BS58" s="207"/>
      <c r="BT58" s="207"/>
      <c r="BU58" s="207"/>
      <c r="BV58" s="207"/>
      <c r="BW58" s="207"/>
      <c r="BX58" s="207"/>
      <c r="BY58" s="207"/>
      <c r="BZ58" s="207"/>
      <c r="CA58" s="207"/>
      <c r="CB58" s="207"/>
      <c r="CC58" s="207"/>
      <c r="CD58" s="207"/>
      <c r="CE58" s="207"/>
      <c r="CF58" s="207"/>
      <c r="CG58" s="207"/>
      <c r="CH58" s="207"/>
      <c r="CI58" s="207"/>
      <c r="CJ58" s="207"/>
      <c r="CK58" s="207"/>
      <c r="CL58" s="207"/>
      <c r="CM58" s="207"/>
      <c r="CN58" s="207"/>
      <c r="CO58" s="207"/>
      <c r="CP58" s="207"/>
      <c r="CQ58" s="207"/>
      <c r="CR58" s="207"/>
      <c r="CS58" s="207"/>
      <c r="CT58" s="207"/>
      <c r="CU58" s="207"/>
      <c r="CV58" s="207"/>
      <c r="CW58" s="207"/>
      <c r="CX58" s="207"/>
      <c r="CY58" s="207"/>
      <c r="CZ58" s="207"/>
      <c r="DA58" s="207"/>
      <c r="DB58" s="207"/>
      <c r="DC58" s="207"/>
      <c r="DD58" s="207"/>
      <c r="DE58" s="207"/>
      <c r="DF58" s="207"/>
      <c r="DG58" s="207"/>
      <c r="DH58" s="207"/>
      <c r="DI58" s="207"/>
      <c r="DJ58" s="207"/>
      <c r="DK58" s="207"/>
      <c r="DL58" s="207"/>
      <c r="DM58" s="207"/>
      <c r="DN58" s="207"/>
      <c r="DO58" s="207"/>
      <c r="DP58" s="207"/>
      <c r="DQ58" s="207"/>
      <c r="DR58" s="207"/>
      <c r="DS58" s="207"/>
      <c r="DT58" s="207"/>
      <c r="DU58" s="207"/>
      <c r="DV58" s="207"/>
      <c r="DW58" s="207"/>
      <c r="DX58" s="207"/>
      <c r="DY58" s="207"/>
      <c r="DZ58" s="207"/>
      <c r="EA58" s="207"/>
      <c r="EB58" s="207"/>
      <c r="EC58" s="207"/>
      <c r="ED58" s="207"/>
      <c r="EE58" s="207"/>
      <c r="EF58" s="207"/>
      <c r="EG58" s="207"/>
      <c r="EH58" s="207"/>
      <c r="EI58" s="207"/>
      <c r="EJ58" s="207"/>
      <c r="EK58" s="207"/>
      <c r="EL58" s="207"/>
      <c r="EM58" s="207"/>
      <c r="EN58" s="207"/>
      <c r="EO58" s="207"/>
      <c r="EP58" s="207"/>
      <c r="EQ58" s="207"/>
      <c r="ER58" s="207"/>
      <c r="ES58" s="207"/>
      <c r="ET58" s="207"/>
      <c r="EU58" s="207"/>
      <c r="EV58" s="207"/>
      <c r="EW58" s="207"/>
      <c r="EX58" s="207"/>
      <c r="EY58" s="207"/>
      <c r="EZ58" s="207"/>
      <c r="FA58" s="207"/>
      <c r="FB58" s="207"/>
      <c r="FC58" s="207"/>
      <c r="FD58" s="207"/>
      <c r="FE58" s="207"/>
      <c r="FF58" s="207"/>
      <c r="FG58" s="207"/>
      <c r="FH58" s="207"/>
      <c r="FI58" s="207"/>
      <c r="FJ58" s="207"/>
      <c r="FK58" s="207"/>
      <c r="FL58" s="207"/>
      <c r="FM58" s="207"/>
      <c r="FN58" s="207"/>
      <c r="FO58" s="207"/>
      <c r="FP58" s="207"/>
      <c r="FQ58" s="207"/>
      <c r="FR58" s="207"/>
      <c r="FS58" s="207"/>
      <c r="FT58" s="207"/>
      <c r="FU58" s="207"/>
      <c r="FV58" s="207"/>
      <c r="FW58" s="207"/>
      <c r="FX58" s="207"/>
      <c r="FY58" s="207"/>
      <c r="FZ58" s="207"/>
      <c r="GA58" s="207"/>
      <c r="GB58" s="207"/>
      <c r="GC58" s="207"/>
      <c r="GD58" s="207"/>
      <c r="GE58" s="207"/>
      <c r="GF58" s="207"/>
      <c r="GG58" s="207"/>
      <c r="GH58" s="207"/>
      <c r="GI58" s="207"/>
      <c r="GJ58" s="207"/>
      <c r="GK58" s="207"/>
      <c r="GL58" s="207"/>
      <c r="GM58" s="207"/>
      <c r="GN58" s="207"/>
      <c r="GO58" s="207"/>
      <c r="GP58" s="207"/>
      <c r="GQ58" s="207"/>
      <c r="GR58" s="207"/>
      <c r="GS58" s="207"/>
      <c r="GT58" s="207"/>
      <c r="GU58" s="207"/>
      <c r="GV58" s="207"/>
      <c r="GW58" s="207"/>
      <c r="GX58" s="207"/>
      <c r="GY58" s="207"/>
      <c r="GZ58" s="207"/>
      <c r="HA58" s="207"/>
      <c r="HB58" s="207"/>
      <c r="HC58" s="207"/>
      <c r="HD58" s="207"/>
      <c r="HE58" s="207"/>
      <c r="HF58" s="207"/>
      <c r="HG58" s="207"/>
      <c r="HH58" s="207"/>
      <c r="HI58" s="207"/>
      <c r="HJ58" s="207"/>
      <c r="HK58" s="207"/>
      <c r="HL58" s="207"/>
      <c r="HM58" s="207"/>
      <c r="HN58" s="207"/>
      <c r="HO58" s="207"/>
      <c r="HP58" s="207"/>
      <c r="HQ58" s="207"/>
      <c r="HR58" s="207"/>
      <c r="HS58" s="207"/>
      <c r="HT58" s="207"/>
      <c r="HU58" s="207"/>
      <c r="HV58" s="207"/>
      <c r="HW58" s="207"/>
      <c r="HX58" s="207"/>
      <c r="HY58" s="207"/>
      <c r="HZ58" s="207"/>
      <c r="IA58" s="207"/>
      <c r="IB58" s="207"/>
      <c r="IC58" s="207"/>
      <c r="ID58" s="207"/>
      <c r="IE58" s="207"/>
      <c r="IF58" s="207"/>
      <c r="IG58" s="207"/>
      <c r="IH58" s="207"/>
      <c r="II58" s="207"/>
      <c r="IJ58" s="207"/>
      <c r="IK58" s="207"/>
      <c r="IL58" s="207"/>
      <c r="IM58" s="207"/>
      <c r="IN58" s="207"/>
      <c r="IO58" s="207"/>
      <c r="IP58" s="207"/>
      <c r="IQ58" s="207"/>
      <c r="IR58" s="207"/>
      <c r="IS58" s="207"/>
      <c r="IT58" s="207"/>
      <c r="IU58" s="207"/>
      <c r="IV58" s="207"/>
    </row>
    <row r="59" spans="1:256" s="214" customFormat="1" ht="13.5" customHeight="1">
      <c r="A59" s="151"/>
      <c r="B59" s="152"/>
      <c r="C59" s="212"/>
      <c r="D59" s="212" t="s">
        <v>187</v>
      </c>
      <c r="E59" s="212"/>
      <c r="F59" s="290">
        <f>(10.64+153.6+41.61+33)*0.45</f>
        <v>107.48250000000002</v>
      </c>
      <c r="G59" s="290"/>
      <c r="H59" s="290"/>
      <c r="I59" s="213"/>
      <c r="O59" s="2745"/>
    </row>
    <row r="60" spans="1:256" s="214" customFormat="1" ht="13.5" customHeight="1">
      <c r="A60" s="151"/>
      <c r="B60" s="152"/>
      <c r="C60" s="212"/>
      <c r="D60" s="212" t="s">
        <v>188</v>
      </c>
      <c r="E60" s="212"/>
      <c r="F60" s="290">
        <f xml:space="preserve"> (35.46+19.3)*0.1</f>
        <v>5.4760000000000009</v>
      </c>
      <c r="G60" s="290"/>
      <c r="H60" s="290"/>
      <c r="I60" s="213"/>
      <c r="O60" s="2745"/>
    </row>
    <row r="61" spans="1:256" s="206" customFormat="1" ht="13.5" customHeight="1">
      <c r="A61" s="201"/>
      <c r="B61" s="202"/>
      <c r="C61" s="209"/>
      <c r="D61" s="210" t="s">
        <v>189</v>
      </c>
      <c r="E61" s="211"/>
      <c r="F61" s="549">
        <f>SUM(F62:F63)</f>
        <v>180.6515</v>
      </c>
      <c r="G61" s="204"/>
      <c r="H61" s="204"/>
      <c r="I61" s="205"/>
      <c r="J61" s="2746"/>
      <c r="L61" s="207"/>
      <c r="M61" s="207"/>
      <c r="N61" s="207"/>
      <c r="O61" s="207"/>
      <c r="P61" s="207"/>
      <c r="Q61" s="207"/>
      <c r="R61" s="207"/>
      <c r="S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  <c r="CB61" s="207"/>
      <c r="CC61" s="207"/>
      <c r="CD61" s="207"/>
      <c r="CE61" s="207"/>
      <c r="CF61" s="207"/>
      <c r="CG61" s="207"/>
      <c r="CH61" s="207"/>
      <c r="CI61" s="207"/>
      <c r="CJ61" s="207"/>
      <c r="CK61" s="207"/>
      <c r="CL61" s="207"/>
      <c r="CM61" s="207"/>
      <c r="CN61" s="207"/>
      <c r="CO61" s="207"/>
      <c r="CP61" s="207"/>
      <c r="CQ61" s="207"/>
      <c r="CR61" s="207"/>
      <c r="CS61" s="207"/>
      <c r="CT61" s="207"/>
      <c r="CU61" s="207"/>
      <c r="CV61" s="207"/>
      <c r="CW61" s="207"/>
      <c r="CX61" s="207"/>
      <c r="CY61" s="207"/>
      <c r="CZ61" s="207"/>
      <c r="DA61" s="207"/>
      <c r="DB61" s="207"/>
      <c r="DC61" s="207"/>
      <c r="DD61" s="207"/>
      <c r="DE61" s="207"/>
      <c r="DF61" s="207"/>
      <c r="DG61" s="207"/>
      <c r="DH61" s="207"/>
      <c r="DI61" s="207"/>
      <c r="DJ61" s="207"/>
      <c r="DK61" s="207"/>
      <c r="DL61" s="207"/>
      <c r="DM61" s="207"/>
      <c r="DN61" s="207"/>
      <c r="DO61" s="207"/>
      <c r="DP61" s="207"/>
      <c r="DQ61" s="207"/>
      <c r="DR61" s="207"/>
      <c r="DS61" s="207"/>
      <c r="DT61" s="207"/>
      <c r="DU61" s="207"/>
      <c r="DV61" s="207"/>
      <c r="DW61" s="207"/>
      <c r="DX61" s="207"/>
      <c r="DY61" s="207"/>
      <c r="DZ61" s="207"/>
      <c r="EA61" s="207"/>
      <c r="EB61" s="207"/>
      <c r="EC61" s="207"/>
      <c r="ED61" s="207"/>
      <c r="EE61" s="207"/>
      <c r="EF61" s="207"/>
      <c r="EG61" s="207"/>
      <c r="EH61" s="207"/>
      <c r="EI61" s="207"/>
      <c r="EJ61" s="207"/>
      <c r="EK61" s="207"/>
      <c r="EL61" s="207"/>
      <c r="EM61" s="207"/>
      <c r="EN61" s="207"/>
      <c r="EO61" s="207"/>
      <c r="EP61" s="207"/>
      <c r="EQ61" s="207"/>
      <c r="ER61" s="207"/>
      <c r="ES61" s="207"/>
      <c r="ET61" s="207"/>
      <c r="EU61" s="207"/>
      <c r="EV61" s="207"/>
      <c r="EW61" s="207"/>
      <c r="EX61" s="207"/>
      <c r="EY61" s="207"/>
      <c r="EZ61" s="207"/>
      <c r="FA61" s="207"/>
      <c r="FB61" s="207"/>
      <c r="FC61" s="207"/>
      <c r="FD61" s="207"/>
      <c r="FE61" s="207"/>
      <c r="FF61" s="207"/>
      <c r="FG61" s="207"/>
      <c r="FH61" s="207"/>
      <c r="FI61" s="207"/>
      <c r="FJ61" s="207"/>
      <c r="FK61" s="207"/>
      <c r="FL61" s="207"/>
      <c r="FM61" s="207"/>
      <c r="FN61" s="207"/>
      <c r="FO61" s="207"/>
      <c r="FP61" s="207"/>
      <c r="FQ61" s="207"/>
      <c r="FR61" s="207"/>
      <c r="FS61" s="207"/>
      <c r="FT61" s="207"/>
      <c r="FU61" s="207"/>
      <c r="FV61" s="207"/>
      <c r="FW61" s="207"/>
      <c r="FX61" s="207"/>
      <c r="FY61" s="207"/>
      <c r="FZ61" s="207"/>
      <c r="GA61" s="207"/>
      <c r="GB61" s="207"/>
      <c r="GC61" s="207"/>
      <c r="GD61" s="207"/>
      <c r="GE61" s="207"/>
      <c r="GF61" s="207"/>
      <c r="GG61" s="207"/>
      <c r="GH61" s="207"/>
      <c r="GI61" s="207"/>
      <c r="GJ61" s="207"/>
      <c r="GK61" s="207"/>
      <c r="GL61" s="207"/>
      <c r="GM61" s="207"/>
      <c r="GN61" s="207"/>
      <c r="GO61" s="207"/>
      <c r="GP61" s="207"/>
      <c r="GQ61" s="207"/>
      <c r="GR61" s="207"/>
      <c r="GS61" s="207"/>
      <c r="GT61" s="207"/>
      <c r="GU61" s="207"/>
      <c r="GV61" s="207"/>
      <c r="GW61" s="207"/>
      <c r="GX61" s="207"/>
      <c r="GY61" s="207"/>
      <c r="GZ61" s="207"/>
      <c r="HA61" s="207"/>
      <c r="HB61" s="207"/>
      <c r="HC61" s="207"/>
      <c r="HD61" s="207"/>
      <c r="HE61" s="207"/>
      <c r="HF61" s="207"/>
      <c r="HG61" s="207"/>
      <c r="HH61" s="207"/>
      <c r="HI61" s="207"/>
      <c r="HJ61" s="207"/>
      <c r="HK61" s="207"/>
      <c r="HL61" s="207"/>
      <c r="HM61" s="207"/>
      <c r="HN61" s="207"/>
      <c r="HO61" s="207"/>
      <c r="HP61" s="207"/>
      <c r="HQ61" s="207"/>
      <c r="HR61" s="207"/>
      <c r="HS61" s="207"/>
      <c r="HT61" s="207"/>
      <c r="HU61" s="207"/>
      <c r="HV61" s="207"/>
      <c r="HW61" s="207"/>
      <c r="HX61" s="207"/>
      <c r="HY61" s="207"/>
      <c r="HZ61" s="207"/>
      <c r="IA61" s="207"/>
      <c r="IB61" s="207"/>
      <c r="IC61" s="207"/>
      <c r="ID61" s="207"/>
      <c r="IE61" s="207"/>
      <c r="IF61" s="207"/>
      <c r="IG61" s="207"/>
      <c r="IH61" s="207"/>
      <c r="II61" s="207"/>
      <c r="IJ61" s="207"/>
      <c r="IK61" s="207"/>
      <c r="IL61" s="207"/>
      <c r="IM61" s="207"/>
      <c r="IN61" s="207"/>
      <c r="IO61" s="207"/>
      <c r="IP61" s="207"/>
      <c r="IQ61" s="207"/>
      <c r="IR61" s="207"/>
      <c r="IS61" s="207"/>
      <c r="IT61" s="207"/>
      <c r="IU61" s="207"/>
      <c r="IV61" s="207"/>
    </row>
    <row r="62" spans="1:256" s="135" customFormat="1" ht="27" customHeight="1">
      <c r="A62" s="215"/>
      <c r="B62" s="177"/>
      <c r="C62" s="183"/>
      <c r="D62" s="212" t="s">
        <v>190</v>
      </c>
      <c r="E62" s="183"/>
      <c r="F62" s="305">
        <f>(10.64+153.6+41.61+33)*0.45+(10.64+153.6+41.61+33)*0.1</f>
        <v>131.36750000000001</v>
      </c>
      <c r="G62" s="305"/>
      <c r="H62" s="305"/>
      <c r="I62" s="216"/>
      <c r="J62" s="217"/>
      <c r="O62" s="218"/>
    </row>
    <row r="63" spans="1:256" s="135" customFormat="1" ht="13.5" customHeight="1">
      <c r="A63" s="215"/>
      <c r="B63" s="177"/>
      <c r="C63" s="183"/>
      <c r="D63" s="212" t="s">
        <v>191</v>
      </c>
      <c r="E63" s="183"/>
      <c r="F63" s="305">
        <f>(35.46+19.3)*0.7+(35.46+19.3)*0.2</f>
        <v>49.284000000000006</v>
      </c>
      <c r="G63" s="305"/>
      <c r="H63" s="305"/>
      <c r="I63" s="216"/>
      <c r="O63" s="218"/>
    </row>
    <row r="64" spans="1:256" s="227" customFormat="1" ht="13.5" customHeight="1">
      <c r="A64" s="219"/>
      <c r="B64" s="209"/>
      <c r="C64" s="220"/>
      <c r="D64" s="221" t="s">
        <v>192</v>
      </c>
      <c r="E64" s="222" t="s">
        <v>147</v>
      </c>
      <c r="F64" s="224">
        <f>F58</f>
        <v>112.95850000000002</v>
      </c>
      <c r="G64" s="223"/>
      <c r="H64" s="224">
        <f t="shared" ref="H64:H69" si="1">F64*G64</f>
        <v>0</v>
      </c>
      <c r="I64" s="225"/>
      <c r="J64" s="2747"/>
      <c r="K64" s="226"/>
      <c r="L64" s="2748"/>
      <c r="M64" s="2748"/>
      <c r="N64" s="2748"/>
      <c r="Q64" s="2748"/>
      <c r="V64" s="228"/>
    </row>
    <row r="65" spans="1:256" s="227" customFormat="1" ht="13.5" customHeight="1">
      <c r="A65" s="219"/>
      <c r="B65" s="209"/>
      <c r="C65" s="220"/>
      <c r="D65" s="221" t="s">
        <v>193</v>
      </c>
      <c r="E65" s="222" t="s">
        <v>147</v>
      </c>
      <c r="F65" s="224">
        <f>F61</f>
        <v>180.6515</v>
      </c>
      <c r="G65" s="223"/>
      <c r="H65" s="224">
        <f t="shared" si="1"/>
        <v>0</v>
      </c>
      <c r="I65" s="225"/>
      <c r="J65" s="2747"/>
      <c r="K65" s="226"/>
      <c r="L65" s="2748"/>
      <c r="M65" s="2748"/>
      <c r="N65" s="2748"/>
      <c r="Q65" s="2748"/>
      <c r="V65" s="228"/>
    </row>
    <row r="66" spans="1:256" s="206" customFormat="1" ht="27" customHeight="1">
      <c r="A66" s="229"/>
      <c r="B66" s="203"/>
      <c r="C66" s="220"/>
      <c r="D66" s="208" t="s">
        <v>194</v>
      </c>
      <c r="E66" s="230" t="s">
        <v>147</v>
      </c>
      <c r="F66" s="550">
        <f>F58</f>
        <v>112.95850000000002</v>
      </c>
      <c r="G66" s="231"/>
      <c r="H66" s="232">
        <f t="shared" si="1"/>
        <v>0</v>
      </c>
      <c r="I66" s="225"/>
      <c r="J66" s="2747"/>
      <c r="K66" s="226"/>
      <c r="L66" s="233"/>
      <c r="M66" s="233"/>
      <c r="N66" s="233"/>
      <c r="O66" s="233"/>
      <c r="P66" s="233"/>
      <c r="Q66" s="233"/>
      <c r="R66" s="233"/>
      <c r="S66" s="234"/>
      <c r="V66" s="235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07"/>
      <c r="BU66" s="207"/>
      <c r="BV66" s="207"/>
      <c r="BW66" s="207"/>
      <c r="BX66" s="207"/>
      <c r="BY66" s="207"/>
      <c r="BZ66" s="207"/>
      <c r="CA66" s="207"/>
      <c r="CB66" s="207"/>
      <c r="CC66" s="207"/>
      <c r="CD66" s="207"/>
      <c r="CE66" s="207"/>
      <c r="CF66" s="207"/>
      <c r="CG66" s="207"/>
      <c r="CH66" s="207"/>
      <c r="CI66" s="207"/>
      <c r="CJ66" s="207"/>
      <c r="CK66" s="207"/>
      <c r="CL66" s="207"/>
      <c r="CM66" s="207"/>
      <c r="CN66" s="207"/>
      <c r="CO66" s="207"/>
      <c r="CP66" s="207"/>
      <c r="CQ66" s="207"/>
      <c r="CR66" s="207"/>
      <c r="CS66" s="207"/>
      <c r="CT66" s="207"/>
      <c r="CU66" s="207"/>
      <c r="CV66" s="207"/>
      <c r="CW66" s="207"/>
      <c r="CX66" s="207"/>
      <c r="CY66" s="207"/>
      <c r="CZ66" s="207"/>
      <c r="DA66" s="207"/>
      <c r="DB66" s="207"/>
      <c r="DC66" s="207"/>
      <c r="DD66" s="207"/>
      <c r="DE66" s="207"/>
      <c r="DF66" s="207"/>
      <c r="DG66" s="207"/>
      <c r="DH66" s="207"/>
      <c r="DI66" s="207"/>
      <c r="DJ66" s="207"/>
      <c r="DK66" s="207"/>
      <c r="DL66" s="207"/>
      <c r="DM66" s="207"/>
      <c r="DN66" s="207"/>
      <c r="DO66" s="207"/>
      <c r="DP66" s="207"/>
      <c r="DQ66" s="207"/>
      <c r="DR66" s="207"/>
      <c r="DS66" s="207"/>
      <c r="DT66" s="207"/>
      <c r="DU66" s="207"/>
      <c r="DV66" s="207"/>
      <c r="DW66" s="207"/>
      <c r="DX66" s="207"/>
      <c r="DY66" s="207"/>
      <c r="DZ66" s="207"/>
      <c r="EA66" s="207"/>
      <c r="EB66" s="207"/>
      <c r="EC66" s="207"/>
      <c r="ED66" s="207"/>
      <c r="EE66" s="207"/>
      <c r="EF66" s="207"/>
      <c r="EG66" s="207"/>
      <c r="EH66" s="207"/>
      <c r="EI66" s="207"/>
      <c r="EJ66" s="207"/>
      <c r="EK66" s="207"/>
      <c r="EL66" s="207"/>
      <c r="EM66" s="207"/>
      <c r="EN66" s="207"/>
      <c r="EO66" s="207"/>
      <c r="EP66" s="207"/>
      <c r="EQ66" s="207"/>
      <c r="ER66" s="207"/>
      <c r="ES66" s="207"/>
      <c r="ET66" s="207"/>
      <c r="EU66" s="207"/>
      <c r="EV66" s="207"/>
      <c r="EW66" s="207"/>
      <c r="EX66" s="207"/>
      <c r="EY66" s="207"/>
      <c r="EZ66" s="207"/>
      <c r="FA66" s="207"/>
      <c r="FB66" s="207"/>
      <c r="FC66" s="207"/>
      <c r="FD66" s="207"/>
      <c r="FE66" s="207"/>
      <c r="FF66" s="207"/>
      <c r="FG66" s="207"/>
      <c r="FH66" s="207"/>
      <c r="FI66" s="207"/>
      <c r="FJ66" s="207"/>
      <c r="FK66" s="207"/>
      <c r="FL66" s="207"/>
      <c r="FM66" s="207"/>
      <c r="FN66" s="207"/>
      <c r="FO66" s="207"/>
      <c r="FP66" s="207"/>
      <c r="FQ66" s="207"/>
      <c r="FR66" s="207"/>
      <c r="FS66" s="207"/>
      <c r="FT66" s="207"/>
      <c r="FU66" s="207"/>
      <c r="FV66" s="207"/>
      <c r="FW66" s="207"/>
      <c r="FX66" s="207"/>
      <c r="FY66" s="207"/>
      <c r="FZ66" s="207"/>
      <c r="GA66" s="207"/>
      <c r="GB66" s="207"/>
      <c r="GC66" s="207"/>
      <c r="GD66" s="207"/>
      <c r="GE66" s="207"/>
      <c r="GF66" s="207"/>
      <c r="GG66" s="207"/>
      <c r="GH66" s="207"/>
      <c r="GI66" s="207"/>
      <c r="GJ66" s="207"/>
      <c r="GK66" s="207"/>
      <c r="GL66" s="207"/>
      <c r="GM66" s="207"/>
      <c r="GN66" s="207"/>
      <c r="GO66" s="207"/>
      <c r="GP66" s="207"/>
      <c r="GQ66" s="207"/>
      <c r="GR66" s="207"/>
      <c r="GS66" s="207"/>
      <c r="GT66" s="207"/>
      <c r="GU66" s="207"/>
      <c r="GV66" s="207"/>
      <c r="GW66" s="207"/>
      <c r="GX66" s="207"/>
      <c r="GY66" s="207"/>
      <c r="GZ66" s="207"/>
      <c r="HA66" s="207"/>
      <c r="HB66" s="207"/>
      <c r="HC66" s="207"/>
      <c r="HD66" s="207"/>
      <c r="HE66" s="207"/>
      <c r="HF66" s="207"/>
      <c r="HG66" s="207"/>
      <c r="HH66" s="207"/>
      <c r="HI66" s="207"/>
      <c r="HJ66" s="207"/>
      <c r="HK66" s="207"/>
      <c r="HL66" s="207"/>
      <c r="HM66" s="207"/>
      <c r="HN66" s="207"/>
      <c r="HO66" s="207"/>
      <c r="HP66" s="207"/>
      <c r="HQ66" s="207"/>
      <c r="HR66" s="207"/>
      <c r="HS66" s="207"/>
      <c r="HT66" s="207"/>
      <c r="HU66" s="207"/>
      <c r="HV66" s="207"/>
      <c r="HW66" s="207"/>
      <c r="HX66" s="207"/>
      <c r="HY66" s="207"/>
      <c r="HZ66" s="207"/>
      <c r="IA66" s="207"/>
      <c r="IB66" s="207"/>
      <c r="IC66" s="207"/>
      <c r="ID66" s="207"/>
      <c r="IE66" s="207"/>
      <c r="IF66" s="207"/>
      <c r="IG66" s="207"/>
      <c r="IH66" s="207"/>
      <c r="II66" s="207"/>
      <c r="IJ66" s="207"/>
      <c r="IK66" s="207"/>
      <c r="IL66" s="207"/>
      <c r="IM66" s="207"/>
      <c r="IN66" s="207"/>
      <c r="IO66" s="207"/>
      <c r="IP66" s="207"/>
      <c r="IQ66" s="207"/>
      <c r="IR66" s="207"/>
      <c r="IS66" s="207"/>
      <c r="IT66" s="207"/>
      <c r="IU66" s="207"/>
      <c r="IV66" s="207"/>
    </row>
    <row r="67" spans="1:256" s="206" customFormat="1" ht="27" customHeight="1">
      <c r="A67" s="229"/>
      <c r="B67" s="203"/>
      <c r="C67" s="220"/>
      <c r="D67" s="208" t="s">
        <v>195</v>
      </c>
      <c r="E67" s="230" t="s">
        <v>147</v>
      </c>
      <c r="F67" s="550">
        <f>F61</f>
        <v>180.6515</v>
      </c>
      <c r="G67" s="231"/>
      <c r="H67" s="232">
        <f t="shared" si="1"/>
        <v>0</v>
      </c>
      <c r="I67" s="225"/>
      <c r="J67" s="2747"/>
      <c r="K67" s="226"/>
      <c r="L67" s="233"/>
      <c r="M67" s="233"/>
      <c r="N67" s="233"/>
      <c r="O67" s="233"/>
      <c r="P67" s="233"/>
      <c r="Q67" s="233"/>
      <c r="R67" s="233"/>
      <c r="S67" s="234"/>
      <c r="V67" s="235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  <c r="BW67" s="207"/>
      <c r="BX67" s="207"/>
      <c r="BY67" s="207"/>
      <c r="BZ67" s="207"/>
      <c r="CA67" s="207"/>
      <c r="CB67" s="207"/>
      <c r="CC67" s="207"/>
      <c r="CD67" s="207"/>
      <c r="CE67" s="207"/>
      <c r="CF67" s="207"/>
      <c r="CG67" s="207"/>
      <c r="CH67" s="207"/>
      <c r="CI67" s="207"/>
      <c r="CJ67" s="207"/>
      <c r="CK67" s="207"/>
      <c r="CL67" s="207"/>
      <c r="CM67" s="207"/>
      <c r="CN67" s="207"/>
      <c r="CO67" s="207"/>
      <c r="CP67" s="207"/>
      <c r="CQ67" s="207"/>
      <c r="CR67" s="207"/>
      <c r="CS67" s="207"/>
      <c r="CT67" s="207"/>
      <c r="CU67" s="207"/>
      <c r="CV67" s="207"/>
      <c r="CW67" s="207"/>
      <c r="CX67" s="207"/>
      <c r="CY67" s="207"/>
      <c r="CZ67" s="207"/>
      <c r="DA67" s="207"/>
      <c r="DB67" s="207"/>
      <c r="DC67" s="207"/>
      <c r="DD67" s="207"/>
      <c r="DE67" s="207"/>
      <c r="DF67" s="207"/>
      <c r="DG67" s="207"/>
      <c r="DH67" s="207"/>
      <c r="DI67" s="207"/>
      <c r="DJ67" s="207"/>
      <c r="DK67" s="207"/>
      <c r="DL67" s="207"/>
      <c r="DM67" s="207"/>
      <c r="DN67" s="207"/>
      <c r="DO67" s="207"/>
      <c r="DP67" s="207"/>
      <c r="DQ67" s="207"/>
      <c r="DR67" s="207"/>
      <c r="DS67" s="207"/>
      <c r="DT67" s="207"/>
      <c r="DU67" s="207"/>
      <c r="DV67" s="207"/>
      <c r="DW67" s="207"/>
      <c r="DX67" s="207"/>
      <c r="DY67" s="207"/>
      <c r="DZ67" s="207"/>
      <c r="EA67" s="207"/>
      <c r="EB67" s="207"/>
      <c r="EC67" s="207"/>
      <c r="ED67" s="207"/>
      <c r="EE67" s="207"/>
      <c r="EF67" s="207"/>
      <c r="EG67" s="207"/>
      <c r="EH67" s="207"/>
      <c r="EI67" s="207"/>
      <c r="EJ67" s="207"/>
      <c r="EK67" s="207"/>
      <c r="EL67" s="207"/>
      <c r="EM67" s="207"/>
      <c r="EN67" s="207"/>
      <c r="EO67" s="207"/>
      <c r="EP67" s="207"/>
      <c r="EQ67" s="207"/>
      <c r="ER67" s="207"/>
      <c r="ES67" s="207"/>
      <c r="ET67" s="207"/>
      <c r="EU67" s="207"/>
      <c r="EV67" s="207"/>
      <c r="EW67" s="207"/>
      <c r="EX67" s="207"/>
      <c r="EY67" s="207"/>
      <c r="EZ67" s="207"/>
      <c r="FA67" s="207"/>
      <c r="FB67" s="207"/>
      <c r="FC67" s="207"/>
      <c r="FD67" s="207"/>
      <c r="FE67" s="207"/>
      <c r="FF67" s="207"/>
      <c r="FG67" s="207"/>
      <c r="FH67" s="207"/>
      <c r="FI67" s="207"/>
      <c r="FJ67" s="207"/>
      <c r="FK67" s="207"/>
      <c r="FL67" s="207"/>
      <c r="FM67" s="207"/>
      <c r="FN67" s="207"/>
      <c r="FO67" s="207"/>
      <c r="FP67" s="207"/>
      <c r="FQ67" s="207"/>
      <c r="FR67" s="207"/>
      <c r="FS67" s="207"/>
      <c r="FT67" s="207"/>
      <c r="FU67" s="207"/>
      <c r="FV67" s="207"/>
      <c r="FW67" s="207"/>
      <c r="FX67" s="207"/>
      <c r="FY67" s="207"/>
      <c r="FZ67" s="207"/>
      <c r="GA67" s="207"/>
      <c r="GB67" s="207"/>
      <c r="GC67" s="207"/>
      <c r="GD67" s="207"/>
      <c r="GE67" s="207"/>
      <c r="GF67" s="207"/>
      <c r="GG67" s="207"/>
      <c r="GH67" s="207"/>
      <c r="GI67" s="207"/>
      <c r="GJ67" s="207"/>
      <c r="GK67" s="207"/>
      <c r="GL67" s="207"/>
      <c r="GM67" s="207"/>
      <c r="GN67" s="207"/>
      <c r="GO67" s="207"/>
      <c r="GP67" s="207"/>
      <c r="GQ67" s="207"/>
      <c r="GR67" s="207"/>
      <c r="GS67" s="207"/>
      <c r="GT67" s="207"/>
      <c r="GU67" s="207"/>
      <c r="GV67" s="207"/>
      <c r="GW67" s="207"/>
      <c r="GX67" s="207"/>
      <c r="GY67" s="207"/>
      <c r="GZ67" s="207"/>
      <c r="HA67" s="207"/>
      <c r="HB67" s="207"/>
      <c r="HC67" s="207"/>
      <c r="HD67" s="207"/>
      <c r="HE67" s="207"/>
      <c r="HF67" s="207"/>
      <c r="HG67" s="207"/>
      <c r="HH67" s="207"/>
      <c r="HI67" s="207"/>
      <c r="HJ67" s="207"/>
      <c r="HK67" s="207"/>
      <c r="HL67" s="207"/>
      <c r="HM67" s="207"/>
      <c r="HN67" s="207"/>
      <c r="HO67" s="207"/>
      <c r="HP67" s="207"/>
      <c r="HQ67" s="207"/>
      <c r="HR67" s="207"/>
      <c r="HS67" s="207"/>
      <c r="HT67" s="207"/>
      <c r="HU67" s="207"/>
      <c r="HV67" s="207"/>
      <c r="HW67" s="207"/>
      <c r="HX67" s="207"/>
      <c r="HY67" s="207"/>
      <c r="HZ67" s="207"/>
      <c r="IA67" s="207"/>
      <c r="IB67" s="207"/>
      <c r="IC67" s="207"/>
      <c r="ID67" s="207"/>
      <c r="IE67" s="207"/>
      <c r="IF67" s="207"/>
      <c r="IG67" s="207"/>
      <c r="IH67" s="207"/>
      <c r="II67" s="207"/>
      <c r="IJ67" s="207"/>
      <c r="IK67" s="207"/>
      <c r="IL67" s="207"/>
      <c r="IM67" s="207"/>
      <c r="IN67" s="207"/>
      <c r="IO67" s="207"/>
      <c r="IP67" s="207"/>
      <c r="IQ67" s="207"/>
      <c r="IR67" s="207"/>
      <c r="IS67" s="207"/>
      <c r="IT67" s="207"/>
      <c r="IU67" s="207"/>
      <c r="IV67" s="207"/>
    </row>
    <row r="68" spans="1:256" s="227" customFormat="1" ht="27" customHeight="1">
      <c r="A68" s="219"/>
      <c r="B68" s="209"/>
      <c r="C68" s="220"/>
      <c r="D68" s="208" t="s">
        <v>196</v>
      </c>
      <c r="E68" s="222" t="s">
        <v>147</v>
      </c>
      <c r="F68" s="224">
        <f>F56</f>
        <v>293.61</v>
      </c>
      <c r="G68" s="231"/>
      <c r="H68" s="224">
        <f t="shared" si="1"/>
        <v>0</v>
      </c>
      <c r="I68" s="225"/>
      <c r="J68" s="2747"/>
      <c r="K68" s="226"/>
      <c r="L68" s="195"/>
      <c r="M68" s="195"/>
      <c r="N68" s="195"/>
      <c r="O68" s="195"/>
      <c r="P68" s="195"/>
      <c r="Q68" s="195"/>
      <c r="R68" s="195"/>
      <c r="S68" s="236"/>
      <c r="U68" s="233"/>
      <c r="V68" s="195"/>
      <c r="W68" s="237"/>
    </row>
    <row r="69" spans="1:256" s="227" customFormat="1" ht="13.5" customHeight="1">
      <c r="A69" s="219"/>
      <c r="B69" s="209"/>
      <c r="C69" s="220"/>
      <c r="D69" s="221" t="s">
        <v>197</v>
      </c>
      <c r="E69" s="222" t="s">
        <v>178</v>
      </c>
      <c r="F69" s="224">
        <f>F56*2</f>
        <v>587.22</v>
      </c>
      <c r="G69" s="223"/>
      <c r="H69" s="224">
        <f t="shared" si="1"/>
        <v>0</v>
      </c>
      <c r="I69" s="225"/>
      <c r="J69" s="2747"/>
      <c r="K69" s="238"/>
      <c r="L69" s="195"/>
      <c r="M69" s="195"/>
      <c r="N69" s="195"/>
      <c r="O69" s="195"/>
      <c r="P69" s="195"/>
      <c r="Q69" s="195"/>
      <c r="R69" s="195"/>
      <c r="S69" s="236"/>
      <c r="V69" s="195"/>
    </row>
    <row r="70" spans="1:256" s="238" customFormat="1" ht="13.5" customHeight="1">
      <c r="A70" s="239"/>
      <c r="B70" s="240"/>
      <c r="C70" s="241"/>
      <c r="D70" s="242" t="s">
        <v>198</v>
      </c>
      <c r="E70" s="243"/>
      <c r="F70" s="551"/>
      <c r="G70" s="244"/>
      <c r="H70" s="244"/>
      <c r="I70" s="245"/>
      <c r="J70" s="246"/>
      <c r="L70" s="195"/>
      <c r="M70" s="195"/>
      <c r="N70" s="195"/>
      <c r="O70" s="195"/>
      <c r="P70" s="195"/>
      <c r="Q70" s="195"/>
      <c r="R70" s="195"/>
      <c r="S70" s="236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  <c r="BW70" s="247"/>
      <c r="BX70" s="247"/>
      <c r="BY70" s="247"/>
      <c r="BZ70" s="247"/>
      <c r="CA70" s="247"/>
      <c r="CB70" s="247"/>
      <c r="CC70" s="247"/>
      <c r="CD70" s="247"/>
      <c r="CE70" s="247"/>
      <c r="CF70" s="247"/>
      <c r="CG70" s="247"/>
      <c r="CH70" s="247"/>
      <c r="CI70" s="247"/>
      <c r="CJ70" s="247"/>
      <c r="CK70" s="247"/>
      <c r="CL70" s="247"/>
      <c r="CM70" s="247"/>
      <c r="CN70" s="247"/>
      <c r="CO70" s="247"/>
      <c r="CP70" s="247"/>
      <c r="CQ70" s="247"/>
      <c r="CR70" s="247"/>
      <c r="CS70" s="247"/>
      <c r="CT70" s="247"/>
      <c r="CU70" s="247"/>
      <c r="CV70" s="247"/>
      <c r="CW70" s="247"/>
      <c r="CX70" s="247"/>
      <c r="CY70" s="247"/>
      <c r="CZ70" s="247"/>
      <c r="DA70" s="247"/>
      <c r="DB70" s="247"/>
      <c r="DC70" s="247"/>
      <c r="DD70" s="247"/>
      <c r="DE70" s="247"/>
      <c r="DF70" s="247"/>
      <c r="DG70" s="247"/>
      <c r="DH70" s="247"/>
      <c r="DI70" s="247"/>
      <c r="DJ70" s="247"/>
      <c r="DK70" s="247"/>
      <c r="DL70" s="247"/>
      <c r="DM70" s="247"/>
      <c r="DN70" s="247"/>
      <c r="DO70" s="247"/>
      <c r="DP70" s="247"/>
      <c r="DQ70" s="247"/>
      <c r="DR70" s="247"/>
      <c r="DS70" s="247"/>
      <c r="DT70" s="247"/>
      <c r="DU70" s="247"/>
      <c r="DV70" s="247"/>
      <c r="DW70" s="247"/>
      <c r="DX70" s="247"/>
      <c r="DY70" s="247"/>
      <c r="DZ70" s="247"/>
      <c r="EA70" s="247"/>
      <c r="EB70" s="247"/>
      <c r="EC70" s="247"/>
      <c r="ED70" s="247"/>
      <c r="EE70" s="247"/>
      <c r="EF70" s="247"/>
      <c r="EG70" s="247"/>
      <c r="EH70" s="247"/>
      <c r="EI70" s="247"/>
      <c r="EJ70" s="247"/>
      <c r="EK70" s="247"/>
      <c r="EL70" s="247"/>
      <c r="EM70" s="247"/>
      <c r="EN70" s="247"/>
      <c r="EO70" s="247"/>
      <c r="EP70" s="247"/>
      <c r="EQ70" s="247"/>
      <c r="ER70" s="247"/>
      <c r="ES70" s="247"/>
      <c r="ET70" s="247"/>
      <c r="EU70" s="247"/>
      <c r="EV70" s="247"/>
      <c r="EW70" s="247"/>
      <c r="EX70" s="247"/>
      <c r="EY70" s="247"/>
      <c r="EZ70" s="247"/>
      <c r="FA70" s="247"/>
      <c r="FB70" s="247"/>
      <c r="FC70" s="247"/>
      <c r="FD70" s="247"/>
      <c r="FE70" s="247"/>
      <c r="FF70" s="247"/>
      <c r="FG70" s="247"/>
      <c r="FH70" s="247"/>
      <c r="FI70" s="247"/>
      <c r="FJ70" s="247"/>
      <c r="FK70" s="247"/>
      <c r="FL70" s="247"/>
      <c r="FM70" s="247"/>
      <c r="FN70" s="247"/>
      <c r="FO70" s="247"/>
      <c r="FP70" s="247"/>
      <c r="FQ70" s="247"/>
      <c r="FR70" s="247"/>
      <c r="FS70" s="247"/>
      <c r="FT70" s="247"/>
      <c r="FU70" s="247"/>
      <c r="FV70" s="247"/>
      <c r="FW70" s="247"/>
      <c r="FX70" s="247"/>
      <c r="FY70" s="247"/>
      <c r="FZ70" s="247"/>
      <c r="GA70" s="247"/>
      <c r="GB70" s="247"/>
      <c r="GC70" s="247"/>
      <c r="GD70" s="247"/>
      <c r="GE70" s="247"/>
      <c r="GF70" s="247"/>
      <c r="GG70" s="247"/>
      <c r="GH70" s="247"/>
      <c r="GI70" s="247"/>
      <c r="GJ70" s="247"/>
      <c r="GK70" s="247"/>
      <c r="GL70" s="247"/>
      <c r="GM70" s="247"/>
      <c r="GN70" s="247"/>
      <c r="GO70" s="247"/>
      <c r="GP70" s="247"/>
      <c r="GQ70" s="247"/>
      <c r="GR70" s="247"/>
      <c r="GS70" s="247"/>
      <c r="GT70" s="247"/>
      <c r="GU70" s="247"/>
      <c r="GV70" s="247"/>
      <c r="GW70" s="247"/>
      <c r="GX70" s="247"/>
      <c r="GY70" s="247"/>
      <c r="GZ70" s="247"/>
      <c r="HA70" s="247"/>
      <c r="HB70" s="247"/>
      <c r="HC70" s="247"/>
      <c r="HD70" s="247"/>
      <c r="HE70" s="247"/>
      <c r="HF70" s="247"/>
      <c r="HG70" s="247"/>
      <c r="HH70" s="247"/>
      <c r="HI70" s="247"/>
      <c r="HJ70" s="247"/>
      <c r="HK70" s="247"/>
      <c r="HL70" s="247"/>
      <c r="HM70" s="247"/>
      <c r="HN70" s="247"/>
      <c r="HO70" s="247"/>
      <c r="HP70" s="247"/>
      <c r="HQ70" s="247"/>
      <c r="HR70" s="247"/>
      <c r="HS70" s="247"/>
      <c r="HT70" s="247"/>
      <c r="HU70" s="247"/>
      <c r="HV70" s="247"/>
      <c r="HW70" s="247"/>
      <c r="HX70" s="247"/>
      <c r="HY70" s="247"/>
      <c r="HZ70" s="247"/>
      <c r="IA70" s="247"/>
      <c r="IB70" s="247"/>
      <c r="IC70" s="247"/>
      <c r="ID70" s="247"/>
      <c r="IE70" s="247"/>
      <c r="IF70" s="247"/>
      <c r="IG70" s="247"/>
      <c r="IH70" s="247"/>
      <c r="II70" s="247"/>
      <c r="IJ70" s="247"/>
      <c r="IK70" s="247"/>
      <c r="IL70" s="247"/>
      <c r="IM70" s="247"/>
      <c r="IN70" s="247"/>
      <c r="IO70" s="247"/>
      <c r="IP70" s="247"/>
      <c r="IQ70" s="247"/>
      <c r="IR70" s="247"/>
      <c r="IS70" s="247"/>
      <c r="IT70" s="247"/>
      <c r="IU70" s="247"/>
      <c r="IV70" s="247"/>
    </row>
    <row r="71" spans="1:256" s="206" customFormat="1" ht="81" customHeight="1">
      <c r="A71" s="248"/>
      <c r="B71" s="249"/>
      <c r="C71" s="250"/>
      <c r="D71" s="251" t="s">
        <v>199</v>
      </c>
      <c r="E71" s="208"/>
      <c r="F71" s="550"/>
      <c r="G71" s="204"/>
      <c r="H71" s="204"/>
      <c r="I71" s="252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  <c r="BR71" s="207"/>
      <c r="BS71" s="207"/>
      <c r="BT71" s="207"/>
      <c r="BU71" s="207"/>
      <c r="BV71" s="207"/>
      <c r="BW71" s="207"/>
      <c r="BX71" s="207"/>
      <c r="BY71" s="207"/>
      <c r="BZ71" s="207"/>
      <c r="CA71" s="207"/>
      <c r="CB71" s="207"/>
      <c r="CC71" s="207"/>
      <c r="CD71" s="207"/>
      <c r="CE71" s="207"/>
      <c r="CF71" s="207"/>
      <c r="CG71" s="207"/>
      <c r="CH71" s="207"/>
      <c r="CI71" s="207"/>
      <c r="CJ71" s="207"/>
      <c r="CK71" s="207"/>
      <c r="CL71" s="207"/>
      <c r="CM71" s="207"/>
      <c r="CN71" s="207"/>
      <c r="CO71" s="207"/>
      <c r="CP71" s="207"/>
      <c r="CQ71" s="207"/>
      <c r="CR71" s="207"/>
      <c r="CS71" s="207"/>
      <c r="CT71" s="207"/>
      <c r="CU71" s="207"/>
      <c r="CV71" s="207"/>
      <c r="CW71" s="207"/>
      <c r="CX71" s="207"/>
      <c r="CY71" s="207"/>
      <c r="CZ71" s="207"/>
      <c r="DA71" s="207"/>
      <c r="DB71" s="207"/>
      <c r="DC71" s="207"/>
      <c r="DD71" s="207"/>
      <c r="DE71" s="207"/>
      <c r="DF71" s="207"/>
      <c r="DG71" s="207"/>
      <c r="DH71" s="207"/>
      <c r="DI71" s="207"/>
      <c r="DJ71" s="207"/>
      <c r="DK71" s="207"/>
      <c r="DL71" s="207"/>
      <c r="DM71" s="207"/>
      <c r="DN71" s="207"/>
      <c r="DO71" s="207"/>
      <c r="DP71" s="207"/>
      <c r="DQ71" s="207"/>
      <c r="DR71" s="207"/>
      <c r="DS71" s="207"/>
      <c r="DT71" s="207"/>
      <c r="DU71" s="207"/>
      <c r="DV71" s="207"/>
      <c r="DW71" s="207"/>
      <c r="DX71" s="207"/>
      <c r="DY71" s="207"/>
      <c r="DZ71" s="207"/>
      <c r="EA71" s="207"/>
      <c r="EB71" s="207"/>
      <c r="EC71" s="207"/>
      <c r="ED71" s="207"/>
      <c r="EE71" s="207"/>
      <c r="EF71" s="207"/>
      <c r="EG71" s="207"/>
      <c r="EH71" s="207"/>
      <c r="EI71" s="207"/>
      <c r="EJ71" s="207"/>
      <c r="EK71" s="207"/>
      <c r="EL71" s="207"/>
      <c r="EM71" s="207"/>
      <c r="EN71" s="207"/>
      <c r="EO71" s="207"/>
      <c r="EP71" s="207"/>
      <c r="EQ71" s="207"/>
      <c r="ER71" s="207"/>
      <c r="ES71" s="207"/>
      <c r="ET71" s="207"/>
      <c r="EU71" s="207"/>
      <c r="EV71" s="207"/>
      <c r="EW71" s="207"/>
      <c r="EX71" s="207"/>
      <c r="EY71" s="207"/>
      <c r="EZ71" s="207"/>
      <c r="FA71" s="207"/>
      <c r="FB71" s="207"/>
      <c r="FC71" s="207"/>
      <c r="FD71" s="207"/>
      <c r="FE71" s="207"/>
      <c r="FF71" s="207"/>
      <c r="FG71" s="207"/>
      <c r="FH71" s="207"/>
      <c r="FI71" s="207"/>
      <c r="FJ71" s="207"/>
      <c r="FK71" s="207"/>
      <c r="FL71" s="207"/>
      <c r="FM71" s="207"/>
      <c r="FN71" s="207"/>
      <c r="FO71" s="207"/>
      <c r="FP71" s="207"/>
      <c r="FQ71" s="207"/>
      <c r="FR71" s="207"/>
      <c r="FS71" s="207"/>
      <c r="FT71" s="207"/>
      <c r="FU71" s="207"/>
      <c r="FV71" s="207"/>
      <c r="FW71" s="207"/>
      <c r="FX71" s="207"/>
      <c r="FY71" s="207"/>
      <c r="FZ71" s="207"/>
      <c r="GA71" s="207"/>
      <c r="GB71" s="207"/>
      <c r="GC71" s="207"/>
      <c r="GD71" s="207"/>
      <c r="GE71" s="207"/>
      <c r="GF71" s="207"/>
      <c r="GG71" s="207"/>
      <c r="GH71" s="207"/>
      <c r="GI71" s="207"/>
      <c r="GJ71" s="207"/>
      <c r="GK71" s="207"/>
      <c r="GL71" s="207"/>
      <c r="GM71" s="207"/>
      <c r="GN71" s="207"/>
      <c r="GO71" s="207"/>
      <c r="GP71" s="207"/>
      <c r="GQ71" s="207"/>
      <c r="GR71" s="207"/>
      <c r="GS71" s="207"/>
      <c r="GT71" s="207"/>
      <c r="GU71" s="207"/>
      <c r="GV71" s="207"/>
      <c r="GW71" s="207"/>
      <c r="GX71" s="207"/>
      <c r="GY71" s="207"/>
      <c r="GZ71" s="207"/>
      <c r="HA71" s="207"/>
      <c r="HB71" s="207"/>
      <c r="HC71" s="207"/>
      <c r="HD71" s="207"/>
      <c r="HE71" s="207"/>
      <c r="HF71" s="207"/>
      <c r="HG71" s="207"/>
      <c r="HH71" s="207"/>
      <c r="HI71" s="207"/>
      <c r="HJ71" s="207"/>
      <c r="HK71" s="207"/>
      <c r="HL71" s="207"/>
      <c r="HM71" s="207"/>
      <c r="HN71" s="207"/>
      <c r="HO71" s="207"/>
      <c r="HP71" s="207"/>
      <c r="HQ71" s="207"/>
      <c r="HR71" s="207"/>
      <c r="HS71" s="207"/>
      <c r="HT71" s="207"/>
      <c r="HU71" s="207"/>
      <c r="HV71" s="207"/>
      <c r="HW71" s="207"/>
      <c r="HX71" s="207"/>
      <c r="HY71" s="207"/>
      <c r="HZ71" s="207"/>
      <c r="IA71" s="207"/>
      <c r="IB71" s="207"/>
      <c r="IC71" s="207"/>
      <c r="ID71" s="207"/>
      <c r="IE71" s="207"/>
      <c r="IF71" s="207"/>
      <c r="IG71" s="207"/>
      <c r="IH71" s="207"/>
      <c r="II71" s="207"/>
      <c r="IJ71" s="207"/>
      <c r="IK71" s="207"/>
      <c r="IL71" s="207"/>
      <c r="IM71" s="207"/>
      <c r="IN71" s="207"/>
      <c r="IO71" s="207"/>
      <c r="IP71" s="207"/>
      <c r="IQ71" s="207"/>
      <c r="IR71" s="207"/>
      <c r="IS71" s="207"/>
      <c r="IT71" s="207"/>
      <c r="IU71" s="207"/>
      <c r="IV71" s="207"/>
    </row>
    <row r="72" spans="1:256" s="214" customFormat="1" ht="13.5" customHeight="1">
      <c r="A72" s="253"/>
      <c r="B72" s="254"/>
      <c r="C72" s="255">
        <v>2</v>
      </c>
      <c r="D72" s="255" t="s">
        <v>200</v>
      </c>
      <c r="E72" s="255"/>
      <c r="F72" s="256"/>
      <c r="G72" s="256"/>
      <c r="H72" s="256">
        <f>SUM(H73:H117)</f>
        <v>0</v>
      </c>
      <c r="I72" s="257"/>
      <c r="J72" s="2749"/>
    </row>
    <row r="73" spans="1:256" s="214" customFormat="1" ht="13.5" customHeight="1">
      <c r="A73" s="258" t="s">
        <v>896</v>
      </c>
      <c r="B73" s="259" t="s">
        <v>202</v>
      </c>
      <c r="C73" s="260">
        <v>212755215</v>
      </c>
      <c r="D73" s="260" t="s">
        <v>203</v>
      </c>
      <c r="E73" s="260" t="s">
        <v>142</v>
      </c>
      <c r="F73" s="365">
        <f>SUM(F74:F75)</f>
        <v>185.35000000000002</v>
      </c>
      <c r="G73" s="365"/>
      <c r="H73" s="365">
        <f>G73*F73</f>
        <v>0</v>
      </c>
      <c r="I73" s="153" t="s">
        <v>138</v>
      </c>
      <c r="J73" s="2750"/>
      <c r="K73" s="2751"/>
    </row>
    <row r="74" spans="1:256" s="214" customFormat="1" ht="13.5" customHeight="1">
      <c r="A74" s="261"/>
      <c r="B74" s="254"/>
      <c r="C74" s="255"/>
      <c r="D74" s="262" t="s">
        <v>204</v>
      </c>
      <c r="E74" s="260"/>
      <c r="F74" s="368"/>
      <c r="G74" s="256"/>
      <c r="H74" s="256"/>
      <c r="I74" s="263"/>
      <c r="K74" s="2752"/>
      <c r="L74" s="2752"/>
      <c r="M74" s="2752"/>
    </row>
    <row r="75" spans="1:256" s="214" customFormat="1" ht="13.5" customHeight="1">
      <c r="A75" s="261"/>
      <c r="B75" s="254"/>
      <c r="C75" s="264"/>
      <c r="D75" s="262" t="s">
        <v>205</v>
      </c>
      <c r="E75" s="260"/>
      <c r="F75" s="368">
        <f>(168.5)*1.1</f>
        <v>185.35000000000002</v>
      </c>
      <c r="G75" s="256"/>
      <c r="H75" s="256"/>
      <c r="I75" s="263"/>
      <c r="K75" s="2752"/>
      <c r="L75" s="2752"/>
      <c r="M75" s="2752"/>
    </row>
    <row r="76" spans="1:256" s="214" customFormat="1" ht="27" customHeight="1">
      <c r="A76" s="261"/>
      <c r="B76" s="254"/>
      <c r="C76" s="255"/>
      <c r="D76" s="262" t="s">
        <v>206</v>
      </c>
      <c r="E76" s="260"/>
      <c r="F76" s="368"/>
      <c r="G76" s="256"/>
      <c r="H76" s="256"/>
      <c r="I76" s="263"/>
      <c r="K76" s="2752"/>
      <c r="L76" s="2752"/>
      <c r="M76" s="2752"/>
    </row>
    <row r="77" spans="1:256" s="214" customFormat="1" ht="27" customHeight="1">
      <c r="A77" s="258" t="s">
        <v>201</v>
      </c>
      <c r="B77" s="259" t="s">
        <v>202</v>
      </c>
      <c r="C77" s="260" t="s">
        <v>208</v>
      </c>
      <c r="D77" s="260" t="s">
        <v>209</v>
      </c>
      <c r="E77" s="260" t="s">
        <v>210</v>
      </c>
      <c r="F77" s="365">
        <f>SUM(F78:F79)</f>
        <v>2</v>
      </c>
      <c r="G77" s="365"/>
      <c r="H77" s="365">
        <f>F77*G77</f>
        <v>0</v>
      </c>
      <c r="I77" s="265" t="s">
        <v>112</v>
      </c>
      <c r="J77" s="2753"/>
      <c r="K77" s="2751"/>
    </row>
    <row r="78" spans="1:256" s="214" customFormat="1" ht="13.5" customHeight="1">
      <c r="A78" s="258"/>
      <c r="B78" s="259"/>
      <c r="C78" s="260"/>
      <c r="D78" s="262" t="s">
        <v>211</v>
      </c>
      <c r="E78" s="260"/>
      <c r="F78" s="368">
        <v>2</v>
      </c>
      <c r="G78" s="365"/>
      <c r="H78" s="365"/>
      <c r="I78" s="265"/>
      <c r="J78" s="2753"/>
    </row>
    <row r="79" spans="1:256" s="214" customFormat="1" ht="27" customHeight="1">
      <c r="A79" s="258"/>
      <c r="B79" s="259"/>
      <c r="C79" s="260"/>
      <c r="D79" s="262" t="s">
        <v>212</v>
      </c>
      <c r="E79" s="260"/>
      <c r="F79" s="368"/>
      <c r="G79" s="365"/>
      <c r="H79" s="365"/>
      <c r="I79" s="265"/>
      <c r="J79" s="2751"/>
    </row>
    <row r="80" spans="1:256" s="214" customFormat="1" ht="13.5" customHeight="1">
      <c r="A80" s="258" t="s">
        <v>207</v>
      </c>
      <c r="B80" s="259" t="s">
        <v>202</v>
      </c>
      <c r="C80" s="260">
        <v>213141111</v>
      </c>
      <c r="D80" s="260" t="s">
        <v>214</v>
      </c>
      <c r="E80" s="260" t="s">
        <v>165</v>
      </c>
      <c r="F80" s="365">
        <f>SUM(F81:F81)</f>
        <v>67.400000000000006</v>
      </c>
      <c r="G80" s="365"/>
      <c r="H80" s="365">
        <f>F80*G80</f>
        <v>0</v>
      </c>
      <c r="I80" s="153" t="s">
        <v>138</v>
      </c>
      <c r="J80" s="2753"/>
      <c r="K80" s="2751"/>
    </row>
    <row r="81" spans="1:13" s="214" customFormat="1" ht="13.5" customHeight="1">
      <c r="A81" s="258"/>
      <c r="B81" s="259"/>
      <c r="C81" s="260"/>
      <c r="D81" s="262" t="s">
        <v>215</v>
      </c>
      <c r="E81" s="260"/>
      <c r="F81" s="368">
        <f>(168.5)*0.4</f>
        <v>67.400000000000006</v>
      </c>
      <c r="G81" s="365"/>
      <c r="H81" s="365"/>
      <c r="I81" s="265"/>
      <c r="J81" s="2753"/>
    </row>
    <row r="82" spans="1:13" s="214" customFormat="1" ht="13.5" customHeight="1">
      <c r="A82" s="266" t="s">
        <v>213</v>
      </c>
      <c r="B82" s="267" t="s">
        <v>217</v>
      </c>
      <c r="C82" s="268">
        <v>69311224</v>
      </c>
      <c r="D82" s="268" t="s">
        <v>218</v>
      </c>
      <c r="E82" s="268" t="s">
        <v>165</v>
      </c>
      <c r="F82" s="552">
        <f>SUM(F83:F83)</f>
        <v>77.510000000000005</v>
      </c>
      <c r="G82" s="552"/>
      <c r="H82" s="552">
        <f>F82*G82</f>
        <v>0</v>
      </c>
      <c r="I82" s="194" t="s">
        <v>138</v>
      </c>
      <c r="J82" s="2753"/>
      <c r="K82" s="2751"/>
    </row>
    <row r="83" spans="1:13" s="214" customFormat="1" ht="27" customHeight="1">
      <c r="A83" s="266"/>
      <c r="B83" s="267"/>
      <c r="C83" s="268"/>
      <c r="D83" s="269" t="s">
        <v>219</v>
      </c>
      <c r="E83" s="268"/>
      <c r="F83" s="372">
        <f>((168.5)*0.4)*1.15</f>
        <v>77.510000000000005</v>
      </c>
      <c r="G83" s="552"/>
      <c r="H83" s="552"/>
      <c r="I83" s="270"/>
      <c r="J83" s="2753"/>
    </row>
    <row r="84" spans="1:13" s="214" customFormat="1" ht="13.5" customHeight="1">
      <c r="A84" s="258" t="s">
        <v>216</v>
      </c>
      <c r="B84" s="259" t="s">
        <v>202</v>
      </c>
      <c r="C84" s="260">
        <v>233211122</v>
      </c>
      <c r="D84" s="260" t="s">
        <v>220</v>
      </c>
      <c r="E84" s="260" t="s">
        <v>210</v>
      </c>
      <c r="F84" s="365">
        <f>SUM(F85:F85)</f>
        <v>6</v>
      </c>
      <c r="G84" s="365"/>
      <c r="H84" s="365">
        <f>F84*G84</f>
        <v>0</v>
      </c>
      <c r="I84" s="153" t="s">
        <v>138</v>
      </c>
      <c r="J84" s="2753"/>
      <c r="K84" s="2751"/>
    </row>
    <row r="85" spans="1:13" s="214" customFormat="1" ht="13.5" customHeight="1">
      <c r="A85" s="258"/>
      <c r="B85" s="259"/>
      <c r="C85" s="260"/>
      <c r="D85" s="262" t="s">
        <v>221</v>
      </c>
      <c r="E85" s="260"/>
      <c r="F85" s="368">
        <v>6</v>
      </c>
      <c r="G85" s="365"/>
      <c r="H85" s="365"/>
      <c r="I85" s="265"/>
      <c r="J85" s="2753"/>
    </row>
    <row r="86" spans="1:13" s="214" customFormat="1" ht="13.5" customHeight="1">
      <c r="A86" s="258" t="s">
        <v>897</v>
      </c>
      <c r="B86" s="259" t="s">
        <v>202</v>
      </c>
      <c r="C86" s="260">
        <v>233211123</v>
      </c>
      <c r="D86" s="260" t="s">
        <v>222</v>
      </c>
      <c r="E86" s="260" t="s">
        <v>210</v>
      </c>
      <c r="F86" s="365">
        <f>SUM(F87:F87)</f>
        <v>9</v>
      </c>
      <c r="G86" s="365"/>
      <c r="H86" s="365">
        <f>F86*G86</f>
        <v>0</v>
      </c>
      <c r="I86" s="153" t="s">
        <v>138</v>
      </c>
      <c r="J86" s="2753"/>
      <c r="K86" s="2751"/>
    </row>
    <row r="87" spans="1:13" s="214" customFormat="1" ht="13.5" customHeight="1">
      <c r="A87" s="258"/>
      <c r="B87" s="259"/>
      <c r="C87" s="260"/>
      <c r="D87" s="262" t="s">
        <v>223</v>
      </c>
      <c r="E87" s="260"/>
      <c r="F87" s="368">
        <v>9</v>
      </c>
      <c r="G87" s="365"/>
      <c r="H87" s="365"/>
      <c r="I87" s="265"/>
      <c r="J87" s="2753"/>
    </row>
    <row r="88" spans="1:13" s="214" customFormat="1" ht="13.5" customHeight="1">
      <c r="A88" s="271">
        <v>23</v>
      </c>
      <c r="B88" s="272" t="s">
        <v>224</v>
      </c>
      <c r="C88" s="152" t="s">
        <v>225</v>
      </c>
      <c r="D88" s="152" t="s">
        <v>226</v>
      </c>
      <c r="E88" s="152" t="s">
        <v>147</v>
      </c>
      <c r="F88" s="273">
        <f>SUM(F89:F90)</f>
        <v>7.5444500000000003</v>
      </c>
      <c r="G88" s="273"/>
      <c r="H88" s="273">
        <f>F88*G88</f>
        <v>0</v>
      </c>
      <c r="I88" s="265" t="s">
        <v>112</v>
      </c>
      <c r="J88" s="2749"/>
    </row>
    <row r="89" spans="1:13" s="214" customFormat="1" ht="13.5" customHeight="1">
      <c r="A89" s="271"/>
      <c r="B89" s="272"/>
      <c r="C89" s="152"/>
      <c r="D89" s="212" t="s">
        <v>227</v>
      </c>
      <c r="E89" s="152"/>
      <c r="F89" s="280">
        <f>(68.387)*0.1</f>
        <v>6.8387000000000002</v>
      </c>
      <c r="G89" s="273"/>
      <c r="H89" s="273"/>
      <c r="I89" s="274"/>
      <c r="J89" s="2749"/>
    </row>
    <row r="90" spans="1:13" s="214" customFormat="1" ht="13.5" customHeight="1">
      <c r="A90" s="271"/>
      <c r="B90" s="272"/>
      <c r="C90" s="152"/>
      <c r="D90" s="212" t="s">
        <v>228</v>
      </c>
      <c r="E90" s="152"/>
      <c r="F90" s="280">
        <f xml:space="preserve"> (2.823)*0.25</f>
        <v>0.70574999999999999</v>
      </c>
      <c r="G90" s="273"/>
      <c r="H90" s="273"/>
      <c r="I90" s="274"/>
      <c r="J90" s="2749"/>
    </row>
    <row r="91" spans="1:13" s="275" customFormat="1" ht="13.5" customHeight="1">
      <c r="A91" s="271">
        <v>24</v>
      </c>
      <c r="B91" s="272" t="s">
        <v>224</v>
      </c>
      <c r="C91" s="152">
        <v>273322511</v>
      </c>
      <c r="D91" s="152" t="s">
        <v>229</v>
      </c>
      <c r="E91" s="152" t="s">
        <v>147</v>
      </c>
      <c r="F91" s="553">
        <f>SUM(F93:F95)</f>
        <v>75.046650000000014</v>
      </c>
      <c r="G91" s="273"/>
      <c r="H91" s="273">
        <f>G91*F91</f>
        <v>0</v>
      </c>
      <c r="I91" s="153" t="s">
        <v>138</v>
      </c>
      <c r="J91" s="2749"/>
      <c r="M91" s="276"/>
    </row>
    <row r="92" spans="1:13" s="281" customFormat="1" ht="13.5" customHeight="1">
      <c r="A92" s="277"/>
      <c r="B92" s="278"/>
      <c r="C92" s="279"/>
      <c r="D92" s="279" t="s">
        <v>230</v>
      </c>
      <c r="E92" s="279"/>
      <c r="F92" s="280"/>
      <c r="G92" s="280"/>
      <c r="H92" s="280"/>
      <c r="I92" s="163"/>
      <c r="J92" s="2754"/>
      <c r="M92" s="282"/>
    </row>
    <row r="93" spans="1:13" s="275" customFormat="1" ht="13.5" customHeight="1">
      <c r="A93" s="271"/>
      <c r="B93" s="272"/>
      <c r="C93" s="152"/>
      <c r="D93" s="279" t="s">
        <v>231</v>
      </c>
      <c r="E93" s="152"/>
      <c r="F93" s="280">
        <f>(68.387)*1.05</f>
        <v>71.806350000000009</v>
      </c>
      <c r="G93" s="273"/>
      <c r="H93" s="273"/>
      <c r="I93" s="274"/>
      <c r="J93" s="2749"/>
      <c r="M93" s="276"/>
    </row>
    <row r="94" spans="1:13" s="275" customFormat="1" ht="13.5" customHeight="1">
      <c r="A94" s="271"/>
      <c r="B94" s="272"/>
      <c r="C94" s="152"/>
      <c r="D94" s="279" t="s">
        <v>232</v>
      </c>
      <c r="E94" s="152"/>
      <c r="F94" s="280">
        <f>(2.823)*1.05</f>
        <v>2.9641500000000001</v>
      </c>
      <c r="G94" s="273"/>
      <c r="H94" s="273"/>
      <c r="I94" s="274"/>
      <c r="J94" s="2749"/>
      <c r="M94" s="276"/>
    </row>
    <row r="95" spans="1:13" s="275" customFormat="1" ht="13.5" customHeight="1">
      <c r="A95" s="271"/>
      <c r="B95" s="272"/>
      <c r="C95" s="152"/>
      <c r="D95" s="279" t="s">
        <v>233</v>
      </c>
      <c r="E95" s="152"/>
      <c r="F95" s="280">
        <f>(0.263)*1.05</f>
        <v>0.27615000000000001</v>
      </c>
      <c r="G95" s="273"/>
      <c r="H95" s="273"/>
      <c r="I95" s="274"/>
      <c r="J95" s="2749"/>
      <c r="M95" s="276"/>
    </row>
    <row r="96" spans="1:13" s="135" customFormat="1" ht="13.5" customHeight="1">
      <c r="A96" s="215">
        <v>25</v>
      </c>
      <c r="B96" s="180" t="s">
        <v>224</v>
      </c>
      <c r="C96" s="177">
        <v>273351121</v>
      </c>
      <c r="D96" s="177" t="s">
        <v>234</v>
      </c>
      <c r="E96" s="177" t="s">
        <v>165</v>
      </c>
      <c r="F96" s="541">
        <f>SUM(F97:F97)</f>
        <v>0.99329999999999996</v>
      </c>
      <c r="G96" s="178"/>
      <c r="H96" s="178">
        <f>F96*G96</f>
        <v>0</v>
      </c>
      <c r="I96" s="153" t="s">
        <v>138</v>
      </c>
      <c r="J96" s="283"/>
      <c r="K96" s="218"/>
    </row>
    <row r="97" spans="1:15" s="286" customFormat="1" ht="13.5" customHeight="1">
      <c r="A97" s="284"/>
      <c r="B97" s="183"/>
      <c r="C97" s="183"/>
      <c r="D97" s="279" t="s">
        <v>235</v>
      </c>
      <c r="E97" s="183"/>
      <c r="F97" s="305">
        <f>(0.946)*1.05</f>
        <v>0.99329999999999996</v>
      </c>
      <c r="G97" s="305"/>
      <c r="H97" s="305"/>
      <c r="I97" s="285"/>
      <c r="K97" s="218"/>
      <c r="O97" s="135"/>
    </row>
    <row r="98" spans="1:15" s="135" customFormat="1" ht="13.5" customHeight="1">
      <c r="A98" s="215">
        <v>26</v>
      </c>
      <c r="B98" s="180" t="s">
        <v>224</v>
      </c>
      <c r="C98" s="177">
        <v>273351122</v>
      </c>
      <c r="D98" s="177" t="s">
        <v>1970</v>
      </c>
      <c r="E98" s="177" t="s">
        <v>165</v>
      </c>
      <c r="F98" s="541">
        <f>F96</f>
        <v>0.99329999999999996</v>
      </c>
      <c r="G98" s="178"/>
      <c r="H98" s="178">
        <f>F98*G98</f>
        <v>0</v>
      </c>
      <c r="I98" s="153" t="s">
        <v>138</v>
      </c>
    </row>
    <row r="99" spans="1:15" s="214" customFormat="1" ht="13.5" customHeight="1">
      <c r="A99" s="271">
        <v>27</v>
      </c>
      <c r="B99" s="272" t="s">
        <v>237</v>
      </c>
      <c r="C99" s="152">
        <v>273361821</v>
      </c>
      <c r="D99" s="152" t="s">
        <v>238</v>
      </c>
      <c r="E99" s="152" t="s">
        <v>178</v>
      </c>
      <c r="F99" s="273">
        <f>SUM(F100:F101)</f>
        <v>4.4583619047619045</v>
      </c>
      <c r="G99" s="273"/>
      <c r="H99" s="273">
        <f>F99*G99</f>
        <v>0</v>
      </c>
      <c r="I99" s="153" t="s">
        <v>138</v>
      </c>
      <c r="J99" s="2749"/>
    </row>
    <row r="100" spans="1:15" s="292" customFormat="1" ht="28.5" customHeight="1">
      <c r="A100" s="287"/>
      <c r="B100" s="288"/>
      <c r="C100" s="289"/>
      <c r="D100" s="279" t="s">
        <v>239</v>
      </c>
      <c r="E100" s="212"/>
      <c r="F100" s="290">
        <f>((71.81/1.05))*0.06</f>
        <v>4.1034285714285712</v>
      </c>
      <c r="G100" s="290"/>
      <c r="H100" s="290"/>
      <c r="I100" s="291"/>
      <c r="J100" s="2749"/>
      <c r="M100" s="214"/>
    </row>
    <row r="101" spans="1:15" s="292" customFormat="1" ht="28.5" customHeight="1">
      <c r="A101" s="287"/>
      <c r="B101" s="288"/>
      <c r="C101" s="289"/>
      <c r="D101" s="279" t="s">
        <v>240</v>
      </c>
      <c r="E101" s="212"/>
      <c r="F101" s="290">
        <f>((2.96+0.28/1.05))*0.11</f>
        <v>0.35493333333333332</v>
      </c>
      <c r="G101" s="290"/>
      <c r="H101" s="290"/>
      <c r="I101" s="291"/>
      <c r="J101" s="2749"/>
      <c r="M101" s="214"/>
    </row>
    <row r="102" spans="1:15" s="135" customFormat="1" ht="13.5" customHeight="1">
      <c r="A102" s="215">
        <v>28</v>
      </c>
      <c r="B102" s="180" t="s">
        <v>224</v>
      </c>
      <c r="C102" s="177">
        <v>275313811</v>
      </c>
      <c r="D102" s="177" t="s">
        <v>241</v>
      </c>
      <c r="E102" s="177" t="s">
        <v>147</v>
      </c>
      <c r="F102" s="541">
        <f>SUM(F104:F104)</f>
        <v>6.0900000000000003E-2</v>
      </c>
      <c r="G102" s="178"/>
      <c r="H102" s="178">
        <f>F102*G102</f>
        <v>0</v>
      </c>
      <c r="I102" s="153" t="s">
        <v>138</v>
      </c>
      <c r="J102" s="2734"/>
    </row>
    <row r="103" spans="1:15" s="297" customFormat="1" ht="13.5" customHeight="1">
      <c r="A103" s="293"/>
      <c r="B103" s="294"/>
      <c r="C103" s="295"/>
      <c r="D103" s="279" t="s">
        <v>242</v>
      </c>
      <c r="E103" s="295"/>
      <c r="F103" s="554"/>
      <c r="G103" s="556"/>
      <c r="H103" s="556"/>
      <c r="I103" s="296"/>
      <c r="J103" s="2755"/>
    </row>
    <row r="104" spans="1:15" s="135" customFormat="1" ht="13.5" customHeight="1">
      <c r="A104" s="215"/>
      <c r="B104" s="177"/>
      <c r="C104" s="177"/>
      <c r="D104" s="183" t="s">
        <v>243</v>
      </c>
      <c r="E104" s="177"/>
      <c r="F104" s="305">
        <f xml:space="preserve"> (0.058)*1.05</f>
        <v>6.0900000000000003E-2</v>
      </c>
      <c r="G104" s="178"/>
      <c r="H104" s="178"/>
      <c r="I104" s="216"/>
    </row>
    <row r="105" spans="1:15" s="135" customFormat="1" ht="27" customHeight="1">
      <c r="A105" s="298"/>
      <c r="B105" s="299"/>
      <c r="C105" s="299"/>
      <c r="D105" s="183" t="s">
        <v>244</v>
      </c>
      <c r="E105" s="299"/>
      <c r="F105" s="309"/>
      <c r="G105" s="309"/>
      <c r="H105" s="178"/>
      <c r="I105" s="216"/>
      <c r="K105" s="2756"/>
    </row>
    <row r="106" spans="1:15" s="135" customFormat="1" ht="13.5" customHeight="1">
      <c r="A106" s="215">
        <v>29</v>
      </c>
      <c r="B106" s="180" t="s">
        <v>224</v>
      </c>
      <c r="C106" s="177">
        <v>275351121</v>
      </c>
      <c r="D106" s="177" t="s">
        <v>245</v>
      </c>
      <c r="E106" s="177" t="s">
        <v>165</v>
      </c>
      <c r="F106" s="541">
        <f>SUM(F107:F107)</f>
        <v>0.99329999999999996</v>
      </c>
      <c r="G106" s="178"/>
      <c r="H106" s="178">
        <f>F106*G106</f>
        <v>0</v>
      </c>
      <c r="I106" s="153" t="s">
        <v>138</v>
      </c>
      <c r="J106" s="283"/>
      <c r="K106" s="218"/>
    </row>
    <row r="107" spans="1:15" s="286" customFormat="1" ht="13.5" customHeight="1">
      <c r="A107" s="284"/>
      <c r="B107" s="183"/>
      <c r="C107" s="183"/>
      <c r="D107" s="183" t="s">
        <v>246</v>
      </c>
      <c r="E107" s="183"/>
      <c r="F107" s="305">
        <f>(0.946)*1.05</f>
        <v>0.99329999999999996</v>
      </c>
      <c r="G107" s="305"/>
      <c r="H107" s="305"/>
      <c r="I107" s="285"/>
      <c r="K107" s="218"/>
      <c r="O107" s="135"/>
    </row>
    <row r="108" spans="1:15" s="135" customFormat="1" ht="13.5" customHeight="1">
      <c r="A108" s="215">
        <v>30</v>
      </c>
      <c r="B108" s="180" t="s">
        <v>224</v>
      </c>
      <c r="C108" s="177">
        <v>275351122</v>
      </c>
      <c r="D108" s="177" t="s">
        <v>236</v>
      </c>
      <c r="E108" s="177" t="s">
        <v>165</v>
      </c>
      <c r="F108" s="541">
        <f>F106</f>
        <v>0.99329999999999996</v>
      </c>
      <c r="G108" s="178"/>
      <c r="H108" s="178">
        <f>F108*G108</f>
        <v>0</v>
      </c>
      <c r="I108" s="153" t="s">
        <v>138</v>
      </c>
    </row>
    <row r="109" spans="1:15" s="135" customFormat="1" ht="13.5" customHeight="1">
      <c r="A109" s="215">
        <v>31</v>
      </c>
      <c r="B109" s="180" t="s">
        <v>224</v>
      </c>
      <c r="C109" s="177">
        <v>279322511</v>
      </c>
      <c r="D109" s="177" t="s">
        <v>247</v>
      </c>
      <c r="E109" s="177" t="s">
        <v>147</v>
      </c>
      <c r="F109" s="541">
        <f>SUM(F111:F111)</f>
        <v>4.28085</v>
      </c>
      <c r="G109" s="178"/>
      <c r="H109" s="178">
        <f>F109*G109</f>
        <v>0</v>
      </c>
      <c r="I109" s="153" t="s">
        <v>138</v>
      </c>
      <c r="J109" s="2734"/>
    </row>
    <row r="110" spans="1:15" s="297" customFormat="1" ht="13.5" customHeight="1">
      <c r="A110" s="293"/>
      <c r="B110" s="294"/>
      <c r="C110" s="295"/>
      <c r="D110" s="279" t="s">
        <v>230</v>
      </c>
      <c r="E110" s="295"/>
      <c r="F110" s="554"/>
      <c r="G110" s="556"/>
      <c r="H110" s="556"/>
      <c r="I110" s="296"/>
      <c r="J110" s="2755"/>
    </row>
    <row r="111" spans="1:15" s="135" customFormat="1" ht="13.5" customHeight="1">
      <c r="A111" s="215"/>
      <c r="B111" s="177"/>
      <c r="C111" s="177"/>
      <c r="D111" s="183" t="s">
        <v>248</v>
      </c>
      <c r="E111" s="177"/>
      <c r="F111" s="305">
        <f>(4.077)*1.05</f>
        <v>4.28085</v>
      </c>
      <c r="G111" s="178"/>
      <c r="H111" s="178"/>
      <c r="I111" s="216"/>
    </row>
    <row r="112" spans="1:15" s="135" customFormat="1" ht="27" customHeight="1">
      <c r="A112" s="298"/>
      <c r="B112" s="299"/>
      <c r="C112" s="299"/>
      <c r="D112" s="183" t="s">
        <v>244</v>
      </c>
      <c r="E112" s="299"/>
      <c r="F112" s="309"/>
      <c r="G112" s="309"/>
      <c r="H112" s="178"/>
      <c r="I112" s="216"/>
      <c r="K112" s="2756"/>
    </row>
    <row r="113" spans="1:15" s="135" customFormat="1" ht="13.5" customHeight="1">
      <c r="A113" s="215">
        <v>32</v>
      </c>
      <c r="B113" s="180" t="s">
        <v>224</v>
      </c>
      <c r="C113" s="177">
        <v>279351121</v>
      </c>
      <c r="D113" s="177" t="s">
        <v>249</v>
      </c>
      <c r="E113" s="177" t="s">
        <v>165</v>
      </c>
      <c r="F113" s="541">
        <f>SUM(F114:F114)</f>
        <v>58.004100000000001</v>
      </c>
      <c r="G113" s="178"/>
      <c r="H113" s="178">
        <f>F113*G113</f>
        <v>0</v>
      </c>
      <c r="I113" s="153" t="s">
        <v>138</v>
      </c>
      <c r="J113" s="283"/>
      <c r="K113" s="218"/>
    </row>
    <row r="114" spans="1:15" s="286" customFormat="1" ht="13.5" customHeight="1">
      <c r="A114" s="284"/>
      <c r="B114" s="183"/>
      <c r="C114" s="183"/>
      <c r="D114" s="183" t="s">
        <v>250</v>
      </c>
      <c r="E114" s="183"/>
      <c r="F114" s="305">
        <f>(55.242)*1.05</f>
        <v>58.004100000000001</v>
      </c>
      <c r="G114" s="305"/>
      <c r="H114" s="305"/>
      <c r="I114" s="285"/>
      <c r="K114" s="218"/>
      <c r="O114" s="135"/>
    </row>
    <row r="115" spans="1:15" s="135" customFormat="1" ht="13.5" customHeight="1">
      <c r="A115" s="215">
        <v>33</v>
      </c>
      <c r="B115" s="180" t="s">
        <v>224</v>
      </c>
      <c r="C115" s="177">
        <v>279351122</v>
      </c>
      <c r="D115" s="177" t="s">
        <v>251</v>
      </c>
      <c r="E115" s="177" t="s">
        <v>165</v>
      </c>
      <c r="F115" s="541">
        <f>F113</f>
        <v>58.004100000000001</v>
      </c>
      <c r="G115" s="178"/>
      <c r="H115" s="178">
        <f>F115*G115</f>
        <v>0</v>
      </c>
      <c r="I115" s="153" t="s">
        <v>138</v>
      </c>
    </row>
    <row r="116" spans="1:15" s="135" customFormat="1" ht="13.5" customHeight="1">
      <c r="A116" s="215">
        <v>34</v>
      </c>
      <c r="B116" s="180" t="s">
        <v>224</v>
      </c>
      <c r="C116" s="177">
        <v>279361821</v>
      </c>
      <c r="D116" s="177" t="s">
        <v>252</v>
      </c>
      <c r="E116" s="177" t="s">
        <v>178</v>
      </c>
      <c r="F116" s="541">
        <f>SUM(F117)</f>
        <v>0.44838095238095238</v>
      </c>
      <c r="G116" s="178"/>
      <c r="H116" s="178">
        <f>F116*G116</f>
        <v>0</v>
      </c>
      <c r="I116" s="153" t="s">
        <v>138</v>
      </c>
    </row>
    <row r="117" spans="1:15" s="286" customFormat="1" ht="25.5" customHeight="1">
      <c r="A117" s="284"/>
      <c r="B117" s="183"/>
      <c r="C117" s="289"/>
      <c r="D117" s="300" t="s">
        <v>253</v>
      </c>
      <c r="E117" s="183"/>
      <c r="F117" s="305">
        <f>((4.28)/1.05)*0.11</f>
        <v>0.44838095238095238</v>
      </c>
      <c r="G117" s="305"/>
      <c r="H117" s="305"/>
      <c r="I117" s="285"/>
      <c r="J117" s="135"/>
      <c r="K117" s="135"/>
      <c r="L117" s="135"/>
      <c r="M117" s="135"/>
      <c r="N117" s="135"/>
    </row>
    <row r="118" spans="1:15" s="135" customFormat="1" ht="13.5" customHeight="1">
      <c r="A118" s="148"/>
      <c r="B118" s="149"/>
      <c r="C118" s="149">
        <v>3</v>
      </c>
      <c r="D118" s="149" t="s">
        <v>254</v>
      </c>
      <c r="E118" s="149"/>
      <c r="F118" s="345"/>
      <c r="G118" s="345"/>
      <c r="H118" s="345">
        <f>SUM(H119:H155)</f>
        <v>0</v>
      </c>
      <c r="I118" s="184"/>
      <c r="J118" s="301"/>
    </row>
    <row r="119" spans="1:15" s="276" customFormat="1" ht="13.5" customHeight="1">
      <c r="A119" s="271">
        <v>35</v>
      </c>
      <c r="B119" s="272" t="s">
        <v>224</v>
      </c>
      <c r="C119" s="152">
        <v>311231116</v>
      </c>
      <c r="D119" s="152" t="s">
        <v>255</v>
      </c>
      <c r="E119" s="152" t="s">
        <v>147</v>
      </c>
      <c r="F119" s="273">
        <f>SUM(F121:F123)</f>
        <v>6.7483500000000003</v>
      </c>
      <c r="G119" s="273"/>
      <c r="H119" s="273">
        <f>G119*F119</f>
        <v>0</v>
      </c>
      <c r="I119" s="274" t="s">
        <v>138</v>
      </c>
      <c r="J119" s="2749"/>
    </row>
    <row r="120" spans="1:15" s="276" customFormat="1" ht="13.5" customHeight="1">
      <c r="A120" s="271"/>
      <c r="B120" s="272"/>
      <c r="C120" s="152"/>
      <c r="D120" s="279" t="s">
        <v>256</v>
      </c>
      <c r="E120" s="152"/>
      <c r="F120" s="273"/>
      <c r="G120" s="273"/>
      <c r="H120" s="273"/>
      <c r="I120" s="274"/>
      <c r="J120" s="2749"/>
    </row>
    <row r="121" spans="1:15" s="276" customFormat="1" ht="13.5" customHeight="1">
      <c r="A121" s="271"/>
      <c r="B121" s="272"/>
      <c r="C121" s="152"/>
      <c r="D121" s="279" t="s">
        <v>257</v>
      </c>
      <c r="E121" s="152"/>
      <c r="F121" s="280">
        <f xml:space="preserve"> (2.082)*1.05</f>
        <v>2.1861000000000002</v>
      </c>
      <c r="G121" s="273"/>
      <c r="H121" s="273"/>
      <c r="I121" s="274"/>
      <c r="J121" s="2757"/>
    </row>
    <row r="122" spans="1:15" s="276" customFormat="1" ht="13.5" customHeight="1">
      <c r="A122" s="271"/>
      <c r="B122" s="272"/>
      <c r="C122" s="152"/>
      <c r="D122" s="279" t="s">
        <v>258</v>
      </c>
      <c r="E122" s="152"/>
      <c r="F122" s="280">
        <f>(2.41)*1.05</f>
        <v>2.5305000000000004</v>
      </c>
      <c r="G122" s="273"/>
      <c r="H122" s="273"/>
      <c r="I122" s="274"/>
      <c r="J122" s="2757"/>
    </row>
    <row r="123" spans="1:15" s="276" customFormat="1" ht="13.5" customHeight="1">
      <c r="A123" s="271"/>
      <c r="B123" s="272"/>
      <c r="C123" s="152"/>
      <c r="D123" s="279" t="s">
        <v>259</v>
      </c>
      <c r="E123" s="152"/>
      <c r="F123" s="280">
        <f>(1.935)*1.05</f>
        <v>2.0317500000000002</v>
      </c>
      <c r="G123" s="273"/>
      <c r="H123" s="273"/>
      <c r="I123" s="274"/>
      <c r="J123" s="2757"/>
    </row>
    <row r="124" spans="1:15" s="276" customFormat="1" ht="27" customHeight="1">
      <c r="A124" s="271">
        <v>36</v>
      </c>
      <c r="B124" s="272" t="s">
        <v>224</v>
      </c>
      <c r="C124" s="152">
        <v>311272131</v>
      </c>
      <c r="D124" s="152" t="s">
        <v>260</v>
      </c>
      <c r="E124" s="152" t="s">
        <v>165</v>
      </c>
      <c r="F124" s="273">
        <f>F126</f>
        <v>1.9068000000000001</v>
      </c>
      <c r="G124" s="273"/>
      <c r="H124" s="273">
        <f>G124*F124</f>
        <v>0</v>
      </c>
      <c r="I124" s="274" t="s">
        <v>138</v>
      </c>
      <c r="J124" s="2749"/>
    </row>
    <row r="125" spans="1:15" s="276" customFormat="1" ht="13.5" customHeight="1">
      <c r="A125" s="271"/>
      <c r="B125" s="272"/>
      <c r="C125" s="152"/>
      <c r="D125" s="279" t="s">
        <v>261</v>
      </c>
      <c r="E125" s="152"/>
      <c r="F125" s="273"/>
      <c r="G125" s="273"/>
      <c r="H125" s="273"/>
      <c r="I125" s="274"/>
      <c r="J125" s="2749"/>
    </row>
    <row r="126" spans="1:15" s="276" customFormat="1" ht="13.5" customHeight="1">
      <c r="A126" s="271"/>
      <c r="B126" s="272"/>
      <c r="C126" s="152"/>
      <c r="D126" s="279" t="s">
        <v>262</v>
      </c>
      <c r="E126" s="152"/>
      <c r="F126" s="280">
        <f xml:space="preserve"> (1.816)*1.05</f>
        <v>1.9068000000000001</v>
      </c>
      <c r="G126" s="273"/>
      <c r="H126" s="273"/>
      <c r="I126" s="274"/>
      <c r="J126" s="2757"/>
    </row>
    <row r="127" spans="1:15" s="135" customFormat="1" ht="27" customHeight="1">
      <c r="A127" s="176">
        <v>37</v>
      </c>
      <c r="B127" s="180" t="s">
        <v>224</v>
      </c>
      <c r="C127" s="177">
        <v>317142442</v>
      </c>
      <c r="D127" s="177" t="s">
        <v>263</v>
      </c>
      <c r="E127" s="177" t="s">
        <v>210</v>
      </c>
      <c r="F127" s="178">
        <f>F129</f>
        <v>1</v>
      </c>
      <c r="G127" s="178"/>
      <c r="H127" s="178">
        <f>F127*G127</f>
        <v>0</v>
      </c>
      <c r="I127" s="274" t="s">
        <v>138</v>
      </c>
      <c r="J127" s="2758"/>
    </row>
    <row r="128" spans="1:15" s="286" customFormat="1" ht="13.5" customHeight="1">
      <c r="A128" s="302"/>
      <c r="B128" s="303"/>
      <c r="C128" s="183"/>
      <c r="D128" s="183" t="s">
        <v>264</v>
      </c>
      <c r="E128" s="183"/>
      <c r="F128" s="555"/>
      <c r="G128" s="305"/>
      <c r="H128" s="305"/>
      <c r="I128" s="285"/>
      <c r="J128" s="2758"/>
      <c r="M128" s="135"/>
    </row>
    <row r="129" spans="1:15" s="286" customFormat="1" ht="13.5" customHeight="1">
      <c r="A129" s="302"/>
      <c r="B129" s="303"/>
      <c r="C129" s="183"/>
      <c r="D129" s="183" t="s">
        <v>265</v>
      </c>
      <c r="E129" s="183"/>
      <c r="F129" s="305">
        <v>1</v>
      </c>
      <c r="G129" s="305"/>
      <c r="H129" s="305"/>
      <c r="I129" s="285"/>
      <c r="J129" s="2758"/>
      <c r="M129" s="135"/>
    </row>
    <row r="130" spans="1:15" s="286" customFormat="1" ht="13.5" customHeight="1">
      <c r="A130" s="302"/>
      <c r="B130" s="303"/>
      <c r="C130" s="183"/>
      <c r="D130" s="183" t="s">
        <v>266</v>
      </c>
      <c r="E130" s="183"/>
      <c r="F130" s="305"/>
      <c r="G130" s="305"/>
      <c r="H130" s="305"/>
      <c r="I130" s="285"/>
      <c r="J130" s="2758"/>
      <c r="M130" s="135"/>
    </row>
    <row r="131" spans="1:15" s="135" customFormat="1" ht="13.5" customHeight="1">
      <c r="A131" s="215">
        <v>38</v>
      </c>
      <c r="B131" s="180" t="s">
        <v>224</v>
      </c>
      <c r="C131" s="177" t="s">
        <v>267</v>
      </c>
      <c r="D131" s="177" t="s">
        <v>268</v>
      </c>
      <c r="E131" s="177" t="s">
        <v>210</v>
      </c>
      <c r="F131" s="178">
        <f>SUM(F133)</f>
        <v>1</v>
      </c>
      <c r="G131" s="178"/>
      <c r="H131" s="178">
        <f>F131*G131</f>
        <v>0</v>
      </c>
      <c r="I131" s="216" t="s">
        <v>111</v>
      </c>
      <c r="J131" s="2759"/>
      <c r="N131" s="2760"/>
      <c r="O131" s="2761"/>
    </row>
    <row r="132" spans="1:15" s="135" customFormat="1" ht="25.5" customHeight="1">
      <c r="A132" s="298"/>
      <c r="B132" s="299"/>
      <c r="C132" s="299"/>
      <c r="D132" s="183" t="s">
        <v>269</v>
      </c>
      <c r="E132" s="299"/>
      <c r="F132" s="305"/>
      <c r="G132" s="309"/>
      <c r="H132" s="178"/>
      <c r="I132" s="306"/>
      <c r="J132" s="2762"/>
      <c r="K132" s="2763"/>
      <c r="L132" s="2764"/>
    </row>
    <row r="133" spans="1:15" s="286" customFormat="1" ht="13.5" customHeight="1">
      <c r="A133" s="284"/>
      <c r="B133" s="183"/>
      <c r="C133" s="183"/>
      <c r="D133" s="183" t="s">
        <v>270</v>
      </c>
      <c r="E133" s="183"/>
      <c r="F133" s="305">
        <v>1</v>
      </c>
      <c r="G133" s="305"/>
      <c r="H133" s="305"/>
      <c r="I133" s="306"/>
      <c r="J133" s="2762"/>
      <c r="K133" s="2763"/>
      <c r="N133" s="135"/>
    </row>
    <row r="134" spans="1:15" s="135" customFormat="1" ht="40.5" customHeight="1">
      <c r="A134" s="298"/>
      <c r="B134" s="299"/>
      <c r="C134" s="299"/>
      <c r="D134" s="183" t="s">
        <v>271</v>
      </c>
      <c r="E134" s="299"/>
      <c r="F134" s="305"/>
      <c r="G134" s="309"/>
      <c r="H134" s="578"/>
      <c r="I134" s="306"/>
      <c r="J134" s="2765"/>
      <c r="K134" s="2766"/>
      <c r="L134" s="2767"/>
      <c r="M134" s="2767"/>
      <c r="N134" s="2767"/>
      <c r="O134" s="2767"/>
    </row>
    <row r="135" spans="1:15" s="135" customFormat="1" ht="40.5" customHeight="1">
      <c r="A135" s="307"/>
      <c r="B135" s="308"/>
      <c r="C135" s="299"/>
      <c r="D135" s="183" t="s">
        <v>272</v>
      </c>
      <c r="E135" s="299"/>
      <c r="F135" s="305"/>
      <c r="G135" s="309"/>
      <c r="H135" s="178"/>
      <c r="I135" s="150"/>
      <c r="J135" s="2768"/>
      <c r="K135" s="2769"/>
      <c r="L135" s="2770"/>
    </row>
    <row r="136" spans="1:15" s="158" customFormat="1" ht="13.5" customHeight="1">
      <c r="A136" s="310"/>
      <c r="B136" s="180"/>
      <c r="C136" s="177"/>
      <c r="D136" s="183" t="s">
        <v>273</v>
      </c>
      <c r="E136" s="177"/>
      <c r="F136" s="305"/>
      <c r="G136" s="178"/>
      <c r="H136" s="178"/>
      <c r="I136" s="311"/>
      <c r="J136" s="2765"/>
      <c r="K136" s="2766"/>
      <c r="L136" s="312"/>
    </row>
    <row r="137" spans="1:15" s="276" customFormat="1" ht="13.5" customHeight="1">
      <c r="A137" s="271">
        <v>39</v>
      </c>
      <c r="B137" s="272" t="s">
        <v>224</v>
      </c>
      <c r="C137" s="152">
        <v>342272225</v>
      </c>
      <c r="D137" s="152" t="s">
        <v>274</v>
      </c>
      <c r="E137" s="152" t="s">
        <v>165</v>
      </c>
      <c r="F137" s="273">
        <f>SUM(F139:F140)</f>
        <v>5.7655500000000002</v>
      </c>
      <c r="G137" s="273"/>
      <c r="H137" s="273">
        <f>G137*F137</f>
        <v>0</v>
      </c>
      <c r="I137" s="274" t="s">
        <v>138</v>
      </c>
      <c r="J137" s="2749"/>
    </row>
    <row r="138" spans="1:15" s="276" customFormat="1" ht="13.5" customHeight="1">
      <c r="A138" s="271"/>
      <c r="B138" s="272"/>
      <c r="C138" s="152"/>
      <c r="D138" s="279" t="s">
        <v>275</v>
      </c>
      <c r="E138" s="152"/>
      <c r="F138" s="273"/>
      <c r="G138" s="273"/>
      <c r="H138" s="273"/>
      <c r="I138" s="274"/>
      <c r="J138" s="2749"/>
    </row>
    <row r="139" spans="1:15" s="276" customFormat="1" ht="13.5" customHeight="1">
      <c r="A139" s="271"/>
      <c r="B139" s="272"/>
      <c r="C139" s="152"/>
      <c r="D139" s="279" t="s">
        <v>276</v>
      </c>
      <c r="E139" s="152"/>
      <c r="F139" s="280">
        <f>(3.528)*1.05</f>
        <v>3.7044000000000001</v>
      </c>
      <c r="G139" s="273"/>
      <c r="H139" s="273"/>
      <c r="I139" s="274"/>
      <c r="J139" s="2757"/>
    </row>
    <row r="140" spans="1:15" s="276" customFormat="1" ht="13.5" customHeight="1">
      <c r="A140" s="271"/>
      <c r="B140" s="272"/>
      <c r="C140" s="152"/>
      <c r="D140" s="279" t="s">
        <v>277</v>
      </c>
      <c r="E140" s="152"/>
      <c r="F140" s="280">
        <f>(1.963)*1.05</f>
        <v>2.06115</v>
      </c>
      <c r="G140" s="273"/>
      <c r="H140" s="273"/>
      <c r="I140" s="274"/>
      <c r="J140" s="2757"/>
    </row>
    <row r="141" spans="1:15" s="276" customFormat="1" ht="13.5" customHeight="1">
      <c r="A141" s="271">
        <v>40</v>
      </c>
      <c r="B141" s="272" t="s">
        <v>224</v>
      </c>
      <c r="C141" s="152">
        <v>342272245</v>
      </c>
      <c r="D141" s="152" t="s">
        <v>278</v>
      </c>
      <c r="E141" s="152" t="s">
        <v>165</v>
      </c>
      <c r="F141" s="273">
        <f>F143</f>
        <v>2.9340000000000002</v>
      </c>
      <c r="G141" s="273"/>
      <c r="H141" s="273">
        <f>G141*F141</f>
        <v>0</v>
      </c>
      <c r="I141" s="274" t="s">
        <v>138</v>
      </c>
      <c r="J141" s="2749"/>
    </row>
    <row r="142" spans="1:15" s="276" customFormat="1" ht="13.5" customHeight="1">
      <c r="A142" s="271"/>
      <c r="B142" s="272"/>
      <c r="C142" s="152"/>
      <c r="D142" s="279" t="s">
        <v>275</v>
      </c>
      <c r="E142" s="152"/>
      <c r="F142" s="273"/>
      <c r="G142" s="273"/>
      <c r="H142" s="273"/>
      <c r="I142" s="274"/>
      <c r="J142" s="2749"/>
    </row>
    <row r="143" spans="1:15" s="276" customFormat="1" ht="13.5" customHeight="1">
      <c r="A143" s="271"/>
      <c r="B143" s="272"/>
      <c r="C143" s="152"/>
      <c r="D143" s="279" t="s">
        <v>279</v>
      </c>
      <c r="E143" s="152"/>
      <c r="F143" s="280">
        <v>2.9340000000000002</v>
      </c>
      <c r="G143" s="273"/>
      <c r="H143" s="273"/>
      <c r="I143" s="274"/>
      <c r="J143" s="2757"/>
    </row>
    <row r="144" spans="1:15" s="276" customFormat="1" ht="13.5" customHeight="1">
      <c r="A144" s="2730">
        <v>41</v>
      </c>
      <c r="B144" s="272" t="s">
        <v>224</v>
      </c>
      <c r="C144" s="152" t="s">
        <v>280</v>
      </c>
      <c r="D144" s="152" t="s">
        <v>281</v>
      </c>
      <c r="E144" s="152" t="s">
        <v>49</v>
      </c>
      <c r="F144" s="273">
        <f>SUM(F145:F146)</f>
        <v>1</v>
      </c>
      <c r="G144" s="3044" t="s">
        <v>3828</v>
      </c>
      <c r="H144" s="3045"/>
      <c r="I144" s="274" t="s">
        <v>112</v>
      </c>
      <c r="J144" s="2771"/>
    </row>
    <row r="145" spans="1:19" s="282" customFormat="1" ht="13.5" customHeight="1">
      <c r="A145" s="277"/>
      <c r="B145" s="278"/>
      <c r="C145" s="313"/>
      <c r="D145" s="279" t="s">
        <v>283</v>
      </c>
      <c r="E145" s="279"/>
      <c r="F145" s="280"/>
      <c r="G145" s="280"/>
      <c r="H145" s="280"/>
      <c r="I145" s="314"/>
      <c r="J145" s="2749"/>
      <c r="L145" s="276"/>
    </row>
    <row r="146" spans="1:19" s="282" customFormat="1" ht="13.5" customHeight="1">
      <c r="A146" s="277"/>
      <c r="B146" s="278"/>
      <c r="C146" s="313"/>
      <c r="D146" s="279" t="s">
        <v>284</v>
      </c>
      <c r="E146" s="279"/>
      <c r="F146" s="280">
        <v>1</v>
      </c>
      <c r="G146" s="280"/>
      <c r="H146" s="280"/>
      <c r="I146" s="314"/>
      <c r="J146" s="2749"/>
    </row>
    <row r="147" spans="1:19" s="135" customFormat="1" ht="13.5" customHeight="1">
      <c r="A147" s="151"/>
      <c r="B147" s="152"/>
      <c r="C147" s="152"/>
      <c r="D147" s="279" t="s">
        <v>285</v>
      </c>
      <c r="E147" s="152"/>
      <c r="F147" s="540"/>
      <c r="G147" s="461"/>
      <c r="H147" s="461"/>
      <c r="I147" s="153"/>
      <c r="J147" s="2735"/>
    </row>
    <row r="148" spans="1:19" s="276" customFormat="1" ht="13.5" customHeight="1">
      <c r="A148" s="2730" t="s">
        <v>3822</v>
      </c>
      <c r="B148" s="2931" t="s">
        <v>224</v>
      </c>
      <c r="C148" s="2932">
        <v>342291111</v>
      </c>
      <c r="D148" s="2932" t="s">
        <v>3821</v>
      </c>
      <c r="E148" s="2932" t="s">
        <v>142</v>
      </c>
      <c r="F148" s="2933">
        <f>SUM(F150:F151)</f>
        <v>130.89999999999998</v>
      </c>
      <c r="G148" s="2933"/>
      <c r="H148" s="2933">
        <f>G148*F148</f>
        <v>0</v>
      </c>
      <c r="I148" s="2934" t="s">
        <v>112</v>
      </c>
      <c r="J148" s="2771"/>
    </row>
    <row r="149" spans="1:19" s="282" customFormat="1" ht="13.5" customHeight="1">
      <c r="A149" s="2730"/>
      <c r="B149" s="2931"/>
      <c r="C149" s="2935"/>
      <c r="D149" s="2932" t="s">
        <v>283</v>
      </c>
      <c r="E149" s="2932"/>
      <c r="F149" s="2933"/>
      <c r="G149" s="2933"/>
      <c r="H149" s="2933"/>
      <c r="I149" s="2936"/>
      <c r="J149" s="2749"/>
      <c r="L149" s="276"/>
    </row>
    <row r="150" spans="1:19" s="282" customFormat="1" ht="40.5" customHeight="1">
      <c r="A150" s="2730"/>
      <c r="B150" s="2931"/>
      <c r="C150" s="2935"/>
      <c r="D150" s="2932" t="s">
        <v>3827</v>
      </c>
      <c r="E150" s="2932"/>
      <c r="F150" s="2933">
        <f>2.25+7.6+1.8*3+4.5+10+2.25+3.5+3.5+2.85+2.85+5.9+2.25+0.45+13.9+6.3+2.4+3.8+2.7+1.8+2.2+1.8+4.6+2.3+1.6+6.3</f>
        <v>102.99999999999999</v>
      </c>
      <c r="G150" s="2933"/>
      <c r="H150" s="2933"/>
      <c r="I150" s="2936"/>
      <c r="J150" s="2749"/>
    </row>
    <row r="151" spans="1:19" s="282" customFormat="1" ht="13.5" customHeight="1">
      <c r="A151" s="2937"/>
      <c r="B151" s="2938"/>
      <c r="C151" s="2939"/>
      <c r="D151" s="2932" t="s">
        <v>3825</v>
      </c>
      <c r="E151" s="2932"/>
      <c r="F151" s="2933">
        <f>2.1+1+1.65*2+1.4+3.95+0.6+4.1+4.4*2+2.2+0.45</f>
        <v>27.9</v>
      </c>
      <c r="G151" s="2940"/>
      <c r="H151" s="2940"/>
      <c r="I151" s="2941"/>
      <c r="J151" s="2749"/>
    </row>
    <row r="152" spans="1:19" s="276" customFormat="1" ht="13.5" customHeight="1">
      <c r="A152" s="2730" t="s">
        <v>3829</v>
      </c>
      <c r="B152" s="2931" t="s">
        <v>224</v>
      </c>
      <c r="C152" s="2932">
        <v>342291112</v>
      </c>
      <c r="D152" s="2932" t="s">
        <v>3823</v>
      </c>
      <c r="E152" s="2932" t="s">
        <v>142</v>
      </c>
      <c r="F152" s="2933">
        <f>SUM(F154:F155)</f>
        <v>47.55</v>
      </c>
      <c r="G152" s="2933"/>
      <c r="H152" s="2933">
        <f>G152*F152</f>
        <v>0</v>
      </c>
      <c r="I152" s="2934" t="s">
        <v>112</v>
      </c>
      <c r="J152" s="2771"/>
    </row>
    <row r="153" spans="1:19" s="282" customFormat="1" ht="13.5" customHeight="1">
      <c r="A153" s="2730"/>
      <c r="B153" s="2931"/>
      <c r="C153" s="2935"/>
      <c r="D153" s="2932" t="s">
        <v>283</v>
      </c>
      <c r="E153" s="2932"/>
      <c r="F153" s="2933"/>
      <c r="G153" s="2933"/>
      <c r="H153" s="2933"/>
      <c r="I153" s="2936"/>
      <c r="J153" s="2749"/>
      <c r="L153" s="276"/>
    </row>
    <row r="154" spans="1:19" s="282" customFormat="1" ht="13.5" customHeight="1">
      <c r="A154" s="2730"/>
      <c r="B154" s="2931"/>
      <c r="C154" s="2935"/>
      <c r="D154" s="2932" t="s">
        <v>3826</v>
      </c>
      <c r="E154" s="2932"/>
      <c r="F154" s="2933">
        <f>1.65+2.1+0.9+1.2+1.8+2.3+2.6+1.55+1.85+0.6+0.9</f>
        <v>17.45</v>
      </c>
      <c r="G154" s="2933"/>
      <c r="H154" s="2933"/>
      <c r="I154" s="2936"/>
      <c r="J154" s="2749"/>
    </row>
    <row r="155" spans="1:19" s="282" customFormat="1" ht="13.5" customHeight="1">
      <c r="A155" s="2937"/>
      <c r="B155" s="2938"/>
      <c r="C155" s="2939"/>
      <c r="D155" s="2932" t="s">
        <v>3824</v>
      </c>
      <c r="E155" s="2932"/>
      <c r="F155" s="2933">
        <f>7.7+1.7+2.6+2.1+1.8+7.7+1.7+1.5+3.3</f>
        <v>30.1</v>
      </c>
      <c r="G155" s="2940"/>
      <c r="H155" s="2940"/>
      <c r="I155" s="2941"/>
      <c r="J155" s="2749"/>
    </row>
    <row r="156" spans="1:19" s="214" customFormat="1" ht="13.5" customHeight="1">
      <c r="A156" s="253"/>
      <c r="B156" s="254"/>
      <c r="C156" s="255">
        <v>4</v>
      </c>
      <c r="D156" s="255" t="s">
        <v>286</v>
      </c>
      <c r="E156" s="255"/>
      <c r="F156" s="256"/>
      <c r="G156" s="256"/>
      <c r="H156" s="256">
        <f>SUM(H157:H170)</f>
        <v>0</v>
      </c>
      <c r="I156" s="257"/>
      <c r="J156" s="2772"/>
      <c r="K156" s="2773"/>
      <c r="N156" s="2774"/>
    </row>
    <row r="157" spans="1:19" s="135" customFormat="1" ht="13.5" customHeight="1">
      <c r="A157" s="215">
        <v>42</v>
      </c>
      <c r="B157" s="180" t="s">
        <v>224</v>
      </c>
      <c r="C157" s="177" t="s">
        <v>287</v>
      </c>
      <c r="D157" s="177" t="s">
        <v>288</v>
      </c>
      <c r="E157" s="177" t="s">
        <v>210</v>
      </c>
      <c r="F157" s="556">
        <f>ROUND(SUM(F159),3)</f>
        <v>25</v>
      </c>
      <c r="G157" s="178"/>
      <c r="H157" s="315">
        <f t="shared" ref="H157" si="2">ROUND(F157*G157,2)</f>
        <v>0</v>
      </c>
      <c r="I157" s="216" t="s">
        <v>111</v>
      </c>
      <c r="J157" s="2775"/>
      <c r="K157" s="316"/>
      <c r="L157" s="2776"/>
      <c r="M157" s="2777"/>
      <c r="N157" s="2778"/>
      <c r="O157" s="2779"/>
      <c r="P157" s="317"/>
      <c r="S157" s="318"/>
    </row>
    <row r="158" spans="1:19" s="135" customFormat="1" ht="27" customHeight="1">
      <c r="A158" s="215"/>
      <c r="B158" s="177"/>
      <c r="C158" s="177"/>
      <c r="D158" s="183" t="s">
        <v>289</v>
      </c>
      <c r="E158" s="177"/>
      <c r="F158" s="557"/>
      <c r="G158" s="178"/>
      <c r="H158" s="178"/>
      <c r="I158" s="181"/>
      <c r="J158" s="2780"/>
      <c r="K158" s="2781"/>
      <c r="N158" s="2762"/>
      <c r="O158" s="2779"/>
      <c r="P158" s="317"/>
      <c r="S158" s="318"/>
    </row>
    <row r="159" spans="1:19" s="135" customFormat="1" ht="13.5" customHeight="1">
      <c r="A159" s="319"/>
      <c r="B159" s="177"/>
      <c r="C159" s="177"/>
      <c r="D159" s="183" t="s">
        <v>290</v>
      </c>
      <c r="E159" s="177"/>
      <c r="F159" s="305">
        <v>25</v>
      </c>
      <c r="G159" s="178"/>
      <c r="H159" s="178"/>
      <c r="I159" s="181"/>
      <c r="J159" s="2775"/>
      <c r="K159" s="316"/>
      <c r="L159" s="2776"/>
      <c r="M159" s="2777"/>
      <c r="N159" s="2778"/>
      <c r="O159" s="320"/>
      <c r="P159" s="2782"/>
      <c r="S159" s="318"/>
    </row>
    <row r="160" spans="1:19" s="135" customFormat="1" ht="13.5" customHeight="1">
      <c r="A160" s="215"/>
      <c r="B160" s="177"/>
      <c r="C160" s="177"/>
      <c r="D160" s="183" t="s">
        <v>291</v>
      </c>
      <c r="E160" s="177"/>
      <c r="F160" s="305"/>
      <c r="G160" s="178"/>
      <c r="H160" s="178"/>
      <c r="I160" s="216"/>
      <c r="J160" s="2783"/>
      <c r="K160" s="2783"/>
      <c r="R160" s="321"/>
    </row>
    <row r="161" spans="1:19" s="135" customFormat="1" ht="13.5" customHeight="1">
      <c r="A161" s="319"/>
      <c r="B161" s="177"/>
      <c r="C161" s="177"/>
      <c r="D161" s="183" t="s">
        <v>292</v>
      </c>
      <c r="E161" s="177"/>
      <c r="F161" s="305"/>
      <c r="G161" s="178"/>
      <c r="H161" s="178"/>
      <c r="I161" s="181"/>
      <c r="J161" s="2783"/>
      <c r="K161" s="2783"/>
      <c r="L161" s="2776"/>
      <c r="M161" s="2777"/>
      <c r="N161" s="2778"/>
      <c r="O161" s="320"/>
      <c r="P161" s="2782"/>
      <c r="S161" s="318"/>
    </row>
    <row r="162" spans="1:19" s="135" customFormat="1" ht="27" customHeight="1">
      <c r="A162" s="215"/>
      <c r="B162" s="177"/>
      <c r="C162" s="177"/>
      <c r="D162" s="183" t="s">
        <v>293</v>
      </c>
      <c r="E162" s="177"/>
      <c r="F162" s="305"/>
      <c r="G162" s="178"/>
      <c r="H162" s="178"/>
      <c r="I162" s="322"/>
      <c r="J162" s="2784"/>
      <c r="K162" s="323"/>
      <c r="L162" s="324"/>
      <c r="M162" s="325"/>
      <c r="N162" s="320"/>
      <c r="O162" s="2782"/>
      <c r="S162" s="318"/>
    </row>
    <row r="163" spans="1:19" s="135" customFormat="1" ht="13.5" customHeight="1">
      <c r="A163" s="215">
        <v>43</v>
      </c>
      <c r="B163" s="180" t="s">
        <v>224</v>
      </c>
      <c r="C163" s="177" t="s">
        <v>294</v>
      </c>
      <c r="D163" s="177" t="s">
        <v>295</v>
      </c>
      <c r="E163" s="177" t="s">
        <v>142</v>
      </c>
      <c r="F163" s="556">
        <f>F164</f>
        <v>75</v>
      </c>
      <c r="G163" s="178"/>
      <c r="H163" s="315">
        <f t="shared" ref="H163" si="3">ROUND(F163*G163,2)</f>
        <v>0</v>
      </c>
      <c r="I163" s="216" t="s">
        <v>111</v>
      </c>
      <c r="J163" s="2759"/>
      <c r="M163" s="326"/>
      <c r="N163" s="326"/>
      <c r="O163" s="326"/>
      <c r="P163" s="317"/>
      <c r="S163" s="318"/>
    </row>
    <row r="164" spans="1:19" s="135" customFormat="1" ht="13.5" customHeight="1">
      <c r="A164" s="215"/>
      <c r="B164" s="177"/>
      <c r="C164" s="177"/>
      <c r="D164" s="183" t="s">
        <v>296</v>
      </c>
      <c r="E164" s="177"/>
      <c r="F164" s="305">
        <v>75</v>
      </c>
      <c r="G164" s="178"/>
      <c r="H164" s="326"/>
      <c r="I164" s="326"/>
      <c r="J164" s="2762"/>
      <c r="K164" s="2763"/>
      <c r="L164" s="2764"/>
      <c r="M164" s="2785"/>
      <c r="N164" s="2785"/>
      <c r="O164" s="2785"/>
      <c r="P164" s="317"/>
      <c r="S164" s="318"/>
    </row>
    <row r="165" spans="1:19" s="135" customFormat="1" ht="13.5" customHeight="1">
      <c r="A165" s="319"/>
      <c r="B165" s="177"/>
      <c r="C165" s="177"/>
      <c r="D165" s="183" t="s">
        <v>297</v>
      </c>
      <c r="E165" s="177"/>
      <c r="F165" s="305"/>
      <c r="G165" s="178"/>
      <c r="H165" s="178"/>
      <c r="I165" s="181"/>
      <c r="J165" s="2762"/>
      <c r="K165" s="2763"/>
      <c r="L165" s="286"/>
      <c r="M165" s="286"/>
      <c r="O165" s="286"/>
      <c r="P165" s="2782"/>
      <c r="S165" s="318"/>
    </row>
    <row r="166" spans="1:19" s="135" customFormat="1" ht="27" customHeight="1">
      <c r="A166" s="215"/>
      <c r="B166" s="177"/>
      <c r="C166" s="177"/>
      <c r="D166" s="183" t="s">
        <v>293</v>
      </c>
      <c r="E166" s="177"/>
      <c r="F166" s="305"/>
      <c r="G166" s="178"/>
      <c r="H166" s="178"/>
      <c r="I166" s="216"/>
      <c r="J166" s="2765"/>
      <c r="K166" s="2766"/>
      <c r="L166" s="3046"/>
      <c r="M166" s="3046"/>
      <c r="N166" s="3046"/>
      <c r="O166" s="2767"/>
      <c r="R166" s="321"/>
    </row>
    <row r="167" spans="1:19" s="135" customFormat="1" ht="13.5" customHeight="1">
      <c r="A167" s="215">
        <v>44</v>
      </c>
      <c r="B167" s="180" t="s">
        <v>224</v>
      </c>
      <c r="C167" s="177" t="s">
        <v>298</v>
      </c>
      <c r="D167" s="177" t="s">
        <v>299</v>
      </c>
      <c r="E167" s="177" t="s">
        <v>147</v>
      </c>
      <c r="F167" s="556">
        <f>F168</f>
        <v>46.805</v>
      </c>
      <c r="G167" s="178"/>
      <c r="H167" s="315">
        <f t="shared" ref="H167" si="4">ROUND(F167*G167,2)</f>
        <v>0</v>
      </c>
      <c r="I167" s="216" t="s">
        <v>111</v>
      </c>
      <c r="J167" s="2786"/>
      <c r="K167" s="2787"/>
      <c r="L167" s="2788"/>
      <c r="M167" s="2788"/>
      <c r="N167" s="2788"/>
      <c r="O167" s="2788"/>
      <c r="P167" s="2788"/>
      <c r="S167" s="318"/>
    </row>
    <row r="168" spans="1:19" s="135" customFormat="1" ht="13.5" customHeight="1">
      <c r="A168" s="215"/>
      <c r="B168" s="177"/>
      <c r="C168" s="177"/>
      <c r="D168" s="183" t="s">
        <v>300</v>
      </c>
      <c r="E168" s="177"/>
      <c r="F168" s="305">
        <f>(42.55)*1.1</f>
        <v>46.805</v>
      </c>
      <c r="G168" s="178"/>
      <c r="H168" s="326"/>
      <c r="I168" s="326"/>
      <c r="J168" s="2788"/>
      <c r="K168" s="2788"/>
      <c r="L168" s="2788"/>
      <c r="M168" s="2788"/>
      <c r="N168" s="2788"/>
      <c r="O168" s="2788"/>
      <c r="P168" s="2788"/>
      <c r="S168" s="318"/>
    </row>
    <row r="169" spans="1:19" s="135" customFormat="1" ht="13.5" customHeight="1">
      <c r="A169" s="319"/>
      <c r="B169" s="177"/>
      <c r="C169" s="177"/>
      <c r="D169" s="183" t="s">
        <v>297</v>
      </c>
      <c r="E169" s="177"/>
      <c r="F169" s="305"/>
      <c r="G169" s="178"/>
      <c r="H169" s="178"/>
      <c r="I169" s="181"/>
      <c r="J169" s="2789"/>
      <c r="K169" s="2787"/>
      <c r="L169" s="2788"/>
      <c r="M169" s="2788"/>
      <c r="N169" s="2788"/>
      <c r="O169" s="2788"/>
      <c r="P169" s="2788"/>
      <c r="S169" s="318"/>
    </row>
    <row r="170" spans="1:19" s="135" customFormat="1" ht="27" customHeight="1">
      <c r="A170" s="215"/>
      <c r="B170" s="177"/>
      <c r="C170" s="177"/>
      <c r="D170" s="183" t="s">
        <v>293</v>
      </c>
      <c r="E170" s="177"/>
      <c r="F170" s="305"/>
      <c r="G170" s="178"/>
      <c r="H170" s="178"/>
      <c r="I170" s="216"/>
      <c r="J170" s="2786"/>
      <c r="K170" s="2787"/>
      <c r="L170" s="2788"/>
      <c r="M170" s="2788"/>
      <c r="N170" s="2788"/>
      <c r="O170" s="2788"/>
      <c r="P170" s="2788"/>
      <c r="R170" s="321"/>
    </row>
    <row r="171" spans="1:19" s="329" customFormat="1" ht="13.5" customHeight="1">
      <c r="A171" s="253"/>
      <c r="B171" s="254"/>
      <c r="C171" s="327" t="s">
        <v>131</v>
      </c>
      <c r="D171" s="327" t="s">
        <v>301</v>
      </c>
      <c r="E171" s="255"/>
      <c r="F171" s="256"/>
      <c r="G171" s="256"/>
      <c r="H171" s="256">
        <f>SUM(H172:H189)</f>
        <v>0</v>
      </c>
      <c r="I171" s="328"/>
      <c r="J171" s="2749"/>
    </row>
    <row r="172" spans="1:19" s="333" customFormat="1" ht="13.5" customHeight="1">
      <c r="A172" s="2942">
        <v>45</v>
      </c>
      <c r="B172" s="272" t="s">
        <v>224</v>
      </c>
      <c r="C172" s="331" t="s">
        <v>302</v>
      </c>
      <c r="D172" s="331" t="s">
        <v>303</v>
      </c>
      <c r="E172" s="331" t="s">
        <v>165</v>
      </c>
      <c r="F172" s="2944">
        <f>SUM(F174:F180)</f>
        <v>2771.1255000000006</v>
      </c>
      <c r="G172" s="338"/>
      <c r="H172" s="338">
        <f>G172*F172</f>
        <v>0</v>
      </c>
      <c r="I172" s="274" t="s">
        <v>112</v>
      </c>
      <c r="J172" s="2790"/>
      <c r="K172" s="2791"/>
      <c r="L172" s="2791"/>
    </row>
    <row r="173" spans="1:19" s="333" customFormat="1" ht="13.5" customHeight="1">
      <c r="A173" s="330"/>
      <c r="B173" s="272"/>
      <c r="C173" s="331"/>
      <c r="D173" s="212" t="s">
        <v>3833</v>
      </c>
      <c r="E173" s="331"/>
      <c r="F173" s="338"/>
      <c r="G173" s="338"/>
      <c r="H173" s="338"/>
      <c r="I173" s="274"/>
      <c r="J173" s="2790"/>
      <c r="K173" s="2791"/>
      <c r="L173" s="2791"/>
    </row>
    <row r="174" spans="1:19" s="333" customFormat="1" ht="13.5" customHeight="1">
      <c r="A174" s="330"/>
      <c r="B174" s="331"/>
      <c r="C174" s="331"/>
      <c r="D174" s="212" t="s">
        <v>305</v>
      </c>
      <c r="E174" s="331"/>
      <c r="F174" s="558">
        <f>(407.5)*1.1</f>
        <v>448.25000000000006</v>
      </c>
      <c r="G174" s="338"/>
      <c r="H174" s="338"/>
      <c r="I174" s="334"/>
      <c r="J174" s="2790"/>
      <c r="K174" s="2792"/>
      <c r="L174" s="2792"/>
    </row>
    <row r="175" spans="1:19" s="333" customFormat="1" ht="13.5" customHeight="1">
      <c r="A175" s="330"/>
      <c r="B175" s="331"/>
      <c r="C175" s="331"/>
      <c r="D175" s="212" t="s">
        <v>306</v>
      </c>
      <c r="E175" s="331"/>
      <c r="F175" s="558">
        <f>(17.17)*1.1</f>
        <v>18.887000000000004</v>
      </c>
      <c r="G175" s="338"/>
      <c r="H175" s="338"/>
      <c r="I175" s="334"/>
      <c r="J175" s="2790"/>
      <c r="K175" s="2792"/>
      <c r="L175" s="2792"/>
    </row>
    <row r="176" spans="1:19" s="333" customFormat="1" ht="13.5" customHeight="1">
      <c r="A176" s="330"/>
      <c r="B176" s="331"/>
      <c r="C176" s="331"/>
      <c r="D176" s="212" t="s">
        <v>307</v>
      </c>
      <c r="E176" s="331"/>
      <c r="F176" s="558">
        <f>(1165.735)*1.1</f>
        <v>1282.3085000000001</v>
      </c>
      <c r="G176" s="338"/>
      <c r="H176" s="338"/>
      <c r="I176" s="334"/>
      <c r="J176" s="2790"/>
      <c r="K176" s="2792"/>
      <c r="L176" s="2792"/>
    </row>
    <row r="177" spans="1:19" s="333" customFormat="1" ht="13.5" customHeight="1">
      <c r="A177" s="330"/>
      <c r="B177" s="272"/>
      <c r="C177" s="331"/>
      <c r="D177" s="2932" t="s">
        <v>304</v>
      </c>
      <c r="E177" s="2943"/>
      <c r="F177" s="2944"/>
      <c r="G177" s="338"/>
      <c r="H177" s="338"/>
      <c r="I177" s="274"/>
      <c r="J177" s="2790"/>
      <c r="K177" s="2791"/>
      <c r="L177" s="2791"/>
    </row>
    <row r="178" spans="1:19" s="333" customFormat="1" ht="13.5" customHeight="1">
      <c r="A178" s="330"/>
      <c r="B178" s="331"/>
      <c r="C178" s="331"/>
      <c r="D178" s="2932" t="s">
        <v>3834</v>
      </c>
      <c r="E178" s="2943"/>
      <c r="F178" s="2944">
        <f>(179.3)*1.1</f>
        <v>197.23000000000002</v>
      </c>
      <c r="G178" s="338"/>
      <c r="H178" s="338"/>
      <c r="I178" s="334"/>
      <c r="J178" s="2790"/>
      <c r="K178" s="2792"/>
      <c r="L178" s="2792"/>
    </row>
    <row r="179" spans="1:19" s="333" customFormat="1" ht="13.5" customHeight="1">
      <c r="A179" s="330"/>
      <c r="B179" s="331"/>
      <c r="C179" s="331"/>
      <c r="D179" s="2932" t="s">
        <v>3835</v>
      </c>
      <c r="E179" s="2943"/>
      <c r="F179" s="2944">
        <f>(67.9)*1.1</f>
        <v>74.690000000000012</v>
      </c>
      <c r="G179" s="338"/>
      <c r="H179" s="338"/>
      <c r="I179" s="334"/>
      <c r="J179" s="2790"/>
      <c r="K179" s="2792"/>
      <c r="L179" s="2792"/>
    </row>
    <row r="180" spans="1:19" s="333" customFormat="1" ht="13.5" customHeight="1">
      <c r="A180" s="330"/>
      <c r="B180" s="331"/>
      <c r="C180" s="331"/>
      <c r="D180" s="2932" t="s">
        <v>3836</v>
      </c>
      <c r="E180" s="2943"/>
      <c r="F180" s="2944">
        <f>(681.6)*1.1</f>
        <v>749.7600000000001</v>
      </c>
      <c r="G180" s="338"/>
      <c r="H180" s="338"/>
      <c r="I180" s="334"/>
      <c r="J180" s="2790"/>
      <c r="K180" s="2792"/>
      <c r="L180" s="2792"/>
    </row>
    <row r="181" spans="1:19" s="333" customFormat="1" ht="27" customHeight="1">
      <c r="A181" s="330"/>
      <c r="B181" s="331"/>
      <c r="C181" s="331"/>
      <c r="D181" s="212" t="s">
        <v>3844</v>
      </c>
      <c r="E181" s="331"/>
      <c r="F181" s="558"/>
      <c r="G181" s="338"/>
      <c r="H181" s="338"/>
      <c r="I181" s="334"/>
      <c r="J181" s="2790"/>
      <c r="K181" s="2792"/>
      <c r="L181" s="2792"/>
    </row>
    <row r="182" spans="1:19" s="335" customFormat="1" ht="13.5" customHeight="1">
      <c r="A182" s="2916">
        <v>46</v>
      </c>
      <c r="B182" s="169" t="s">
        <v>308</v>
      </c>
      <c r="C182" s="2917" t="s">
        <v>309</v>
      </c>
      <c r="D182" s="2918" t="s">
        <v>310</v>
      </c>
      <c r="E182" s="2919" t="s">
        <v>49</v>
      </c>
      <c r="F182" s="2920">
        <f>SUM(F183)</f>
        <v>1</v>
      </c>
      <c r="G182" s="2921"/>
      <c r="H182" s="172">
        <f>F182*G182</f>
        <v>0</v>
      </c>
      <c r="I182" s="274" t="s">
        <v>112</v>
      </c>
      <c r="J182" s="2793"/>
      <c r="K182" s="2792"/>
      <c r="M182" s="329"/>
    </row>
    <row r="183" spans="1:19" s="335" customFormat="1" ht="13.5" customHeight="1">
      <c r="A183" s="2922"/>
      <c r="B183" s="169"/>
      <c r="C183" s="2917"/>
      <c r="D183" s="170" t="s">
        <v>311</v>
      </c>
      <c r="E183" s="2919"/>
      <c r="F183" s="2923">
        <v>1</v>
      </c>
      <c r="G183" s="2921"/>
      <c r="H183" s="172"/>
      <c r="I183" s="173"/>
      <c r="J183" s="2759"/>
      <c r="K183" s="135"/>
      <c r="L183" s="135"/>
      <c r="M183" s="135"/>
      <c r="N183" s="2760"/>
      <c r="O183" s="2761"/>
    </row>
    <row r="184" spans="1:19" s="335" customFormat="1" ht="13.5" customHeight="1">
      <c r="A184" s="2922"/>
      <c r="B184" s="169"/>
      <c r="C184" s="2917"/>
      <c r="D184" s="170" t="s">
        <v>312</v>
      </c>
      <c r="E184" s="2919"/>
      <c r="F184" s="2924"/>
      <c r="G184" s="2921"/>
      <c r="H184" s="172"/>
      <c r="I184" s="173"/>
      <c r="J184" s="2762"/>
      <c r="K184" s="2763"/>
      <c r="L184" s="2764"/>
      <c r="M184" s="135"/>
      <c r="N184" s="135"/>
      <c r="O184" s="135"/>
    </row>
    <row r="185" spans="1:19" s="335" customFormat="1" ht="13.5" customHeight="1">
      <c r="A185" s="2563"/>
      <c r="B185" s="2539"/>
      <c r="C185" s="2585"/>
      <c r="D185" s="2925" t="s">
        <v>3830</v>
      </c>
      <c r="E185" s="2587"/>
      <c r="F185" s="2926"/>
      <c r="G185" s="2588"/>
      <c r="H185" s="2542"/>
      <c r="I185" s="2543"/>
      <c r="J185" s="2762"/>
      <c r="K185" s="2763"/>
      <c r="L185" s="2764"/>
      <c r="M185" s="135"/>
      <c r="N185" s="135"/>
      <c r="O185" s="135"/>
    </row>
    <row r="186" spans="1:19" s="227" customFormat="1" ht="40.5" customHeight="1">
      <c r="A186" s="2927">
        <v>47</v>
      </c>
      <c r="B186" s="336" t="s">
        <v>308</v>
      </c>
      <c r="C186" s="209" t="s">
        <v>313</v>
      </c>
      <c r="D186" s="209" t="s">
        <v>314</v>
      </c>
      <c r="E186" s="209" t="s">
        <v>49</v>
      </c>
      <c r="F186" s="2928">
        <f>F187</f>
        <v>1</v>
      </c>
      <c r="G186" s="2928"/>
      <c r="H186" s="2928">
        <f>F186*G186</f>
        <v>0</v>
      </c>
      <c r="I186" s="274" t="s">
        <v>112</v>
      </c>
      <c r="J186" s="2793"/>
      <c r="K186" s="2763"/>
      <c r="L186" s="286"/>
      <c r="M186" s="286"/>
      <c r="N186" s="135"/>
      <c r="O186" s="286"/>
    </row>
    <row r="187" spans="1:19" s="227" customFormat="1" ht="27" customHeight="1">
      <c r="A187" s="2927"/>
      <c r="B187" s="336"/>
      <c r="C187" s="209"/>
      <c r="D187" s="221" t="s">
        <v>315</v>
      </c>
      <c r="E187" s="209"/>
      <c r="F187" s="224">
        <v>1</v>
      </c>
      <c r="G187" s="2928"/>
      <c r="H187" s="2928"/>
      <c r="I187" s="2929"/>
      <c r="J187" s="2765"/>
      <c r="K187" s="2766"/>
      <c r="L187" s="2767"/>
      <c r="M187" s="2767"/>
      <c r="N187" s="2767"/>
      <c r="O187" s="2767"/>
    </row>
    <row r="188" spans="1:19" s="227" customFormat="1" ht="40.5" customHeight="1">
      <c r="A188" s="2927"/>
      <c r="B188" s="336"/>
      <c r="C188" s="209"/>
      <c r="D188" s="221" t="s">
        <v>316</v>
      </c>
      <c r="E188" s="209"/>
      <c r="F188" s="2928"/>
      <c r="G188" s="2928"/>
      <c r="H188" s="2928"/>
      <c r="I188" s="2929"/>
      <c r="J188" s="2768"/>
      <c r="K188" s="2769"/>
      <c r="L188" s="2770"/>
      <c r="M188" s="135"/>
      <c r="N188" s="135"/>
      <c r="O188" s="135"/>
    </row>
    <row r="189" spans="1:19" s="333" customFormat="1" ht="67.5" customHeight="1">
      <c r="A189" s="337"/>
      <c r="B189" s="331"/>
      <c r="C189" s="331"/>
      <c r="D189" s="251" t="s">
        <v>317</v>
      </c>
      <c r="E189" s="2930"/>
      <c r="F189" s="558"/>
      <c r="G189" s="338"/>
      <c r="H189" s="338"/>
      <c r="I189" s="332"/>
      <c r="J189" s="2794"/>
      <c r="L189" s="227"/>
    </row>
    <row r="190" spans="1:19" s="135" customFormat="1" ht="13.5" customHeight="1">
      <c r="A190" s="148"/>
      <c r="B190" s="149"/>
      <c r="C190" s="149" t="s">
        <v>318</v>
      </c>
      <c r="D190" s="149" t="s">
        <v>319</v>
      </c>
      <c r="E190" s="149"/>
      <c r="F190" s="345"/>
      <c r="G190" s="345"/>
      <c r="H190" s="345">
        <f>SUM(H191:H238)</f>
        <v>0</v>
      </c>
      <c r="I190" s="184"/>
      <c r="J190" s="2795"/>
      <c r="K190" s="2796"/>
      <c r="L190" s="2797"/>
      <c r="M190" s="2798"/>
      <c r="N190" s="2798"/>
      <c r="O190" s="2799"/>
      <c r="P190" s="2798"/>
      <c r="Q190" s="2800"/>
      <c r="R190" s="2801"/>
      <c r="S190" s="2802"/>
    </row>
    <row r="191" spans="1:19" s="135" customFormat="1" ht="27" customHeight="1">
      <c r="A191" s="215">
        <v>48</v>
      </c>
      <c r="B191" s="180" t="s">
        <v>320</v>
      </c>
      <c r="C191" s="177">
        <v>941111121</v>
      </c>
      <c r="D191" s="177" t="s">
        <v>321</v>
      </c>
      <c r="E191" s="177" t="s">
        <v>165</v>
      </c>
      <c r="F191" s="178">
        <f>SUM(F193:F193)</f>
        <v>1215</v>
      </c>
      <c r="G191" s="178"/>
      <c r="H191" s="178">
        <f>F191*G191</f>
        <v>0</v>
      </c>
      <c r="I191" s="274" t="s">
        <v>138</v>
      </c>
      <c r="J191" s="301"/>
      <c r="K191" s="218"/>
      <c r="L191" s="218"/>
      <c r="M191" s="218"/>
      <c r="N191" s="218"/>
      <c r="O191" s="218"/>
      <c r="P191" s="218"/>
      <c r="Q191" s="339"/>
    </row>
    <row r="192" spans="1:19" s="135" customFormat="1" ht="27" customHeight="1">
      <c r="A192" s="340"/>
      <c r="B192" s="341"/>
      <c r="C192" s="341"/>
      <c r="D192" s="342" t="s">
        <v>322</v>
      </c>
      <c r="E192" s="341"/>
      <c r="F192" s="467"/>
      <c r="G192" s="461"/>
      <c r="H192" s="461"/>
      <c r="I192" s="153"/>
      <c r="J192" s="2803"/>
    </row>
    <row r="193" spans="1:12" s="135" customFormat="1" ht="13.5" customHeight="1">
      <c r="A193" s="176"/>
      <c r="B193" s="180"/>
      <c r="C193" s="177"/>
      <c r="D193" s="183" t="s">
        <v>323</v>
      </c>
      <c r="E193" s="177"/>
      <c r="F193" s="305">
        <f>(135)*9</f>
        <v>1215</v>
      </c>
      <c r="G193" s="178"/>
      <c r="H193" s="178"/>
      <c r="I193" s="216"/>
      <c r="J193" s="2737"/>
    </row>
    <row r="194" spans="1:12" s="135" customFormat="1" ht="13.5" customHeight="1">
      <c r="A194" s="343"/>
      <c r="B194" s="344"/>
      <c r="C194" s="149"/>
      <c r="D194" s="183" t="s">
        <v>324</v>
      </c>
      <c r="E194" s="149"/>
      <c r="F194" s="305"/>
      <c r="G194" s="345"/>
      <c r="H194" s="345"/>
      <c r="I194" s="150"/>
      <c r="J194" s="2737"/>
    </row>
    <row r="195" spans="1:12" s="135" customFormat="1" ht="27" customHeight="1">
      <c r="A195" s="176">
        <v>49</v>
      </c>
      <c r="B195" s="180" t="s">
        <v>320</v>
      </c>
      <c r="C195" s="177">
        <v>941111221</v>
      </c>
      <c r="D195" s="177" t="s">
        <v>325</v>
      </c>
      <c r="E195" s="177" t="s">
        <v>165</v>
      </c>
      <c r="F195" s="178">
        <f>SUM(F196:F196)</f>
        <v>109350</v>
      </c>
      <c r="G195" s="178"/>
      <c r="H195" s="178">
        <f>F195*G195</f>
        <v>0</v>
      </c>
      <c r="I195" s="274" t="s">
        <v>138</v>
      </c>
      <c r="J195" s="218"/>
    </row>
    <row r="196" spans="1:12" s="325" customFormat="1" ht="13.5" customHeight="1">
      <c r="A196" s="176"/>
      <c r="B196" s="180"/>
      <c r="C196" s="177"/>
      <c r="D196" s="183" t="s">
        <v>326</v>
      </c>
      <c r="E196" s="177"/>
      <c r="F196" s="305">
        <f>((1215)*90)</f>
        <v>109350</v>
      </c>
      <c r="G196" s="178"/>
      <c r="H196" s="178"/>
      <c r="I196" s="184"/>
      <c r="J196" s="346"/>
      <c r="L196" s="135"/>
    </row>
    <row r="197" spans="1:12" s="325" customFormat="1" ht="27" customHeight="1">
      <c r="A197" s="176">
        <v>50</v>
      </c>
      <c r="B197" s="180" t="s">
        <v>320</v>
      </c>
      <c r="C197" s="177">
        <v>941111821</v>
      </c>
      <c r="D197" s="177" t="s">
        <v>327</v>
      </c>
      <c r="E197" s="177" t="s">
        <v>165</v>
      </c>
      <c r="F197" s="178">
        <f>F198</f>
        <v>1215</v>
      </c>
      <c r="G197" s="178"/>
      <c r="H197" s="178">
        <f>F197*G197</f>
        <v>0</v>
      </c>
      <c r="I197" s="274" t="s">
        <v>138</v>
      </c>
      <c r="J197" s="346"/>
      <c r="L197" s="135"/>
    </row>
    <row r="198" spans="1:12" s="325" customFormat="1" ht="27" customHeight="1">
      <c r="A198" s="176"/>
      <c r="B198" s="180"/>
      <c r="C198" s="177"/>
      <c r="D198" s="183" t="s">
        <v>328</v>
      </c>
      <c r="E198" s="177"/>
      <c r="F198" s="305">
        <f>F193</f>
        <v>1215</v>
      </c>
      <c r="G198" s="178"/>
      <c r="H198" s="178"/>
      <c r="I198" s="304"/>
      <c r="J198" s="346"/>
      <c r="L198" s="135"/>
    </row>
    <row r="199" spans="1:12" s="135" customFormat="1" ht="13.5" customHeight="1">
      <c r="A199" s="176">
        <v>51</v>
      </c>
      <c r="B199" s="180" t="s">
        <v>320</v>
      </c>
      <c r="C199" s="177">
        <v>944511111</v>
      </c>
      <c r="D199" s="177" t="s">
        <v>329</v>
      </c>
      <c r="E199" s="177" t="s">
        <v>165</v>
      </c>
      <c r="F199" s="178">
        <f>SUM(F200:F200)</f>
        <v>1215</v>
      </c>
      <c r="G199" s="178"/>
      <c r="H199" s="178">
        <f>F199*G199</f>
        <v>0</v>
      </c>
      <c r="I199" s="274" t="s">
        <v>138</v>
      </c>
      <c r="J199" s="218"/>
    </row>
    <row r="200" spans="1:12" s="135" customFormat="1" ht="13.5" customHeight="1">
      <c r="A200" s="343"/>
      <c r="B200" s="149"/>
      <c r="C200" s="149"/>
      <c r="D200" s="300" t="s">
        <v>330</v>
      </c>
      <c r="E200" s="149"/>
      <c r="F200" s="305">
        <f>(1215)</f>
        <v>1215</v>
      </c>
      <c r="G200" s="345"/>
      <c r="H200" s="345"/>
      <c r="I200" s="150"/>
      <c r="J200" s="218"/>
    </row>
    <row r="201" spans="1:12" s="135" customFormat="1" ht="13.5" customHeight="1">
      <c r="A201" s="176">
        <v>52</v>
      </c>
      <c r="B201" s="180" t="s">
        <v>320</v>
      </c>
      <c r="C201" s="177">
        <v>944511211</v>
      </c>
      <c r="D201" s="177" t="s">
        <v>331</v>
      </c>
      <c r="E201" s="177" t="s">
        <v>165</v>
      </c>
      <c r="F201" s="178">
        <f>SUM(F202:F202)</f>
        <v>109350</v>
      </c>
      <c r="G201" s="178"/>
      <c r="H201" s="178">
        <f>F201*G201</f>
        <v>0</v>
      </c>
      <c r="I201" s="274" t="s">
        <v>138</v>
      </c>
      <c r="J201" s="218"/>
    </row>
    <row r="202" spans="1:12" s="325" customFormat="1" ht="13.5" customHeight="1">
      <c r="A202" s="176"/>
      <c r="B202" s="180"/>
      <c r="C202" s="177"/>
      <c r="D202" s="183" t="s">
        <v>332</v>
      </c>
      <c r="E202" s="177"/>
      <c r="F202" s="305">
        <f xml:space="preserve"> (1215)*90</f>
        <v>109350</v>
      </c>
      <c r="G202" s="178"/>
      <c r="H202" s="178"/>
      <c r="I202" s="184"/>
      <c r="J202" s="346"/>
      <c r="L202" s="135"/>
    </row>
    <row r="203" spans="1:12" s="135" customFormat="1" ht="13.5" customHeight="1">
      <c r="A203" s="176">
        <v>53</v>
      </c>
      <c r="B203" s="180" t="s">
        <v>320</v>
      </c>
      <c r="C203" s="177">
        <v>944511811</v>
      </c>
      <c r="D203" s="177" t="s">
        <v>333</v>
      </c>
      <c r="E203" s="177" t="s">
        <v>165</v>
      </c>
      <c r="F203" s="178">
        <f>F204</f>
        <v>1215</v>
      </c>
      <c r="G203" s="178"/>
      <c r="H203" s="178">
        <f>F203*G203</f>
        <v>0</v>
      </c>
      <c r="I203" s="274" t="s">
        <v>138</v>
      </c>
      <c r="J203" s="218"/>
    </row>
    <row r="204" spans="1:12" s="135" customFormat="1" ht="13.5" customHeight="1">
      <c r="A204" s="176"/>
      <c r="B204" s="180"/>
      <c r="C204" s="177"/>
      <c r="D204" s="300" t="s">
        <v>334</v>
      </c>
      <c r="E204" s="177"/>
      <c r="F204" s="493">
        <f>F199</f>
        <v>1215</v>
      </c>
      <c r="G204" s="178"/>
      <c r="H204" s="178"/>
      <c r="I204" s="274"/>
      <c r="J204" s="218"/>
    </row>
    <row r="205" spans="1:12" s="325" customFormat="1" ht="13.5" customHeight="1">
      <c r="A205" s="176">
        <v>54</v>
      </c>
      <c r="B205" s="180" t="s">
        <v>320</v>
      </c>
      <c r="C205" s="177">
        <v>944711114</v>
      </c>
      <c r="D205" s="177" t="s">
        <v>335</v>
      </c>
      <c r="E205" s="177" t="s">
        <v>142</v>
      </c>
      <c r="F205" s="178">
        <f>F206</f>
        <v>6</v>
      </c>
      <c r="G205" s="178"/>
      <c r="H205" s="178">
        <f>F205*G205</f>
        <v>0</v>
      </c>
      <c r="I205" s="274" t="s">
        <v>138</v>
      </c>
      <c r="J205" s="346"/>
      <c r="L205" s="135"/>
    </row>
    <row r="206" spans="1:12" s="325" customFormat="1" ht="13.5" customHeight="1">
      <c r="A206" s="176"/>
      <c r="B206" s="180"/>
      <c r="C206" s="177"/>
      <c r="D206" s="183" t="s">
        <v>336</v>
      </c>
      <c r="E206" s="177"/>
      <c r="F206" s="305">
        <v>6</v>
      </c>
      <c r="G206" s="178"/>
      <c r="H206" s="178"/>
      <c r="I206" s="184"/>
      <c r="J206" s="346"/>
      <c r="L206" s="135"/>
    </row>
    <row r="207" spans="1:12" s="135" customFormat="1" ht="13.5" customHeight="1">
      <c r="A207" s="176">
        <v>55</v>
      </c>
      <c r="B207" s="180" t="s">
        <v>320</v>
      </c>
      <c r="C207" s="177">
        <v>944711214</v>
      </c>
      <c r="D207" s="177" t="s">
        <v>337</v>
      </c>
      <c r="E207" s="177" t="s">
        <v>142</v>
      </c>
      <c r="F207" s="178">
        <f>SUM(F208:F208)</f>
        <v>540</v>
      </c>
      <c r="G207" s="178"/>
      <c r="H207" s="178">
        <f>F207*G207</f>
        <v>0</v>
      </c>
      <c r="I207" s="274" t="s">
        <v>138</v>
      </c>
      <c r="J207" s="218"/>
    </row>
    <row r="208" spans="1:12" s="325" customFormat="1" ht="13.5" customHeight="1">
      <c r="A208" s="176"/>
      <c r="B208" s="180"/>
      <c r="C208" s="177"/>
      <c r="D208" s="183" t="s">
        <v>338</v>
      </c>
      <c r="E208" s="177"/>
      <c r="F208" s="305">
        <f>(6)*90</f>
        <v>540</v>
      </c>
      <c r="G208" s="178"/>
      <c r="H208" s="178"/>
      <c r="I208" s="184"/>
      <c r="J208" s="346"/>
      <c r="L208" s="135"/>
    </row>
    <row r="209" spans="1:15" s="325" customFormat="1" ht="13.5" customHeight="1">
      <c r="A209" s="176">
        <v>56</v>
      </c>
      <c r="B209" s="180" t="s">
        <v>320</v>
      </c>
      <c r="C209" s="177">
        <v>944711814</v>
      </c>
      <c r="D209" s="177" t="s">
        <v>339</v>
      </c>
      <c r="E209" s="177" t="s">
        <v>142</v>
      </c>
      <c r="F209" s="178">
        <f>F210</f>
        <v>6</v>
      </c>
      <c r="G209" s="178"/>
      <c r="H209" s="178">
        <f>F209*G209</f>
        <v>0</v>
      </c>
      <c r="I209" s="274" t="s">
        <v>138</v>
      </c>
      <c r="J209" s="346"/>
      <c r="L209" s="135"/>
    </row>
    <row r="210" spans="1:15" s="325" customFormat="1" ht="13.5" customHeight="1">
      <c r="A210" s="176"/>
      <c r="B210" s="180"/>
      <c r="C210" s="177"/>
      <c r="D210" s="300" t="s">
        <v>340</v>
      </c>
      <c r="E210" s="177"/>
      <c r="F210" s="493">
        <f>F205</f>
        <v>6</v>
      </c>
      <c r="G210" s="178"/>
      <c r="H210" s="178"/>
      <c r="I210" s="274"/>
      <c r="J210" s="346"/>
      <c r="L210" s="135"/>
    </row>
    <row r="211" spans="1:15" s="135" customFormat="1" ht="27" customHeight="1">
      <c r="A211" s="215">
        <v>57</v>
      </c>
      <c r="B211" s="180" t="s">
        <v>320</v>
      </c>
      <c r="C211" s="177">
        <v>949101111</v>
      </c>
      <c r="D211" s="177" t="s">
        <v>341</v>
      </c>
      <c r="E211" s="177" t="s">
        <v>165</v>
      </c>
      <c r="F211" s="178">
        <f>SUM(F213:F214)</f>
        <v>893.96900000000005</v>
      </c>
      <c r="G211" s="178"/>
      <c r="H211" s="178">
        <f>F211*G211</f>
        <v>0</v>
      </c>
      <c r="I211" s="274" t="s">
        <v>138</v>
      </c>
      <c r="J211" s="2804"/>
    </row>
    <row r="212" spans="1:15" s="135" customFormat="1" ht="13.5" customHeight="1">
      <c r="A212" s="215"/>
      <c r="B212" s="180"/>
      <c r="C212" s="177"/>
      <c r="D212" s="183" t="s">
        <v>342</v>
      </c>
      <c r="E212" s="177"/>
      <c r="F212" s="178"/>
      <c r="G212" s="178"/>
      <c r="H212" s="178"/>
      <c r="I212" s="216"/>
      <c r="J212" s="2804"/>
    </row>
    <row r="213" spans="1:15" s="135" customFormat="1" ht="13.5" customHeight="1">
      <c r="A213" s="215"/>
      <c r="B213" s="180"/>
      <c r="C213" s="177"/>
      <c r="D213" s="183" t="s">
        <v>343</v>
      </c>
      <c r="E213" s="177"/>
      <c r="F213" s="305">
        <f xml:space="preserve"> (16.7+7.98+11.82+1.08+2.17+3.93+5.21+15.55+6.25+20.91+89.06)</f>
        <v>180.66</v>
      </c>
      <c r="G213" s="178"/>
      <c r="H213" s="178"/>
      <c r="I213" s="216"/>
    </row>
    <row r="214" spans="1:15" s="135" customFormat="1" ht="54" customHeight="1">
      <c r="A214" s="215"/>
      <c r="B214" s="180"/>
      <c r="C214" s="177"/>
      <c r="D214" s="183" t="s">
        <v>344</v>
      </c>
      <c r="E214" s="177"/>
      <c r="F214" s="305">
        <f>(5.52+7.83+11.25+5.51+32.6+8.11+33.42+18.31+9.47+2.9+4.25+12.8+12.86+3.12+2+1.44+3.36+84.71+192.62+12.28+16.1+7.19+3.879+5.45+3.05+3.29+3.73+6.24+43.03+33.89+17.06+65.26+9.22+23.35+8.21)</f>
        <v>713.30900000000008</v>
      </c>
      <c r="G214" s="178"/>
      <c r="H214" s="178"/>
      <c r="I214" s="216"/>
    </row>
    <row r="215" spans="1:15" s="135" customFormat="1" ht="13.5" customHeight="1">
      <c r="A215" s="148"/>
      <c r="B215" s="344"/>
      <c r="C215" s="149"/>
      <c r="D215" s="183" t="s">
        <v>345</v>
      </c>
      <c r="E215" s="149"/>
      <c r="F215" s="305"/>
      <c r="G215" s="345"/>
      <c r="H215" s="345"/>
      <c r="I215" s="150"/>
    </row>
    <row r="216" spans="1:15" s="135" customFormat="1" ht="13.5" customHeight="1">
      <c r="A216" s="148"/>
      <c r="B216" s="344"/>
      <c r="C216" s="149"/>
      <c r="D216" s="183" t="s">
        <v>324</v>
      </c>
      <c r="E216" s="149"/>
      <c r="F216" s="305"/>
      <c r="G216" s="345"/>
      <c r="H216" s="345"/>
      <c r="I216" s="150"/>
    </row>
    <row r="217" spans="1:15" s="135" customFormat="1" ht="13.5" customHeight="1">
      <c r="A217" s="215">
        <v>58</v>
      </c>
      <c r="B217" s="180" t="s">
        <v>224</v>
      </c>
      <c r="C217" s="177">
        <v>952901111</v>
      </c>
      <c r="D217" s="177" t="s">
        <v>346</v>
      </c>
      <c r="E217" s="177" t="s">
        <v>165</v>
      </c>
      <c r="F217" s="178">
        <f>SUM(F219:F220)</f>
        <v>1105.9000000000001</v>
      </c>
      <c r="G217" s="178"/>
      <c r="H217" s="178">
        <f>F217*G217</f>
        <v>0</v>
      </c>
      <c r="I217" s="274" t="s">
        <v>138</v>
      </c>
      <c r="J217" s="347"/>
      <c r="K217" s="347"/>
      <c r="L217" s="347"/>
      <c r="M217" s="347"/>
      <c r="N217" s="347"/>
      <c r="O217" s="347"/>
    </row>
    <row r="218" spans="1:15" s="135" customFormat="1" ht="13.5" customHeight="1">
      <c r="A218" s="215"/>
      <c r="B218" s="180"/>
      <c r="C218" s="177"/>
      <c r="D218" s="183" t="s">
        <v>347</v>
      </c>
      <c r="E218" s="177"/>
      <c r="F218" s="178"/>
      <c r="G218" s="178"/>
      <c r="H218" s="178"/>
      <c r="I218" s="216"/>
    </row>
    <row r="219" spans="1:15" s="135" customFormat="1" ht="13.5" customHeight="1">
      <c r="A219" s="215"/>
      <c r="B219" s="180"/>
      <c r="C219" s="177"/>
      <c r="D219" s="183" t="s">
        <v>348</v>
      </c>
      <c r="E219" s="177"/>
      <c r="F219" s="305">
        <f>23.19+77.29+16.17+16.32+24.09+28.89+15.62+5.12+4.62+4.18+2.7+1.49+2.03+17.29+1.85+1.61+20.79+20.71+17.68+17.27+37.19+1.41+11.35+2.11+1.54+3.03</f>
        <v>375.54</v>
      </c>
      <c r="G219" s="178"/>
      <c r="H219" s="178"/>
      <c r="I219" s="216"/>
    </row>
    <row r="220" spans="1:15" s="135" customFormat="1" ht="54" customHeight="1">
      <c r="A220" s="215"/>
      <c r="B220" s="180"/>
      <c r="C220" s="177"/>
      <c r="D220" s="183" t="s">
        <v>349</v>
      </c>
      <c r="E220" s="177"/>
      <c r="F220" s="305">
        <f>13.55+76.28+22.41+40.64+22.39+25.39+16.41+16.05+126.39+26.99+24.9+12.41+12.41+12.41+12.41+11.74+23.56+12.02+13.24+11.46+26.49+3.91+3.51+2.93+22.12+11.86+2.91+1.16+1.73+28.52+2.49+2.21+2.1+18.37+49.82+6.64+6.8+3.73</f>
        <v>730.36</v>
      </c>
      <c r="G220" s="178"/>
      <c r="H220" s="178"/>
      <c r="I220" s="216"/>
    </row>
    <row r="221" spans="1:15" s="135" customFormat="1" ht="13.5" customHeight="1">
      <c r="A221" s="176">
        <v>59</v>
      </c>
      <c r="B221" s="180" t="s">
        <v>136</v>
      </c>
      <c r="C221" s="177" t="s">
        <v>350</v>
      </c>
      <c r="D221" s="177" t="s">
        <v>351</v>
      </c>
      <c r="E221" s="177" t="s">
        <v>165</v>
      </c>
      <c r="F221" s="556">
        <f>ROUND(SUM(F222:F223),3)</f>
        <v>14.175000000000001</v>
      </c>
      <c r="G221" s="178"/>
      <c r="H221" s="315">
        <f t="shared" ref="H221" si="5">ROUND(F221*G221,2)</f>
        <v>0</v>
      </c>
      <c r="I221" s="274" t="s">
        <v>112</v>
      </c>
      <c r="J221" s="2805"/>
    </row>
    <row r="222" spans="1:15" s="135" customFormat="1" ht="13.5" customHeight="1">
      <c r="A222" s="176"/>
      <c r="B222" s="180"/>
      <c r="C222" s="177"/>
      <c r="D222" s="183" t="s">
        <v>352</v>
      </c>
      <c r="E222" s="177"/>
      <c r="F222" s="305"/>
      <c r="G222" s="178"/>
      <c r="H222" s="178"/>
      <c r="I222" s="184"/>
      <c r="J222" s="2805"/>
    </row>
    <row r="223" spans="1:15" s="135" customFormat="1" ht="13.5" customHeight="1">
      <c r="A223" s="176"/>
      <c r="B223" s="180"/>
      <c r="C223" s="177"/>
      <c r="D223" s="183" t="s">
        <v>353</v>
      </c>
      <c r="E223" s="177"/>
      <c r="F223" s="305">
        <f>(13.5)*1.05</f>
        <v>14.175000000000001</v>
      </c>
      <c r="G223" s="178"/>
      <c r="H223" s="178"/>
      <c r="I223" s="184"/>
      <c r="J223" s="2805"/>
    </row>
    <row r="224" spans="1:15" s="135" customFormat="1" ht="13.5" customHeight="1">
      <c r="A224" s="176"/>
      <c r="B224" s="180"/>
      <c r="C224" s="177"/>
      <c r="D224" s="183" t="s">
        <v>354</v>
      </c>
      <c r="E224" s="177"/>
      <c r="F224" s="305"/>
      <c r="G224" s="178"/>
      <c r="H224" s="178"/>
      <c r="I224" s="184"/>
      <c r="J224" s="2805"/>
    </row>
    <row r="225" spans="1:13" s="135" customFormat="1" ht="27" customHeight="1">
      <c r="A225" s="176"/>
      <c r="B225" s="180"/>
      <c r="C225" s="177"/>
      <c r="D225" s="183" t="s">
        <v>355</v>
      </c>
      <c r="E225" s="177"/>
      <c r="F225" s="305"/>
      <c r="G225" s="178"/>
      <c r="H225" s="178"/>
      <c r="I225" s="184"/>
      <c r="J225" s="2760"/>
    </row>
    <row r="226" spans="1:13" s="135" customFormat="1" ht="13.5" customHeight="1">
      <c r="A226" s="176"/>
      <c r="B226" s="180"/>
      <c r="C226" s="177"/>
      <c r="D226" s="183" t="s">
        <v>356</v>
      </c>
      <c r="E226" s="177"/>
      <c r="F226" s="305"/>
      <c r="G226" s="178"/>
      <c r="H226" s="178"/>
      <c r="I226" s="184"/>
      <c r="J226" s="2760"/>
    </row>
    <row r="227" spans="1:13" s="333" customFormat="1" ht="67.5" customHeight="1">
      <c r="A227" s="337"/>
      <c r="B227" s="331"/>
      <c r="C227" s="331"/>
      <c r="D227" s="348" t="s">
        <v>317</v>
      </c>
      <c r="E227" s="331"/>
      <c r="F227" s="558"/>
      <c r="G227" s="338"/>
      <c r="H227" s="338"/>
      <c r="I227" s="332"/>
      <c r="J227" s="2806"/>
      <c r="K227" s="2807"/>
      <c r="L227" s="349"/>
    </row>
    <row r="228" spans="1:13" s="135" customFormat="1" ht="13.5" customHeight="1">
      <c r="A228" s="176">
        <v>60</v>
      </c>
      <c r="B228" s="180" t="s">
        <v>136</v>
      </c>
      <c r="C228" s="177" t="s">
        <v>357</v>
      </c>
      <c r="D228" s="177" t="s">
        <v>358</v>
      </c>
      <c r="E228" s="177" t="s">
        <v>165</v>
      </c>
      <c r="F228" s="556">
        <f>ROUND(SUM(F229:F230),3)</f>
        <v>0.63</v>
      </c>
      <c r="G228" s="178"/>
      <c r="H228" s="315">
        <f t="shared" ref="H228" si="6">ROUND(F228*G228,2)</f>
        <v>0</v>
      </c>
      <c r="I228" s="274" t="s">
        <v>112</v>
      </c>
      <c r="J228" s="2805"/>
    </row>
    <row r="229" spans="1:13" s="135" customFormat="1" ht="13.5" customHeight="1">
      <c r="A229" s="176"/>
      <c r="B229" s="180"/>
      <c r="C229" s="177"/>
      <c r="D229" s="183" t="s">
        <v>359</v>
      </c>
      <c r="E229" s="177"/>
      <c r="F229" s="305"/>
      <c r="G229" s="178"/>
      <c r="H229" s="178"/>
      <c r="I229" s="306"/>
      <c r="J229" s="306"/>
      <c r="K229" s="2805"/>
      <c r="L229" s="317"/>
    </row>
    <row r="230" spans="1:13" s="135" customFormat="1" ht="13.5" customHeight="1">
      <c r="A230" s="176"/>
      <c r="B230" s="180"/>
      <c r="C230" s="177"/>
      <c r="D230" s="183" t="s">
        <v>360</v>
      </c>
      <c r="E230" s="177"/>
      <c r="F230" s="305">
        <f>(0.6)*1.05</f>
        <v>0.63</v>
      </c>
      <c r="G230" s="178"/>
      <c r="H230" s="178"/>
      <c r="I230" s="306"/>
      <c r="J230" s="306"/>
      <c r="K230" s="2805"/>
      <c r="L230" s="317"/>
    </row>
    <row r="231" spans="1:13" s="135" customFormat="1" ht="27" customHeight="1">
      <c r="A231" s="176"/>
      <c r="B231" s="180"/>
      <c r="C231" s="177"/>
      <c r="D231" s="183" t="s">
        <v>361</v>
      </c>
      <c r="E231" s="177"/>
      <c r="F231" s="305"/>
      <c r="G231" s="178"/>
      <c r="H231" s="178"/>
      <c r="I231" s="184"/>
      <c r="J231" s="306"/>
      <c r="K231" s="2760"/>
    </row>
    <row r="232" spans="1:13" s="135" customFormat="1" ht="13.5" customHeight="1">
      <c r="A232" s="176"/>
      <c r="B232" s="180"/>
      <c r="C232" s="177"/>
      <c r="D232" s="183" t="s">
        <v>362</v>
      </c>
      <c r="E232" s="177"/>
      <c r="F232" s="305"/>
      <c r="G232" s="178"/>
      <c r="H232" s="178"/>
      <c r="I232" s="184"/>
      <c r="J232" s="2760"/>
      <c r="K232" s="317"/>
    </row>
    <row r="233" spans="1:13" s="135" customFormat="1" ht="13.5" customHeight="1">
      <c r="A233" s="176"/>
      <c r="B233" s="180"/>
      <c r="C233" s="177"/>
      <c r="D233" s="183" t="s">
        <v>356</v>
      </c>
      <c r="E233" s="177"/>
      <c r="F233" s="305"/>
      <c r="G233" s="178"/>
      <c r="H233" s="178"/>
      <c r="I233" s="184"/>
      <c r="J233" s="2760"/>
    </row>
    <row r="234" spans="1:13" s="2967" customFormat="1" ht="13.5" customHeight="1">
      <c r="A234" s="2962" t="s">
        <v>3854</v>
      </c>
      <c r="B234" s="2963" t="s">
        <v>136</v>
      </c>
      <c r="C234" s="2710" t="s">
        <v>3855</v>
      </c>
      <c r="D234" s="2710" t="s">
        <v>3856</v>
      </c>
      <c r="E234" s="2710" t="s">
        <v>165</v>
      </c>
      <c r="F234" s="2714">
        <f>ROUND(SUM(F235:F235),3)</f>
        <v>3.5</v>
      </c>
      <c r="G234" s="2714"/>
      <c r="H234" s="2714">
        <f t="shared" ref="H234" si="7">ROUND(F234*G234,2)</f>
        <v>0</v>
      </c>
      <c r="I234" s="2934" t="s">
        <v>112</v>
      </c>
      <c r="J234" s="2965"/>
      <c r="K234" s="2966"/>
    </row>
    <row r="235" spans="1:13" s="2967" customFormat="1" ht="13.5" customHeight="1">
      <c r="A235" s="2962"/>
      <c r="B235" s="2963"/>
      <c r="C235" s="2710"/>
      <c r="D235" s="2710" t="s">
        <v>3858</v>
      </c>
      <c r="E235" s="2710"/>
      <c r="F235" s="2714">
        <v>3.5</v>
      </c>
      <c r="G235" s="2714"/>
      <c r="H235" s="2714"/>
      <c r="I235" s="2964"/>
      <c r="J235" s="2965"/>
      <c r="K235" s="2966"/>
    </row>
    <row r="236" spans="1:13" s="135" customFormat="1" ht="27" customHeight="1">
      <c r="A236" s="2962"/>
      <c r="B236" s="2963"/>
      <c r="C236" s="2710"/>
      <c r="D236" s="2710" t="s">
        <v>3857</v>
      </c>
      <c r="E236" s="2710"/>
      <c r="F236" s="2714"/>
      <c r="G236" s="2714"/>
      <c r="H236" s="2714"/>
      <c r="I236" s="2964"/>
      <c r="J236" s="306"/>
      <c r="K236" s="2760"/>
    </row>
    <row r="237" spans="1:13" s="135" customFormat="1" ht="13.5" customHeight="1">
      <c r="A237" s="2962"/>
      <c r="B237" s="2963"/>
      <c r="C237" s="2710"/>
      <c r="D237" s="2710" t="s">
        <v>362</v>
      </c>
      <c r="E237" s="2710"/>
      <c r="F237" s="2714"/>
      <c r="G237" s="2714"/>
      <c r="H237" s="2714"/>
      <c r="I237" s="2964"/>
      <c r="J237" s="2760"/>
      <c r="K237" s="317"/>
    </row>
    <row r="238" spans="1:13" s="135" customFormat="1" ht="13.5" customHeight="1">
      <c r="A238" s="2962"/>
      <c r="B238" s="2963"/>
      <c r="C238" s="2710"/>
      <c r="D238" s="2710" t="s">
        <v>356</v>
      </c>
      <c r="E238" s="2710"/>
      <c r="F238" s="2714"/>
      <c r="G238" s="2714"/>
      <c r="H238" s="2714"/>
      <c r="I238" s="2964"/>
      <c r="J238" s="2760"/>
    </row>
    <row r="239" spans="1:13" s="329" customFormat="1" ht="13.5" customHeight="1">
      <c r="A239" s="253"/>
      <c r="B239" s="254"/>
      <c r="C239" s="255" t="s">
        <v>363</v>
      </c>
      <c r="D239" s="255" t="s">
        <v>364</v>
      </c>
      <c r="E239" s="255"/>
      <c r="F239" s="256"/>
      <c r="G239" s="256"/>
      <c r="H239" s="256">
        <f>SUM(H240:H245)</f>
        <v>0</v>
      </c>
      <c r="I239" s="350"/>
      <c r="J239" s="2749"/>
    </row>
    <row r="240" spans="1:13" s="355" customFormat="1" ht="13.5" customHeight="1">
      <c r="A240" s="2946">
        <v>61</v>
      </c>
      <c r="B240" s="352" t="s">
        <v>224</v>
      </c>
      <c r="C240" s="353">
        <v>998011002</v>
      </c>
      <c r="D240" s="353" t="s">
        <v>365</v>
      </c>
      <c r="E240" s="353" t="s">
        <v>178</v>
      </c>
      <c r="F240" s="2947">
        <f>SUM(F241)</f>
        <v>862.548</v>
      </c>
      <c r="G240" s="273"/>
      <c r="H240" s="354">
        <f>F240*G240</f>
        <v>0</v>
      </c>
      <c r="I240" s="274" t="s">
        <v>138</v>
      </c>
      <c r="J240" s="2808"/>
      <c r="K240" s="2809"/>
      <c r="L240" s="2809"/>
      <c r="M240" s="329"/>
    </row>
    <row r="241" spans="1:15" s="355" customFormat="1" ht="13.5" customHeight="1">
      <c r="A241" s="351"/>
      <c r="B241" s="352"/>
      <c r="C241" s="353"/>
      <c r="D241" s="183" t="s">
        <v>3845</v>
      </c>
      <c r="E241" s="353"/>
      <c r="F241" s="2714">
        <v>862.548</v>
      </c>
      <c r="G241" s="273"/>
      <c r="H241" s="354"/>
      <c r="I241" s="274"/>
      <c r="J241" s="2808"/>
      <c r="K241" s="2809"/>
      <c r="L241" s="2809"/>
      <c r="M241" s="329"/>
    </row>
    <row r="242" spans="1:15" s="135" customFormat="1" ht="13.5" customHeight="1">
      <c r="A242" s="2968">
        <v>62</v>
      </c>
      <c r="B242" s="180" t="s">
        <v>224</v>
      </c>
      <c r="C242" s="152" t="s">
        <v>366</v>
      </c>
      <c r="D242" s="177" t="s">
        <v>367</v>
      </c>
      <c r="E242" s="357" t="s">
        <v>49</v>
      </c>
      <c r="F242" s="560">
        <f>SUM(F243)</f>
        <v>1</v>
      </c>
      <c r="G242" s="3055" t="s">
        <v>3828</v>
      </c>
      <c r="H242" s="3056"/>
      <c r="I242" s="216" t="s">
        <v>112</v>
      </c>
      <c r="J242" s="283"/>
    </row>
    <row r="243" spans="1:15" s="135" customFormat="1" ht="13.5" customHeight="1">
      <c r="A243" s="356"/>
      <c r="B243" s="180"/>
      <c r="C243" s="177"/>
      <c r="D243" s="183" t="s">
        <v>368</v>
      </c>
      <c r="E243" s="357"/>
      <c r="F243" s="305">
        <v>1</v>
      </c>
      <c r="G243" s="178"/>
      <c r="H243" s="560"/>
      <c r="I243" s="216"/>
    </row>
    <row r="244" spans="1:15" s="275" customFormat="1" ht="13.5" customHeight="1">
      <c r="A244" s="358">
        <v>63</v>
      </c>
      <c r="B244" s="272" t="s">
        <v>369</v>
      </c>
      <c r="C244" s="152" t="s">
        <v>370</v>
      </c>
      <c r="D244" s="152" t="s">
        <v>371</v>
      </c>
      <c r="E244" s="152" t="s">
        <v>69</v>
      </c>
      <c r="F244" s="559">
        <f>F245</f>
        <v>80</v>
      </c>
      <c r="G244" s="273"/>
      <c r="H244" s="273">
        <f>F244*G244</f>
        <v>0</v>
      </c>
      <c r="I244" s="274" t="s">
        <v>138</v>
      </c>
      <c r="J244" s="2749"/>
      <c r="M244" s="329"/>
    </row>
    <row r="245" spans="1:15" s="359" customFormat="1" ht="27" customHeight="1">
      <c r="A245" s="271"/>
      <c r="B245" s="272"/>
      <c r="C245" s="152"/>
      <c r="D245" s="212" t="s">
        <v>372</v>
      </c>
      <c r="E245" s="152"/>
      <c r="F245" s="290">
        <v>80</v>
      </c>
      <c r="G245" s="273"/>
      <c r="H245" s="273"/>
      <c r="I245" s="213"/>
      <c r="J245" s="2810"/>
      <c r="M245" s="329"/>
    </row>
    <row r="246" spans="1:15" s="135" customFormat="1" ht="21" customHeight="1">
      <c r="A246" s="148"/>
      <c r="B246" s="149"/>
      <c r="C246" s="149" t="s">
        <v>373</v>
      </c>
      <c r="D246" s="149" t="s">
        <v>374</v>
      </c>
      <c r="E246" s="149"/>
      <c r="F246" s="345"/>
      <c r="G246" s="345"/>
      <c r="H246" s="345">
        <f>SUM(H247,H266,H353,H436,H444,H594,H605,H667,H749,H801,H815,H825,H858)</f>
        <v>0</v>
      </c>
      <c r="I246" s="150"/>
      <c r="L246" s="2811"/>
    </row>
    <row r="247" spans="1:15" s="214" customFormat="1" ht="13.5" customHeight="1">
      <c r="A247" s="253"/>
      <c r="B247" s="254"/>
      <c r="C247" s="255" t="s">
        <v>375</v>
      </c>
      <c r="D247" s="255" t="s">
        <v>376</v>
      </c>
      <c r="E247" s="255"/>
      <c r="F247" s="256"/>
      <c r="G247" s="256"/>
      <c r="H247" s="256">
        <f>SUM(H248:H251,H254:H257,H260:H265)</f>
        <v>0</v>
      </c>
      <c r="I247" s="360"/>
      <c r="J247" s="2749"/>
    </row>
    <row r="248" spans="1:15" s="214" customFormat="1" ht="13.5" customHeight="1">
      <c r="A248" s="271">
        <v>64</v>
      </c>
      <c r="B248" s="272">
        <v>711</v>
      </c>
      <c r="C248" s="152">
        <v>711161383</v>
      </c>
      <c r="D248" s="152" t="s">
        <v>377</v>
      </c>
      <c r="E248" s="152" t="s">
        <v>142</v>
      </c>
      <c r="F248" s="273">
        <f>SUM(F249)</f>
        <v>936.1</v>
      </c>
      <c r="G248" s="273"/>
      <c r="H248" s="273">
        <f>F248*G248</f>
        <v>0</v>
      </c>
      <c r="I248" s="274" t="s">
        <v>138</v>
      </c>
      <c r="J248" s="2749"/>
    </row>
    <row r="249" spans="1:15" s="214" customFormat="1" ht="13.5" customHeight="1">
      <c r="A249" s="361"/>
      <c r="B249" s="362"/>
      <c r="C249" s="363"/>
      <c r="D249" s="212" t="s">
        <v>378</v>
      </c>
      <c r="E249" s="363"/>
      <c r="F249" s="280">
        <f>(851)*1.1</f>
        <v>936.1</v>
      </c>
      <c r="G249" s="364"/>
      <c r="H249" s="273"/>
      <c r="I249" s="360"/>
      <c r="J249" s="2749"/>
    </row>
    <row r="250" spans="1:15" s="214" customFormat="1" ht="13.5" customHeight="1">
      <c r="A250" s="2705">
        <v>65</v>
      </c>
      <c r="B250" s="272">
        <v>711</v>
      </c>
      <c r="C250" s="152" t="s">
        <v>379</v>
      </c>
      <c r="D250" s="152" t="s">
        <v>380</v>
      </c>
      <c r="E250" s="152" t="s">
        <v>165</v>
      </c>
      <c r="F250" s="273">
        <f>SUM(F254:F254)</f>
        <v>19.8</v>
      </c>
      <c r="G250" s="365">
        <f>SUM(H252:H253)/F250</f>
        <v>0</v>
      </c>
      <c r="H250" s="273">
        <f>F250*G250</f>
        <v>0</v>
      </c>
      <c r="I250" s="213" t="s">
        <v>381</v>
      </c>
      <c r="J250" s="2812"/>
    </row>
    <row r="251" spans="1:15" s="214" customFormat="1" ht="27" customHeight="1">
      <c r="A251" s="151"/>
      <c r="B251" s="272"/>
      <c r="C251" s="152"/>
      <c r="D251" s="212" t="s">
        <v>382</v>
      </c>
      <c r="E251" s="152"/>
      <c r="F251" s="273"/>
      <c r="G251" s="365"/>
      <c r="H251" s="273"/>
      <c r="I251" s="213"/>
      <c r="J251" s="2813"/>
    </row>
    <row r="252" spans="1:15" s="370" customFormat="1" ht="40.5" customHeight="1">
      <c r="A252" s="366"/>
      <c r="B252" s="272"/>
      <c r="C252" s="152"/>
      <c r="D252" s="262" t="s">
        <v>383</v>
      </c>
      <c r="E252" s="212"/>
      <c r="F252" s="368">
        <f xml:space="preserve"> (19.8)*1.15</f>
        <v>22.77</v>
      </c>
      <c r="G252" s="367"/>
      <c r="H252" s="368">
        <f>F252*G252</f>
        <v>0</v>
      </c>
      <c r="I252" s="369"/>
      <c r="J252" s="2750"/>
      <c r="K252" s="2773"/>
      <c r="L252" s="2750"/>
      <c r="M252" s="214"/>
    </row>
    <row r="253" spans="1:15" s="214" customFormat="1" ht="27" customHeight="1">
      <c r="A253" s="366"/>
      <c r="B253" s="272"/>
      <c r="C253" s="152"/>
      <c r="D253" s="212" t="s">
        <v>384</v>
      </c>
      <c r="E253" s="212"/>
      <c r="F253" s="561">
        <f>((19.8*0.4)/1000)*1.1</f>
        <v>8.712000000000001E-3</v>
      </c>
      <c r="G253" s="371"/>
      <c r="H253" s="372">
        <f>F253*G253</f>
        <v>0</v>
      </c>
      <c r="I253" s="373"/>
      <c r="J253" s="2750"/>
      <c r="K253" s="2773"/>
      <c r="L253" s="2750"/>
      <c r="N253" s="370"/>
    </row>
    <row r="254" spans="1:15" s="214" customFormat="1" ht="13.5" customHeight="1">
      <c r="A254" s="374"/>
      <c r="B254" s="363"/>
      <c r="C254" s="363"/>
      <c r="D254" s="212" t="s">
        <v>385</v>
      </c>
      <c r="E254" s="363"/>
      <c r="F254" s="562">
        <v>19.8</v>
      </c>
      <c r="G254" s="364"/>
      <c r="H254" s="273"/>
      <c r="I254" s="375"/>
      <c r="J254" s="2814"/>
      <c r="K254" s="2815"/>
    </row>
    <row r="255" spans="1:15" s="214" customFormat="1" ht="40.5" customHeight="1">
      <c r="A255" s="376"/>
      <c r="B255" s="272"/>
      <c r="C255" s="152"/>
      <c r="D255" s="212" t="s">
        <v>386</v>
      </c>
      <c r="E255" s="152"/>
      <c r="F255" s="290"/>
      <c r="G255" s="273"/>
      <c r="H255" s="273"/>
      <c r="I255" s="213"/>
      <c r="J255" s="2816"/>
      <c r="K255" s="2815"/>
      <c r="O255" s="2817"/>
    </row>
    <row r="256" spans="1:15" s="214" customFormat="1" ht="13.5" customHeight="1">
      <c r="A256" s="151">
        <v>66</v>
      </c>
      <c r="B256" s="272">
        <v>711</v>
      </c>
      <c r="C256" s="152" t="s">
        <v>387</v>
      </c>
      <c r="D256" s="152" t="s">
        <v>388</v>
      </c>
      <c r="E256" s="152" t="s">
        <v>165</v>
      </c>
      <c r="F256" s="273">
        <f>SUM(F260:F260)</f>
        <v>20</v>
      </c>
      <c r="G256" s="365">
        <f>SUM(H258:H259)/F256</f>
        <v>0</v>
      </c>
      <c r="H256" s="273">
        <f>F256*G256</f>
        <v>0</v>
      </c>
      <c r="I256" s="213" t="s">
        <v>381</v>
      </c>
      <c r="J256" s="2773"/>
      <c r="K256" s="2815"/>
    </row>
    <row r="257" spans="1:17" s="214" customFormat="1" ht="13.5" customHeight="1">
      <c r="A257" s="151"/>
      <c r="B257" s="272"/>
      <c r="C257" s="152"/>
      <c r="D257" s="212" t="s">
        <v>389</v>
      </c>
      <c r="E257" s="152"/>
      <c r="F257" s="273"/>
      <c r="G257" s="365"/>
      <c r="H257" s="273"/>
      <c r="I257" s="213"/>
      <c r="J257" s="2813"/>
      <c r="K257" s="2815"/>
    </row>
    <row r="258" spans="1:17" s="370" customFormat="1" ht="40.5" customHeight="1">
      <c r="A258" s="366"/>
      <c r="B258" s="272"/>
      <c r="C258" s="152"/>
      <c r="D258" s="262" t="s">
        <v>390</v>
      </c>
      <c r="E258" s="212"/>
      <c r="F258" s="290">
        <f xml:space="preserve"> (20)*1.1</f>
        <v>22</v>
      </c>
      <c r="G258" s="367"/>
      <c r="H258" s="368">
        <f>F258*G258</f>
        <v>0</v>
      </c>
      <c r="I258" s="213"/>
      <c r="J258" s="2750"/>
      <c r="K258" s="2773"/>
      <c r="L258" s="2750"/>
      <c r="M258" s="214"/>
    </row>
    <row r="259" spans="1:17" s="214" customFormat="1" ht="27" customHeight="1">
      <c r="A259" s="366"/>
      <c r="B259" s="272"/>
      <c r="C259" s="152"/>
      <c r="D259" s="212" t="s">
        <v>391</v>
      </c>
      <c r="E259" s="212"/>
      <c r="F259" s="290">
        <f>((20*0.4)/1000)*1.1</f>
        <v>8.8000000000000005E-3</v>
      </c>
      <c r="G259" s="367"/>
      <c r="H259" s="368">
        <f>F259*G259</f>
        <v>0</v>
      </c>
      <c r="I259" s="213"/>
      <c r="J259" s="2750"/>
      <c r="L259" s="2750"/>
    </row>
    <row r="260" spans="1:17" s="214" customFormat="1" ht="13.5" customHeight="1">
      <c r="A260" s="374"/>
      <c r="B260" s="363"/>
      <c r="C260" s="363"/>
      <c r="D260" s="212" t="s">
        <v>392</v>
      </c>
      <c r="E260" s="363"/>
      <c r="F260" s="562">
        <v>20</v>
      </c>
      <c r="G260" s="364"/>
      <c r="H260" s="273"/>
      <c r="I260" s="360"/>
      <c r="J260" s="3047"/>
      <c r="K260" s="3048"/>
      <c r="L260" s="3048"/>
      <c r="M260" s="3048"/>
      <c r="N260" s="3048"/>
      <c r="O260" s="2814"/>
    </row>
    <row r="261" spans="1:17" s="214" customFormat="1" ht="40.5" customHeight="1">
      <c r="A261" s="376"/>
      <c r="B261" s="272"/>
      <c r="C261" s="152"/>
      <c r="D261" s="212" t="s">
        <v>386</v>
      </c>
      <c r="E261" s="152"/>
      <c r="F261" s="290"/>
      <c r="G261" s="273"/>
      <c r="H261" s="273"/>
      <c r="I261" s="213"/>
      <c r="J261" s="2818"/>
    </row>
    <row r="262" spans="1:17" s="214" customFormat="1" ht="13.5" customHeight="1">
      <c r="A262" s="271">
        <v>67</v>
      </c>
      <c r="B262" s="272" t="s">
        <v>375</v>
      </c>
      <c r="C262" s="152">
        <v>998711203</v>
      </c>
      <c r="D262" s="152" t="s">
        <v>393</v>
      </c>
      <c r="E262" s="152" t="s">
        <v>10</v>
      </c>
      <c r="F262" s="273">
        <v>3.42</v>
      </c>
      <c r="G262" s="273"/>
      <c r="H262" s="273">
        <f>F262*G262</f>
        <v>0</v>
      </c>
      <c r="I262" s="213" t="s">
        <v>394</v>
      </c>
      <c r="J262" s="2819"/>
      <c r="K262" s="2773"/>
    </row>
    <row r="263" spans="1:17" s="355" customFormat="1" ht="13.5" customHeight="1">
      <c r="A263" s="271">
        <v>68</v>
      </c>
      <c r="B263" s="272" t="s">
        <v>369</v>
      </c>
      <c r="C263" s="152" t="s">
        <v>395</v>
      </c>
      <c r="D263" s="152" t="s">
        <v>396</v>
      </c>
      <c r="E263" s="152" t="s">
        <v>69</v>
      </c>
      <c r="F263" s="273">
        <f>F264</f>
        <v>20</v>
      </c>
      <c r="G263" s="273"/>
      <c r="H263" s="273">
        <f>F263*G263</f>
        <v>0</v>
      </c>
      <c r="I263" s="213" t="s">
        <v>138</v>
      </c>
      <c r="J263" s="2820"/>
      <c r="M263" s="214"/>
    </row>
    <row r="264" spans="1:17" s="214" customFormat="1" ht="13.5" customHeight="1">
      <c r="A264" s="374"/>
      <c r="B264" s="363"/>
      <c r="C264" s="363"/>
      <c r="D264" s="212" t="s">
        <v>397</v>
      </c>
      <c r="E264" s="363"/>
      <c r="F264" s="562">
        <v>20</v>
      </c>
      <c r="G264" s="364"/>
      <c r="H264" s="273"/>
      <c r="I264" s="375"/>
      <c r="J264" s="2814"/>
      <c r="K264" s="2815"/>
    </row>
    <row r="265" spans="1:17" s="355" customFormat="1" ht="13.5" customHeight="1">
      <c r="A265" s="361"/>
      <c r="B265" s="362"/>
      <c r="C265" s="363"/>
      <c r="D265" s="212" t="s">
        <v>398</v>
      </c>
      <c r="E265" s="377"/>
      <c r="F265" s="563"/>
      <c r="G265" s="364"/>
      <c r="H265" s="273"/>
      <c r="I265" s="360"/>
      <c r="J265" s="2821"/>
      <c r="M265" s="214"/>
    </row>
    <row r="266" spans="1:17" s="329" customFormat="1" ht="13.5" customHeight="1">
      <c r="A266" s="378"/>
      <c r="B266" s="379"/>
      <c r="C266" s="380">
        <v>712</v>
      </c>
      <c r="D266" s="380" t="s">
        <v>399</v>
      </c>
      <c r="E266" s="380"/>
      <c r="F266" s="381"/>
      <c r="G266" s="381"/>
      <c r="H266" s="381">
        <f>SUM(H267:H268,H281:H286,H296:H301,H312:H317,H328:H333,H345:H352)</f>
        <v>0</v>
      </c>
      <c r="I266" s="382"/>
      <c r="J266" s="2749"/>
    </row>
    <row r="267" spans="1:17" s="329" customFormat="1" ht="13.5" customHeight="1">
      <c r="A267" s="383">
        <v>69</v>
      </c>
      <c r="B267" s="259" t="s">
        <v>400</v>
      </c>
      <c r="C267" s="260" t="s">
        <v>401</v>
      </c>
      <c r="D267" s="260" t="s">
        <v>402</v>
      </c>
      <c r="E267" s="260" t="s">
        <v>165</v>
      </c>
      <c r="F267" s="365">
        <f>SUM(F281:F281)</f>
        <v>681.5</v>
      </c>
      <c r="G267" s="365">
        <f>SUM(H269:H280)/F267</f>
        <v>0</v>
      </c>
      <c r="H267" s="365">
        <f>F267*G267</f>
        <v>0</v>
      </c>
      <c r="I267" s="213" t="s">
        <v>112</v>
      </c>
      <c r="J267" s="2749"/>
    </row>
    <row r="268" spans="1:17" s="329" customFormat="1" ht="13.5" customHeight="1">
      <c r="A268" s="383"/>
      <c r="B268" s="259"/>
      <c r="C268" s="260"/>
      <c r="D268" s="262" t="s">
        <v>403</v>
      </c>
      <c r="E268" s="260"/>
      <c r="F268" s="368"/>
      <c r="G268" s="365"/>
      <c r="H268" s="365"/>
      <c r="I268" s="265"/>
      <c r="J268" s="2749"/>
    </row>
    <row r="269" spans="1:17" s="329" customFormat="1" ht="27" customHeight="1">
      <c r="A269" s="384"/>
      <c r="B269" s="259"/>
      <c r="C269" s="313"/>
      <c r="D269" s="262" t="s">
        <v>404</v>
      </c>
      <c r="E269" s="385" t="s">
        <v>165</v>
      </c>
      <c r="F269" s="368">
        <f>(681)*1.15</f>
        <v>783.15</v>
      </c>
      <c r="G269" s="367"/>
      <c r="H269" s="368">
        <f t="shared" ref="H269:H280" si="8">G269*F269</f>
        <v>0</v>
      </c>
      <c r="I269" s="265"/>
      <c r="J269" s="2822"/>
      <c r="K269" s="218"/>
      <c r="L269" s="2822"/>
      <c r="M269" s="2823"/>
      <c r="N269" s="2824"/>
    </row>
    <row r="270" spans="1:17" s="329" customFormat="1" ht="27" customHeight="1">
      <c r="A270" s="384"/>
      <c r="B270" s="259"/>
      <c r="C270" s="386"/>
      <c r="D270" s="262" t="s">
        <v>405</v>
      </c>
      <c r="E270" s="385" t="s">
        <v>165</v>
      </c>
      <c r="F270" s="368">
        <f>(681)*1.15</f>
        <v>783.15</v>
      </c>
      <c r="G270" s="367"/>
      <c r="H270" s="368">
        <f t="shared" si="8"/>
        <v>0</v>
      </c>
      <c r="I270" s="265"/>
      <c r="J270" s="2822"/>
      <c r="K270" s="218"/>
      <c r="L270" s="2822"/>
      <c r="M270" s="2823"/>
      <c r="N270" s="2824"/>
    </row>
    <row r="271" spans="1:17" s="329" customFormat="1" ht="27" customHeight="1">
      <c r="A271" s="384"/>
      <c r="B271" s="259"/>
      <c r="C271" s="386"/>
      <c r="D271" s="262" t="s">
        <v>406</v>
      </c>
      <c r="E271" s="385" t="s">
        <v>165</v>
      </c>
      <c r="F271" s="368">
        <f>(681)*1.15</f>
        <v>783.15</v>
      </c>
      <c r="G271" s="367"/>
      <c r="H271" s="368">
        <f t="shared" si="8"/>
        <v>0</v>
      </c>
      <c r="I271" s="265"/>
      <c r="J271" s="2822"/>
      <c r="K271" s="218"/>
      <c r="L271" s="2822"/>
      <c r="M271" s="2823"/>
      <c r="N271" s="2824"/>
      <c r="Q271" s="387"/>
    </row>
    <row r="272" spans="1:17" s="329" customFormat="1" ht="13.5" customHeight="1">
      <c r="A272" s="384"/>
      <c r="B272" s="259"/>
      <c r="C272" s="386"/>
      <c r="D272" s="279" t="s">
        <v>407</v>
      </c>
      <c r="E272" s="388" t="s">
        <v>165</v>
      </c>
      <c r="F272" s="368">
        <f>(681)*1.1</f>
        <v>749.1</v>
      </c>
      <c r="G272" s="367"/>
      <c r="H272" s="368">
        <f t="shared" si="8"/>
        <v>0</v>
      </c>
      <c r="I272" s="265"/>
      <c r="J272" s="2822"/>
      <c r="K272" s="218"/>
      <c r="L272" s="2822"/>
      <c r="M272" s="2823"/>
      <c r="N272" s="2824"/>
      <c r="Q272" s="387"/>
    </row>
    <row r="273" spans="1:17" s="329" customFormat="1" ht="27" customHeight="1">
      <c r="A273" s="384"/>
      <c r="B273" s="259"/>
      <c r="C273" s="386"/>
      <c r="D273" s="262" t="s">
        <v>408</v>
      </c>
      <c r="E273" s="388" t="s">
        <v>165</v>
      </c>
      <c r="F273" s="368">
        <f>(681)*1.15</f>
        <v>783.15</v>
      </c>
      <c r="G273" s="367"/>
      <c r="H273" s="368">
        <f t="shared" si="8"/>
        <v>0</v>
      </c>
      <c r="I273" s="265"/>
      <c r="J273" s="2822"/>
      <c r="K273" s="218"/>
      <c r="L273" s="2822"/>
      <c r="M273" s="2823"/>
      <c r="N273" s="2824"/>
      <c r="Q273" s="387"/>
    </row>
    <row r="274" spans="1:17" s="329" customFormat="1" ht="13.5" customHeight="1">
      <c r="A274" s="384"/>
      <c r="B274" s="259"/>
      <c r="C274" s="386"/>
      <c r="D274" s="279" t="s">
        <v>409</v>
      </c>
      <c r="E274" s="388" t="s">
        <v>165</v>
      </c>
      <c r="F274" s="368">
        <f>(681)*1.1</f>
        <v>749.1</v>
      </c>
      <c r="G274" s="367"/>
      <c r="H274" s="368">
        <f t="shared" si="8"/>
        <v>0</v>
      </c>
      <c r="I274" s="265"/>
      <c r="J274" s="2822"/>
      <c r="K274" s="218"/>
      <c r="L274" s="2822"/>
      <c r="M274" s="2823"/>
      <c r="N274" s="2824"/>
      <c r="Q274" s="387"/>
    </row>
    <row r="275" spans="1:17" s="329" customFormat="1" ht="26.25" customHeight="1">
      <c r="A275" s="384"/>
      <c r="B275" s="259"/>
      <c r="C275" s="386"/>
      <c r="D275" s="388" t="s">
        <v>410</v>
      </c>
      <c r="E275" s="388" t="s">
        <v>165</v>
      </c>
      <c r="F275" s="368">
        <f>(681)*1.15</f>
        <v>783.15</v>
      </c>
      <c r="G275" s="367"/>
      <c r="H275" s="368">
        <f t="shared" si="8"/>
        <v>0</v>
      </c>
      <c r="I275" s="265"/>
      <c r="J275" s="2822"/>
      <c r="K275" s="218"/>
      <c r="L275" s="2825"/>
      <c r="M275" s="2823"/>
      <c r="N275" s="2824"/>
    </row>
    <row r="276" spans="1:17" s="329" customFormat="1" ht="27" customHeight="1">
      <c r="A276" s="384"/>
      <c r="B276" s="259"/>
      <c r="C276" s="260"/>
      <c r="D276" s="388" t="s">
        <v>411</v>
      </c>
      <c r="E276" s="388" t="s">
        <v>165</v>
      </c>
      <c r="F276" s="368">
        <f>(681)*1.15</f>
        <v>783.15</v>
      </c>
      <c r="G276" s="367"/>
      <c r="H276" s="368">
        <f t="shared" si="8"/>
        <v>0</v>
      </c>
      <c r="I276" s="265"/>
      <c r="J276" s="2822"/>
      <c r="K276" s="218"/>
      <c r="L276" s="2822"/>
      <c r="M276" s="2823"/>
      <c r="N276" s="2824"/>
    </row>
    <row r="277" spans="1:17" s="329" customFormat="1" ht="27" customHeight="1">
      <c r="A277" s="384"/>
      <c r="B277" s="259"/>
      <c r="C277" s="386"/>
      <c r="D277" s="388" t="s">
        <v>412</v>
      </c>
      <c r="E277" s="388" t="s">
        <v>147</v>
      </c>
      <c r="F277" s="368">
        <f>(681.5*0.18)*1.1</f>
        <v>134.93700000000001</v>
      </c>
      <c r="G277" s="367"/>
      <c r="H277" s="368">
        <f t="shared" si="8"/>
        <v>0</v>
      </c>
      <c r="I277" s="389"/>
      <c r="J277" s="2822"/>
      <c r="K277" s="218"/>
      <c r="L277" s="2822"/>
      <c r="M277" s="2823"/>
      <c r="N277" s="2824"/>
    </row>
    <row r="278" spans="1:17" s="329" customFormat="1" ht="27" customHeight="1">
      <c r="A278" s="384"/>
      <c r="B278" s="259"/>
      <c r="C278" s="386"/>
      <c r="D278" s="388" t="s">
        <v>413</v>
      </c>
      <c r="E278" s="388" t="s">
        <v>165</v>
      </c>
      <c r="F278" s="368">
        <f>(681.5)*1.1</f>
        <v>749.65000000000009</v>
      </c>
      <c r="G278" s="367"/>
      <c r="H278" s="368">
        <f t="shared" si="8"/>
        <v>0</v>
      </c>
      <c r="I278" s="389"/>
      <c r="J278" s="2822"/>
      <c r="K278" s="218"/>
      <c r="L278" s="2822"/>
      <c r="M278" s="2823"/>
      <c r="N278" s="2824"/>
    </row>
    <row r="279" spans="1:17" s="329" customFormat="1" ht="27" customHeight="1">
      <c r="A279" s="390"/>
      <c r="B279" s="272"/>
      <c r="C279" s="386"/>
      <c r="D279" s="279" t="s">
        <v>414</v>
      </c>
      <c r="E279" s="388" t="s">
        <v>165</v>
      </c>
      <c r="F279" s="368">
        <f xml:space="preserve"> (702.9)*1.1</f>
        <v>773.19</v>
      </c>
      <c r="G279" s="367"/>
      <c r="H279" s="368">
        <f t="shared" si="8"/>
        <v>0</v>
      </c>
      <c r="I279" s="213"/>
      <c r="J279" s="2822"/>
      <c r="K279" s="218"/>
      <c r="L279" s="2822"/>
      <c r="M279" s="2823"/>
      <c r="N279" s="2824"/>
    </row>
    <row r="280" spans="1:17" s="329" customFormat="1" ht="13.5" customHeight="1">
      <c r="A280" s="390"/>
      <c r="B280" s="272"/>
      <c r="C280" s="386"/>
      <c r="D280" s="279" t="s">
        <v>415</v>
      </c>
      <c r="E280" s="279" t="s">
        <v>178</v>
      </c>
      <c r="F280" s="368">
        <f>((681.5*0.4)/1000)*1.1</f>
        <v>0.29986000000000002</v>
      </c>
      <c r="G280" s="367"/>
      <c r="H280" s="368">
        <f t="shared" si="8"/>
        <v>0</v>
      </c>
      <c r="I280" s="213"/>
      <c r="J280" s="2822"/>
      <c r="K280" s="218"/>
      <c r="L280" s="2822"/>
      <c r="M280" s="2823"/>
      <c r="N280" s="2824"/>
    </row>
    <row r="281" spans="1:17" s="359" customFormat="1" ht="13.5" customHeight="1">
      <c r="A281" s="391"/>
      <c r="B281" s="259"/>
      <c r="C281" s="392"/>
      <c r="D281" s="262" t="s">
        <v>416</v>
      </c>
      <c r="E281" s="260"/>
      <c r="F281" s="564">
        <f>(690.5-9)</f>
        <v>681.5</v>
      </c>
      <c r="G281" s="365"/>
      <c r="H281" s="365"/>
      <c r="I281" s="393"/>
      <c r="J281" s="214"/>
      <c r="M281" s="329"/>
    </row>
    <row r="282" spans="1:17" s="359" customFormat="1" ht="13.5" customHeight="1">
      <c r="A282" s="391"/>
      <c r="B282" s="259"/>
      <c r="C282" s="392"/>
      <c r="D282" s="262" t="s">
        <v>417</v>
      </c>
      <c r="E282" s="260"/>
      <c r="F282" s="564"/>
      <c r="G282" s="365"/>
      <c r="H282" s="365"/>
      <c r="I282" s="393"/>
      <c r="J282" s="214"/>
      <c r="M282" s="329"/>
    </row>
    <row r="283" spans="1:17" s="359" customFormat="1" ht="27" customHeight="1">
      <c r="A283" s="391"/>
      <c r="B283" s="259"/>
      <c r="C283" s="392"/>
      <c r="D283" s="262" t="s">
        <v>418</v>
      </c>
      <c r="E283" s="260"/>
      <c r="F283" s="564"/>
      <c r="G283" s="365"/>
      <c r="H283" s="365"/>
      <c r="I283" s="393"/>
      <c r="J283" s="214"/>
      <c r="M283" s="329"/>
    </row>
    <row r="284" spans="1:17" s="329" customFormat="1" ht="39" customHeight="1">
      <c r="A284" s="384"/>
      <c r="B284" s="394"/>
      <c r="C284" s="395"/>
      <c r="D284" s="396" t="s">
        <v>419</v>
      </c>
      <c r="E284" s="395"/>
      <c r="F284" s="397"/>
      <c r="G284" s="397"/>
      <c r="H284" s="365"/>
      <c r="I284" s="213"/>
      <c r="J284" s="214"/>
    </row>
    <row r="285" spans="1:17" s="329" customFormat="1" ht="13.5" customHeight="1">
      <c r="A285" s="383">
        <v>70</v>
      </c>
      <c r="B285" s="259" t="s">
        <v>400</v>
      </c>
      <c r="C285" s="260" t="s">
        <v>401</v>
      </c>
      <c r="D285" s="260" t="s">
        <v>420</v>
      </c>
      <c r="E285" s="260" t="s">
        <v>165</v>
      </c>
      <c r="F285" s="365">
        <f>SUM(F296:F296)</f>
        <v>9</v>
      </c>
      <c r="G285" s="365">
        <f>SUM(H287:H295)/F285</f>
        <v>0</v>
      </c>
      <c r="H285" s="365">
        <f>F285*G285</f>
        <v>0</v>
      </c>
      <c r="I285" s="213" t="s">
        <v>112</v>
      </c>
      <c r="J285" s="2749"/>
    </row>
    <row r="286" spans="1:17" s="329" customFormat="1" ht="13.5" customHeight="1">
      <c r="A286" s="383"/>
      <c r="B286" s="259"/>
      <c r="C286" s="260"/>
      <c r="D286" s="262" t="s">
        <v>403</v>
      </c>
      <c r="E286" s="260"/>
      <c r="F286" s="368"/>
      <c r="G286" s="365"/>
      <c r="H286" s="365"/>
      <c r="I286" s="265"/>
      <c r="J286" s="2749"/>
    </row>
    <row r="287" spans="1:17" s="329" customFormat="1" ht="13.5" customHeight="1">
      <c r="A287" s="384"/>
      <c r="B287" s="259"/>
      <c r="C287" s="386"/>
      <c r="D287" s="279" t="s">
        <v>421</v>
      </c>
      <c r="E287" s="388" t="s">
        <v>165</v>
      </c>
      <c r="F287" s="368">
        <f>(9)*1.1</f>
        <v>9.9</v>
      </c>
      <c r="G287" s="367"/>
      <c r="H287" s="368">
        <f t="shared" ref="H287:H295" si="9">G287*F287</f>
        <v>0</v>
      </c>
      <c r="I287" s="265"/>
      <c r="J287" s="2822"/>
      <c r="K287" s="218"/>
      <c r="L287" s="2822"/>
      <c r="M287" s="2823"/>
      <c r="N287" s="2824"/>
      <c r="Q287" s="387"/>
    </row>
    <row r="288" spans="1:17" s="329" customFormat="1" ht="27" customHeight="1">
      <c r="A288" s="384"/>
      <c r="B288" s="259"/>
      <c r="C288" s="386"/>
      <c r="D288" s="262" t="s">
        <v>422</v>
      </c>
      <c r="E288" s="388" t="s">
        <v>165</v>
      </c>
      <c r="F288" s="368">
        <f>(9)*1.15</f>
        <v>10.35</v>
      </c>
      <c r="G288" s="367"/>
      <c r="H288" s="368">
        <f t="shared" si="9"/>
        <v>0</v>
      </c>
      <c r="I288" s="265"/>
      <c r="J288" s="2822"/>
      <c r="K288" s="218"/>
      <c r="L288" s="2822"/>
      <c r="M288" s="2823"/>
      <c r="N288" s="2824"/>
      <c r="Q288" s="387"/>
    </row>
    <row r="289" spans="1:17" s="329" customFormat="1" ht="13.5" customHeight="1">
      <c r="A289" s="384"/>
      <c r="B289" s="259"/>
      <c r="C289" s="386"/>
      <c r="D289" s="279" t="s">
        <v>423</v>
      </c>
      <c r="E289" s="388" t="s">
        <v>165</v>
      </c>
      <c r="F289" s="368">
        <f xml:space="preserve"> (9)*1.1</f>
        <v>9.9</v>
      </c>
      <c r="G289" s="367"/>
      <c r="H289" s="368">
        <f t="shared" si="9"/>
        <v>0</v>
      </c>
      <c r="I289" s="265"/>
      <c r="J289" s="2822"/>
      <c r="K289" s="218"/>
      <c r="L289" s="2822"/>
      <c r="M289" s="2823"/>
      <c r="N289" s="2824"/>
      <c r="Q289" s="387"/>
    </row>
    <row r="290" spans="1:17" s="329" customFormat="1" ht="26.25" customHeight="1">
      <c r="A290" s="384"/>
      <c r="B290" s="259"/>
      <c r="C290" s="386"/>
      <c r="D290" s="388" t="s">
        <v>424</v>
      </c>
      <c r="E290" s="388" t="s">
        <v>165</v>
      </c>
      <c r="F290" s="368">
        <f>(9.9)*1.15</f>
        <v>11.385</v>
      </c>
      <c r="G290" s="367"/>
      <c r="H290" s="368">
        <f t="shared" si="9"/>
        <v>0</v>
      </c>
      <c r="I290" s="265"/>
      <c r="J290" s="2822"/>
      <c r="K290" s="218"/>
      <c r="L290" s="2825"/>
      <c r="M290" s="2823"/>
      <c r="N290" s="2824"/>
    </row>
    <row r="291" spans="1:17" s="329" customFormat="1" ht="27" customHeight="1">
      <c r="A291" s="384"/>
      <c r="B291" s="259"/>
      <c r="C291" s="260"/>
      <c r="D291" s="388" t="s">
        <v>425</v>
      </c>
      <c r="E291" s="388" t="s">
        <v>165</v>
      </c>
      <c r="F291" s="368">
        <f>(9)*1.15</f>
        <v>10.35</v>
      </c>
      <c r="G291" s="367"/>
      <c r="H291" s="368">
        <f t="shared" si="9"/>
        <v>0</v>
      </c>
      <c r="I291" s="265"/>
      <c r="J291" s="2822"/>
      <c r="K291" s="218"/>
      <c r="L291" s="2822"/>
      <c r="M291" s="2823"/>
      <c r="N291" s="2824"/>
    </row>
    <row r="292" spans="1:17" s="329" customFormat="1" ht="27" customHeight="1">
      <c r="A292" s="384"/>
      <c r="B292" s="259"/>
      <c r="C292" s="386"/>
      <c r="D292" s="388" t="s">
        <v>426</v>
      </c>
      <c r="E292" s="388" t="s">
        <v>147</v>
      </c>
      <c r="F292" s="368">
        <f>(9*0.18)*1.1</f>
        <v>1.782</v>
      </c>
      <c r="G292" s="367"/>
      <c r="H292" s="368">
        <f t="shared" si="9"/>
        <v>0</v>
      </c>
      <c r="I292" s="389"/>
      <c r="J292" s="2822"/>
      <c r="K292" s="218"/>
      <c r="L292" s="2822"/>
      <c r="M292" s="2823"/>
      <c r="N292" s="2824"/>
    </row>
    <row r="293" spans="1:17" s="329" customFormat="1" ht="27" customHeight="1">
      <c r="A293" s="384"/>
      <c r="B293" s="259"/>
      <c r="C293" s="386"/>
      <c r="D293" s="388" t="s">
        <v>427</v>
      </c>
      <c r="E293" s="388" t="s">
        <v>165</v>
      </c>
      <c r="F293" s="368">
        <f>(9)*1.1</f>
        <v>9.9</v>
      </c>
      <c r="G293" s="367"/>
      <c r="H293" s="368">
        <f t="shared" si="9"/>
        <v>0</v>
      </c>
      <c r="I293" s="389"/>
      <c r="J293" s="2822"/>
      <c r="K293" s="218"/>
      <c r="L293" s="2822"/>
      <c r="M293" s="2823"/>
      <c r="N293" s="2824"/>
    </row>
    <row r="294" spans="1:17" s="329" customFormat="1" ht="27" customHeight="1">
      <c r="A294" s="390"/>
      <c r="B294" s="272"/>
      <c r="C294" s="386"/>
      <c r="D294" s="279" t="s">
        <v>428</v>
      </c>
      <c r="E294" s="388" t="s">
        <v>165</v>
      </c>
      <c r="F294" s="368">
        <f>(9)*1.1</f>
        <v>9.9</v>
      </c>
      <c r="G294" s="367"/>
      <c r="H294" s="368">
        <f t="shared" si="9"/>
        <v>0</v>
      </c>
      <c r="I294" s="213"/>
      <c r="J294" s="2822"/>
      <c r="K294" s="218"/>
      <c r="L294" s="2822"/>
      <c r="M294" s="2823"/>
      <c r="N294" s="2824"/>
    </row>
    <row r="295" spans="1:17" s="329" customFormat="1" ht="13.5" customHeight="1">
      <c r="A295" s="390"/>
      <c r="B295" s="272"/>
      <c r="C295" s="386"/>
      <c r="D295" s="279" t="s">
        <v>429</v>
      </c>
      <c r="E295" s="279" t="s">
        <v>178</v>
      </c>
      <c r="F295" s="368">
        <f>((9*0.4)/1000)*1.1</f>
        <v>3.96E-3</v>
      </c>
      <c r="G295" s="367"/>
      <c r="H295" s="368">
        <f t="shared" si="9"/>
        <v>0</v>
      </c>
      <c r="I295" s="213"/>
      <c r="J295" s="2822"/>
      <c r="K295" s="218"/>
      <c r="L295" s="2822"/>
      <c r="M295" s="2823"/>
      <c r="N295" s="2824"/>
    </row>
    <row r="296" spans="1:17" s="359" customFormat="1" ht="13.5" customHeight="1">
      <c r="A296" s="391"/>
      <c r="B296" s="259"/>
      <c r="C296" s="392"/>
      <c r="D296" s="262" t="s">
        <v>430</v>
      </c>
      <c r="E296" s="260"/>
      <c r="F296" s="564">
        <v>9</v>
      </c>
      <c r="G296" s="365"/>
      <c r="H296" s="365"/>
      <c r="I296" s="393"/>
      <c r="J296" s="214"/>
      <c r="M296" s="329"/>
    </row>
    <row r="297" spans="1:17" s="359" customFormat="1" ht="13.5" customHeight="1">
      <c r="A297" s="391"/>
      <c r="B297" s="259"/>
      <c r="C297" s="392"/>
      <c r="D297" s="262" t="s">
        <v>417</v>
      </c>
      <c r="E297" s="260"/>
      <c r="F297" s="564"/>
      <c r="G297" s="365"/>
      <c r="H297" s="365"/>
      <c r="I297" s="393"/>
      <c r="J297" s="214"/>
      <c r="M297" s="329"/>
    </row>
    <row r="298" spans="1:17" s="359" customFormat="1" ht="27" customHeight="1">
      <c r="A298" s="391"/>
      <c r="B298" s="259"/>
      <c r="C298" s="392"/>
      <c r="D298" s="262" t="s">
        <v>418</v>
      </c>
      <c r="E298" s="260"/>
      <c r="F298" s="564"/>
      <c r="G298" s="365"/>
      <c r="H298" s="365"/>
      <c r="I298" s="393"/>
      <c r="J298" s="214"/>
      <c r="M298" s="329"/>
    </row>
    <row r="299" spans="1:17" s="329" customFormat="1" ht="39" customHeight="1">
      <c r="A299" s="384"/>
      <c r="B299" s="394"/>
      <c r="C299" s="395"/>
      <c r="D299" s="396" t="s">
        <v>419</v>
      </c>
      <c r="E299" s="395"/>
      <c r="F299" s="397"/>
      <c r="G299" s="397"/>
      <c r="H299" s="365"/>
      <c r="I299" s="213"/>
      <c r="J299" s="214"/>
    </row>
    <row r="300" spans="1:17" s="329" customFormat="1" ht="13.5" customHeight="1">
      <c r="A300" s="2706">
        <v>71</v>
      </c>
      <c r="B300" s="259" t="s">
        <v>400</v>
      </c>
      <c r="C300" s="260" t="s">
        <v>431</v>
      </c>
      <c r="D300" s="260" t="s">
        <v>432</v>
      </c>
      <c r="E300" s="260" t="s">
        <v>165</v>
      </c>
      <c r="F300" s="365">
        <f>SUM(F312:F312)</f>
        <v>63.6</v>
      </c>
      <c r="G300" s="365">
        <f>SUM(H302:H311)/F300</f>
        <v>0</v>
      </c>
      <c r="H300" s="365">
        <f>F300*G300</f>
        <v>0</v>
      </c>
      <c r="I300" s="213" t="s">
        <v>112</v>
      </c>
      <c r="J300" s="2749"/>
    </row>
    <row r="301" spans="1:17" s="329" customFormat="1" ht="13.5" customHeight="1">
      <c r="A301" s="383"/>
      <c r="B301" s="259"/>
      <c r="C301" s="260"/>
      <c r="D301" s="262" t="s">
        <v>403</v>
      </c>
      <c r="E301" s="260"/>
      <c r="F301" s="368"/>
      <c r="G301" s="365"/>
      <c r="H301" s="365"/>
      <c r="I301" s="265"/>
      <c r="J301" s="2749"/>
    </row>
    <row r="302" spans="1:17" s="329" customFormat="1" ht="13.5" customHeight="1">
      <c r="A302" s="384"/>
      <c r="B302" s="259"/>
      <c r="C302" s="313"/>
      <c r="D302" s="262" t="s">
        <v>433</v>
      </c>
      <c r="E302" s="385" t="s">
        <v>165</v>
      </c>
      <c r="F302" s="368">
        <f>(63.6)*0.1*1.55*1.05</f>
        <v>10.350900000000001</v>
      </c>
      <c r="G302" s="367"/>
      <c r="H302" s="368">
        <f t="shared" ref="H302:H311" si="10">G302*F302</f>
        <v>0</v>
      </c>
      <c r="I302" s="265"/>
      <c r="J302" s="2822"/>
      <c r="K302" s="218"/>
      <c r="L302" s="2822"/>
      <c r="M302" s="2823"/>
      <c r="N302" s="2824"/>
    </row>
    <row r="303" spans="1:17" s="329" customFormat="1" ht="27" customHeight="1">
      <c r="A303" s="384"/>
      <c r="B303" s="259"/>
      <c r="C303" s="386"/>
      <c r="D303" s="262" t="s">
        <v>434</v>
      </c>
      <c r="E303" s="385" t="s">
        <v>165</v>
      </c>
      <c r="F303" s="368">
        <f xml:space="preserve"> (63.6)*1.15</f>
        <v>73.14</v>
      </c>
      <c r="G303" s="367"/>
      <c r="H303" s="368">
        <f t="shared" si="10"/>
        <v>0</v>
      </c>
      <c r="I303" s="265"/>
      <c r="J303" s="2822"/>
      <c r="K303" s="218"/>
      <c r="L303" s="2822"/>
      <c r="M303" s="2823"/>
      <c r="N303" s="2824"/>
      <c r="Q303" s="387"/>
    </row>
    <row r="304" spans="1:17" s="329" customFormat="1" ht="13.5" customHeight="1">
      <c r="A304" s="384"/>
      <c r="B304" s="259"/>
      <c r="C304" s="386"/>
      <c r="D304" s="279" t="s">
        <v>435</v>
      </c>
      <c r="E304" s="388" t="s">
        <v>165</v>
      </c>
      <c r="F304" s="368">
        <f>(63.6)*1.1</f>
        <v>69.960000000000008</v>
      </c>
      <c r="G304" s="367"/>
      <c r="H304" s="368">
        <f t="shared" si="10"/>
        <v>0</v>
      </c>
      <c r="I304" s="265"/>
      <c r="J304" s="2822"/>
      <c r="K304" s="218"/>
      <c r="L304" s="2822"/>
      <c r="M304" s="2823"/>
      <c r="N304" s="2824"/>
      <c r="Q304" s="387"/>
    </row>
    <row r="305" spans="1:17" s="329" customFormat="1" ht="27" customHeight="1">
      <c r="A305" s="384"/>
      <c r="B305" s="259"/>
      <c r="C305" s="386"/>
      <c r="D305" s="262" t="s">
        <v>436</v>
      </c>
      <c r="E305" s="388" t="s">
        <v>165</v>
      </c>
      <c r="F305" s="368">
        <f xml:space="preserve"> (63.6)*1.15</f>
        <v>73.14</v>
      </c>
      <c r="G305" s="367"/>
      <c r="H305" s="368">
        <f t="shared" si="10"/>
        <v>0</v>
      </c>
      <c r="I305" s="265"/>
      <c r="J305" s="2822"/>
      <c r="K305" s="218"/>
      <c r="L305" s="2822"/>
      <c r="M305" s="2823"/>
      <c r="N305" s="2824"/>
      <c r="Q305" s="387"/>
    </row>
    <row r="306" spans="1:17" s="329" customFormat="1" ht="26.25" customHeight="1">
      <c r="A306" s="384"/>
      <c r="B306" s="259"/>
      <c r="C306" s="386"/>
      <c r="D306" s="388" t="s">
        <v>437</v>
      </c>
      <c r="E306" s="388" t="s">
        <v>165</v>
      </c>
      <c r="F306" s="368">
        <f xml:space="preserve"> (63.6)*1.15</f>
        <v>73.14</v>
      </c>
      <c r="G306" s="367"/>
      <c r="H306" s="368">
        <f t="shared" si="10"/>
        <v>0</v>
      </c>
      <c r="I306" s="265"/>
      <c r="J306" s="2822"/>
      <c r="K306" s="218"/>
      <c r="L306" s="2825"/>
      <c r="M306" s="2823"/>
      <c r="N306" s="2824"/>
    </row>
    <row r="307" spans="1:17" s="329" customFormat="1" ht="27" customHeight="1">
      <c r="A307" s="384"/>
      <c r="B307" s="259"/>
      <c r="C307" s="260"/>
      <c r="D307" s="388" t="s">
        <v>438</v>
      </c>
      <c r="E307" s="388" t="s">
        <v>165</v>
      </c>
      <c r="F307" s="368">
        <f xml:space="preserve"> (63.6)*1.15</f>
        <v>73.14</v>
      </c>
      <c r="G307" s="367"/>
      <c r="H307" s="368">
        <f t="shared" si="10"/>
        <v>0</v>
      </c>
      <c r="I307" s="265"/>
      <c r="J307" s="2822"/>
      <c r="K307" s="218"/>
      <c r="L307" s="2822"/>
      <c r="M307" s="2823"/>
      <c r="N307" s="2824"/>
    </row>
    <row r="308" spans="1:17" s="329" customFormat="1" ht="27" customHeight="1">
      <c r="A308" s="384"/>
      <c r="B308" s="259"/>
      <c r="C308" s="386"/>
      <c r="D308" s="388" t="s">
        <v>439</v>
      </c>
      <c r="E308" s="388" t="s">
        <v>147</v>
      </c>
      <c r="F308" s="368">
        <f>(63.6*0.18)*1.1</f>
        <v>12.592800000000002</v>
      </c>
      <c r="G308" s="367"/>
      <c r="H308" s="368">
        <f t="shared" si="10"/>
        <v>0</v>
      </c>
      <c r="I308" s="389"/>
      <c r="J308" s="2822"/>
      <c r="K308" s="218"/>
      <c r="L308" s="2822"/>
      <c r="M308" s="2823"/>
      <c r="N308" s="2824"/>
    </row>
    <row r="309" spans="1:17" s="329" customFormat="1" ht="27" customHeight="1">
      <c r="A309" s="384"/>
      <c r="B309" s="259"/>
      <c r="C309" s="386"/>
      <c r="D309" s="388" t="s">
        <v>440</v>
      </c>
      <c r="E309" s="388" t="s">
        <v>165</v>
      </c>
      <c r="F309" s="368">
        <f>(63.6)*1.1</f>
        <v>69.960000000000008</v>
      </c>
      <c r="G309" s="367"/>
      <c r="H309" s="368">
        <f t="shared" si="10"/>
        <v>0</v>
      </c>
      <c r="I309" s="389"/>
      <c r="J309" s="2822"/>
      <c r="K309" s="218"/>
      <c r="L309" s="2822"/>
      <c r="M309" s="2823"/>
      <c r="N309" s="2824"/>
    </row>
    <row r="310" spans="1:17" s="329" customFormat="1" ht="27" customHeight="1">
      <c r="A310" s="390"/>
      <c r="B310" s="272"/>
      <c r="C310" s="386"/>
      <c r="D310" s="279" t="s">
        <v>441</v>
      </c>
      <c r="E310" s="388" t="s">
        <v>165</v>
      </c>
      <c r="F310" s="368">
        <f>(63.6)*1.1</f>
        <v>69.960000000000008</v>
      </c>
      <c r="G310" s="367"/>
      <c r="H310" s="368">
        <f t="shared" si="10"/>
        <v>0</v>
      </c>
      <c r="I310" s="213"/>
      <c r="J310" s="2822"/>
      <c r="K310" s="218"/>
      <c r="L310" s="2822"/>
      <c r="M310" s="2823"/>
      <c r="N310" s="2824"/>
    </row>
    <row r="311" spans="1:17" s="329" customFormat="1" ht="13.5" customHeight="1">
      <c r="A311" s="390"/>
      <c r="B311" s="272"/>
      <c r="C311" s="386"/>
      <c r="D311" s="279" t="s">
        <v>442</v>
      </c>
      <c r="E311" s="279" t="s">
        <v>178</v>
      </c>
      <c r="F311" s="368">
        <f>((63.6*0.4)/1000)*1.1</f>
        <v>2.7984000000000002E-2</v>
      </c>
      <c r="G311" s="367"/>
      <c r="H311" s="368">
        <f t="shared" si="10"/>
        <v>0</v>
      </c>
      <c r="I311" s="213"/>
      <c r="J311" s="2822"/>
      <c r="K311" s="218"/>
      <c r="L311" s="2822"/>
      <c r="M311" s="2823"/>
      <c r="N311" s="2824"/>
    </row>
    <row r="312" spans="1:17" s="359" customFormat="1" ht="13.5" customHeight="1">
      <c r="A312" s="391"/>
      <c r="B312" s="259"/>
      <c r="C312" s="392"/>
      <c r="D312" s="262" t="s">
        <v>443</v>
      </c>
      <c r="E312" s="260"/>
      <c r="F312" s="564">
        <v>63.6</v>
      </c>
      <c r="G312" s="365"/>
      <c r="H312" s="365"/>
      <c r="I312" s="393"/>
      <c r="J312" s="214"/>
      <c r="M312" s="329"/>
    </row>
    <row r="313" spans="1:17" s="359" customFormat="1" ht="13.5" customHeight="1">
      <c r="A313" s="391"/>
      <c r="B313" s="259"/>
      <c r="C313" s="392"/>
      <c r="D313" s="262" t="s">
        <v>417</v>
      </c>
      <c r="E313" s="260"/>
      <c r="F313" s="564"/>
      <c r="G313" s="365"/>
      <c r="H313" s="365"/>
      <c r="I313" s="393"/>
      <c r="J313" s="214"/>
      <c r="M313" s="329"/>
    </row>
    <row r="314" spans="1:17" s="359" customFormat="1" ht="27" customHeight="1">
      <c r="A314" s="391"/>
      <c r="B314" s="259"/>
      <c r="C314" s="392"/>
      <c r="D314" s="262" t="s">
        <v>418</v>
      </c>
      <c r="E314" s="260"/>
      <c r="F314" s="564"/>
      <c r="G314" s="365"/>
      <c r="H314" s="365"/>
      <c r="I314" s="393"/>
      <c r="J314" s="214"/>
      <c r="M314" s="329"/>
    </row>
    <row r="315" spans="1:17" s="329" customFormat="1" ht="39" customHeight="1">
      <c r="A315" s="384"/>
      <c r="B315" s="394"/>
      <c r="C315" s="395"/>
      <c r="D315" s="396" t="s">
        <v>419</v>
      </c>
      <c r="E315" s="395"/>
      <c r="F315" s="397"/>
      <c r="G315" s="397"/>
      <c r="H315" s="365"/>
      <c r="I315" s="213"/>
      <c r="J315" s="214"/>
    </row>
    <row r="316" spans="1:17" s="329" customFormat="1" ht="13.5" customHeight="1">
      <c r="A316" s="2706">
        <v>72</v>
      </c>
      <c r="B316" s="259" t="s">
        <v>400</v>
      </c>
      <c r="C316" s="260" t="s">
        <v>444</v>
      </c>
      <c r="D316" s="260" t="s">
        <v>445</v>
      </c>
      <c r="E316" s="260" t="s">
        <v>165</v>
      </c>
      <c r="F316" s="365">
        <f>SUM(F328:F328)</f>
        <v>96.6</v>
      </c>
      <c r="G316" s="365">
        <f>SUM(H318:H327)/F316</f>
        <v>0</v>
      </c>
      <c r="H316" s="365">
        <f>F316*G316</f>
        <v>0</v>
      </c>
      <c r="I316" s="213" t="s">
        <v>112</v>
      </c>
      <c r="J316" s="2749"/>
    </row>
    <row r="317" spans="1:17" s="329" customFormat="1" ht="13.5" customHeight="1">
      <c r="A317" s="383"/>
      <c r="B317" s="259"/>
      <c r="C317" s="260"/>
      <c r="D317" s="262" t="s">
        <v>403</v>
      </c>
      <c r="E317" s="260"/>
      <c r="F317" s="368"/>
      <c r="G317" s="365"/>
      <c r="H317" s="365"/>
      <c r="I317" s="265"/>
      <c r="J317" s="2749"/>
    </row>
    <row r="318" spans="1:17" s="329" customFormat="1" ht="13.5" customHeight="1">
      <c r="A318" s="384"/>
      <c r="B318" s="259"/>
      <c r="C318" s="313"/>
      <c r="D318" s="262" t="s">
        <v>446</v>
      </c>
      <c r="E318" s="385" t="s">
        <v>165</v>
      </c>
      <c r="F318" s="368">
        <f>(96.6)*0.1*1.55*1.05</f>
        <v>15.721650000000002</v>
      </c>
      <c r="G318" s="367"/>
      <c r="H318" s="368">
        <f t="shared" ref="H318:H327" si="11">G318*F318</f>
        <v>0</v>
      </c>
      <c r="I318" s="265"/>
      <c r="J318" s="2822"/>
      <c r="K318" s="218"/>
      <c r="L318" s="2822"/>
      <c r="M318" s="2823"/>
      <c r="N318" s="2824"/>
    </row>
    <row r="319" spans="1:17" s="329" customFormat="1" ht="27" customHeight="1">
      <c r="A319" s="384"/>
      <c r="B319" s="259"/>
      <c r="C319" s="386"/>
      <c r="D319" s="262" t="s">
        <v>447</v>
      </c>
      <c r="E319" s="385" t="s">
        <v>165</v>
      </c>
      <c r="F319" s="368">
        <f>(96.6)*1.15</f>
        <v>111.08999999999999</v>
      </c>
      <c r="G319" s="367"/>
      <c r="H319" s="368">
        <f t="shared" si="11"/>
        <v>0</v>
      </c>
      <c r="I319" s="265"/>
      <c r="J319" s="2822"/>
      <c r="K319" s="218"/>
      <c r="L319" s="2822"/>
      <c r="M319" s="2823"/>
      <c r="N319" s="2824"/>
      <c r="Q319" s="387"/>
    </row>
    <row r="320" spans="1:17" s="329" customFormat="1" ht="13.5" customHeight="1">
      <c r="A320" s="384"/>
      <c r="B320" s="259"/>
      <c r="C320" s="386"/>
      <c r="D320" s="279" t="s">
        <v>448</v>
      </c>
      <c r="E320" s="388" t="s">
        <v>165</v>
      </c>
      <c r="F320" s="368">
        <f>(96.6)*1.1</f>
        <v>106.26</v>
      </c>
      <c r="G320" s="367"/>
      <c r="H320" s="368">
        <f t="shared" si="11"/>
        <v>0</v>
      </c>
      <c r="I320" s="265"/>
      <c r="J320" s="2822"/>
      <c r="K320" s="218"/>
      <c r="L320" s="2822"/>
      <c r="M320" s="2823"/>
      <c r="N320" s="2824"/>
      <c r="Q320" s="387"/>
    </row>
    <row r="321" spans="1:21" s="329" customFormat="1" ht="27" customHeight="1">
      <c r="A321" s="384"/>
      <c r="B321" s="259"/>
      <c r="C321" s="386"/>
      <c r="D321" s="262" t="s">
        <v>449</v>
      </c>
      <c r="E321" s="388" t="s">
        <v>165</v>
      </c>
      <c r="F321" s="368">
        <f>(96.6)*1.15</f>
        <v>111.08999999999999</v>
      </c>
      <c r="G321" s="367"/>
      <c r="H321" s="368">
        <f t="shared" si="11"/>
        <v>0</v>
      </c>
      <c r="I321" s="265"/>
      <c r="J321" s="2822"/>
      <c r="K321" s="218"/>
      <c r="L321" s="2822"/>
      <c r="M321" s="2823"/>
      <c r="N321" s="2824"/>
      <c r="Q321" s="387"/>
    </row>
    <row r="322" spans="1:21" s="329" customFormat="1" ht="26.25" customHeight="1">
      <c r="A322" s="384"/>
      <c r="B322" s="259"/>
      <c r="C322" s="386"/>
      <c r="D322" s="388" t="s">
        <v>450</v>
      </c>
      <c r="E322" s="388" t="s">
        <v>165</v>
      </c>
      <c r="F322" s="368">
        <f>(96.6)*1.15</f>
        <v>111.08999999999999</v>
      </c>
      <c r="G322" s="367"/>
      <c r="H322" s="368">
        <f t="shared" si="11"/>
        <v>0</v>
      </c>
      <c r="I322" s="265"/>
      <c r="J322" s="2822"/>
      <c r="K322" s="218"/>
      <c r="L322" s="2825"/>
      <c r="M322" s="2823"/>
      <c r="N322" s="2824"/>
    </row>
    <row r="323" spans="1:21" s="329" customFormat="1" ht="27" customHeight="1">
      <c r="A323" s="384"/>
      <c r="B323" s="259"/>
      <c r="C323" s="260"/>
      <c r="D323" s="388" t="s">
        <v>451</v>
      </c>
      <c r="E323" s="388" t="s">
        <v>165</v>
      </c>
      <c r="F323" s="368">
        <f>(96.6)*1.15</f>
        <v>111.08999999999999</v>
      </c>
      <c r="G323" s="367"/>
      <c r="H323" s="368">
        <f t="shared" si="11"/>
        <v>0</v>
      </c>
      <c r="I323" s="265"/>
      <c r="J323" s="2822"/>
      <c r="K323" s="218"/>
      <c r="L323" s="2822"/>
      <c r="M323" s="2823"/>
      <c r="N323" s="2824"/>
    </row>
    <row r="324" spans="1:21" s="329" customFormat="1" ht="27" customHeight="1">
      <c r="A324" s="384"/>
      <c r="B324" s="259"/>
      <c r="C324" s="386"/>
      <c r="D324" s="388" t="s">
        <v>452</v>
      </c>
      <c r="E324" s="388" t="s">
        <v>147</v>
      </c>
      <c r="F324" s="368">
        <f>(96.6*0.18)*1.1</f>
        <v>19.126799999999999</v>
      </c>
      <c r="G324" s="367"/>
      <c r="H324" s="368">
        <f t="shared" si="11"/>
        <v>0</v>
      </c>
      <c r="I324" s="389"/>
      <c r="J324" s="2822"/>
      <c r="K324" s="218"/>
      <c r="L324" s="2822"/>
      <c r="M324" s="2823"/>
      <c r="N324" s="2824"/>
    </row>
    <row r="325" spans="1:21" s="329" customFormat="1" ht="27" customHeight="1">
      <c r="A325" s="384"/>
      <c r="B325" s="259"/>
      <c r="C325" s="386"/>
      <c r="D325" s="388" t="s">
        <v>453</v>
      </c>
      <c r="E325" s="388" t="s">
        <v>165</v>
      </c>
      <c r="F325" s="368">
        <f>(96.6)*1.1</f>
        <v>106.26</v>
      </c>
      <c r="G325" s="367"/>
      <c r="H325" s="368">
        <f t="shared" si="11"/>
        <v>0</v>
      </c>
      <c r="I325" s="389"/>
      <c r="J325" s="2822"/>
      <c r="K325" s="218"/>
      <c r="L325" s="2822"/>
      <c r="M325" s="2823"/>
      <c r="N325" s="2824"/>
    </row>
    <row r="326" spans="1:21" s="329" customFormat="1" ht="27" customHeight="1">
      <c r="A326" s="390"/>
      <c r="B326" s="272"/>
      <c r="C326" s="386"/>
      <c r="D326" s="279" t="s">
        <v>454</v>
      </c>
      <c r="E326" s="388" t="s">
        <v>165</v>
      </c>
      <c r="F326" s="368">
        <f>(96.6)*1.1</f>
        <v>106.26</v>
      </c>
      <c r="G326" s="367"/>
      <c r="H326" s="368">
        <f t="shared" si="11"/>
        <v>0</v>
      </c>
      <c r="I326" s="213"/>
      <c r="J326" s="2822"/>
      <c r="K326" s="218"/>
      <c r="L326" s="2822"/>
      <c r="M326" s="2823"/>
      <c r="N326" s="2824"/>
    </row>
    <row r="327" spans="1:21" s="329" customFormat="1" ht="13.5" customHeight="1">
      <c r="A327" s="390"/>
      <c r="B327" s="272"/>
      <c r="C327" s="386"/>
      <c r="D327" s="279" t="s">
        <v>455</v>
      </c>
      <c r="E327" s="279" t="s">
        <v>178</v>
      </c>
      <c r="F327" s="368">
        <f>((96.6*0.4)/1000)*1.1</f>
        <v>4.2504000000000007E-2</v>
      </c>
      <c r="G327" s="367"/>
      <c r="H327" s="368">
        <f t="shared" si="11"/>
        <v>0</v>
      </c>
      <c r="I327" s="213"/>
      <c r="J327" s="2822"/>
      <c r="K327" s="218"/>
      <c r="L327" s="2822"/>
      <c r="M327" s="2823"/>
      <c r="N327" s="2824"/>
    </row>
    <row r="328" spans="1:21" s="359" customFormat="1" ht="13.5" customHeight="1">
      <c r="A328" s="391"/>
      <c r="B328" s="259"/>
      <c r="C328" s="392"/>
      <c r="D328" s="262" t="s">
        <v>456</v>
      </c>
      <c r="E328" s="260"/>
      <c r="F328" s="564">
        <v>96.6</v>
      </c>
      <c r="G328" s="365"/>
      <c r="H328" s="365"/>
      <c r="I328" s="393"/>
      <c r="J328" s="214"/>
      <c r="M328" s="329"/>
    </row>
    <row r="329" spans="1:21" s="359" customFormat="1" ht="13.5" customHeight="1">
      <c r="A329" s="391"/>
      <c r="B329" s="259"/>
      <c r="C329" s="392"/>
      <c r="D329" s="262" t="s">
        <v>417</v>
      </c>
      <c r="E329" s="260"/>
      <c r="F329" s="564"/>
      <c r="G329" s="365"/>
      <c r="H329" s="365"/>
      <c r="I329" s="393"/>
      <c r="J329" s="214"/>
      <c r="M329" s="329"/>
    </row>
    <row r="330" spans="1:21" s="359" customFormat="1" ht="27" customHeight="1">
      <c r="A330" s="391"/>
      <c r="B330" s="259"/>
      <c r="C330" s="392"/>
      <c r="D330" s="262" t="s">
        <v>418</v>
      </c>
      <c r="E330" s="260"/>
      <c r="F330" s="564"/>
      <c r="G330" s="365"/>
      <c r="H330" s="365"/>
      <c r="I330" s="393"/>
      <c r="J330" s="214"/>
      <c r="M330" s="329"/>
    </row>
    <row r="331" spans="1:21" s="329" customFormat="1" ht="39" customHeight="1">
      <c r="A331" s="384"/>
      <c r="B331" s="394"/>
      <c r="C331" s="395"/>
      <c r="D331" s="396" t="s">
        <v>419</v>
      </c>
      <c r="E331" s="395"/>
      <c r="F331" s="397"/>
      <c r="G331" s="397"/>
      <c r="H331" s="365"/>
      <c r="I331" s="213"/>
      <c r="J331" s="214"/>
    </row>
    <row r="332" spans="1:21" s="329" customFormat="1" ht="13.5" customHeight="1">
      <c r="A332" s="383">
        <v>73</v>
      </c>
      <c r="B332" s="259" t="s">
        <v>400</v>
      </c>
      <c r="C332" s="260" t="s">
        <v>457</v>
      </c>
      <c r="D332" s="260" t="s">
        <v>458</v>
      </c>
      <c r="E332" s="260" t="s">
        <v>165</v>
      </c>
      <c r="F332" s="365">
        <f>SUM(F345:F345)</f>
        <v>8.9</v>
      </c>
      <c r="G332" s="365">
        <f>SUM(H334:H344)/F332</f>
        <v>0</v>
      </c>
      <c r="H332" s="365">
        <f>F332*G332</f>
        <v>0</v>
      </c>
      <c r="I332" s="213" t="s">
        <v>112</v>
      </c>
      <c r="J332" s="2749"/>
    </row>
    <row r="333" spans="1:21" s="329" customFormat="1" ht="13.5" customHeight="1">
      <c r="A333" s="383"/>
      <c r="B333" s="259"/>
      <c r="C333" s="260"/>
      <c r="D333" s="262" t="s">
        <v>403</v>
      </c>
      <c r="E333" s="260"/>
      <c r="F333" s="368"/>
      <c r="G333" s="365"/>
      <c r="H333" s="365"/>
      <c r="I333" s="265"/>
      <c r="J333" s="2749"/>
    </row>
    <row r="334" spans="1:21" s="329" customFormat="1" ht="27" customHeight="1">
      <c r="A334" s="384"/>
      <c r="B334" s="259"/>
      <c r="C334" s="313"/>
      <c r="D334" s="262" t="s">
        <v>459</v>
      </c>
      <c r="E334" s="388" t="s">
        <v>165</v>
      </c>
      <c r="F334" s="368">
        <f>(8.9)*1.1</f>
        <v>9.7900000000000009</v>
      </c>
      <c r="G334" s="367"/>
      <c r="H334" s="368">
        <f t="shared" ref="H334:H339" si="12">G334*F334</f>
        <v>0</v>
      </c>
      <c r="I334" s="265"/>
      <c r="J334" s="2822"/>
      <c r="K334" s="218"/>
      <c r="L334" s="2822"/>
      <c r="M334" s="2823"/>
      <c r="N334" s="2826"/>
      <c r="O334" s="3049"/>
      <c r="P334" s="3049"/>
      <c r="Q334" s="3049"/>
      <c r="R334" s="3049"/>
      <c r="S334" s="3049"/>
    </row>
    <row r="335" spans="1:21" s="398" customFormat="1" ht="40.5" customHeight="1">
      <c r="A335" s="384"/>
      <c r="B335" s="259"/>
      <c r="C335" s="386"/>
      <c r="D335" s="262" t="s">
        <v>460</v>
      </c>
      <c r="E335" s="388" t="s">
        <v>165</v>
      </c>
      <c r="F335" s="368">
        <f>(8.9)*1.1</f>
        <v>9.7900000000000009</v>
      </c>
      <c r="G335" s="367"/>
      <c r="H335" s="368">
        <f>F335*G335</f>
        <v>0</v>
      </c>
      <c r="I335" s="369"/>
      <c r="J335" s="2822"/>
      <c r="K335" s="218"/>
      <c r="L335" s="2827"/>
      <c r="M335" s="2823"/>
      <c r="N335" s="2826"/>
      <c r="O335" s="3050"/>
      <c r="P335" s="3050"/>
      <c r="Q335" s="3050"/>
      <c r="R335" s="3050"/>
      <c r="S335" s="3050"/>
      <c r="T335" s="3050"/>
      <c r="U335" s="3050"/>
    </row>
    <row r="336" spans="1:21" s="329" customFormat="1" ht="13.5" customHeight="1">
      <c r="A336" s="384"/>
      <c r="B336" s="259"/>
      <c r="C336" s="386"/>
      <c r="D336" s="262" t="s">
        <v>461</v>
      </c>
      <c r="E336" s="388" t="s">
        <v>165</v>
      </c>
      <c r="F336" s="368">
        <f>(8.9)*1.1</f>
        <v>9.7900000000000009</v>
      </c>
      <c r="G336" s="399"/>
      <c r="H336" s="368">
        <f t="shared" si="12"/>
        <v>0</v>
      </c>
      <c r="I336" s="265"/>
      <c r="J336" s="2822"/>
      <c r="K336" s="218"/>
      <c r="L336" s="2822"/>
      <c r="M336" s="2826"/>
      <c r="N336" s="2826"/>
      <c r="Q336" s="387"/>
    </row>
    <row r="337" spans="1:17" s="329" customFormat="1" ht="13.5" customHeight="1">
      <c r="A337" s="384"/>
      <c r="B337" s="259"/>
      <c r="C337" s="386"/>
      <c r="D337" s="262" t="s">
        <v>462</v>
      </c>
      <c r="E337" s="388" t="s">
        <v>142</v>
      </c>
      <c r="F337" s="368">
        <f>(10)*1.1</f>
        <v>11</v>
      </c>
      <c r="G337" s="367"/>
      <c r="H337" s="368">
        <f t="shared" si="12"/>
        <v>0</v>
      </c>
      <c r="I337" s="265"/>
      <c r="J337" s="2822"/>
      <c r="K337" s="218"/>
      <c r="L337" s="2822"/>
      <c r="M337" s="2823"/>
      <c r="N337" s="2826"/>
      <c r="Q337" s="387"/>
    </row>
    <row r="338" spans="1:17" s="329" customFormat="1" ht="27" customHeight="1">
      <c r="A338" s="384"/>
      <c r="B338" s="259"/>
      <c r="C338" s="386"/>
      <c r="D338" s="388" t="s">
        <v>463</v>
      </c>
      <c r="E338" s="388" t="s">
        <v>147</v>
      </c>
      <c r="F338" s="368">
        <f>(8.9*0.06)*1.1</f>
        <v>0.58740000000000003</v>
      </c>
      <c r="G338" s="367"/>
      <c r="H338" s="368">
        <f t="shared" si="12"/>
        <v>0</v>
      </c>
      <c r="I338" s="389"/>
      <c r="J338" s="2822"/>
      <c r="K338" s="218"/>
      <c r="L338" s="2827"/>
      <c r="M338" s="2823"/>
      <c r="N338" s="2826"/>
    </row>
    <row r="339" spans="1:17" s="329" customFormat="1" ht="27" customHeight="1">
      <c r="A339" s="384"/>
      <c r="B339" s="259"/>
      <c r="C339" s="386"/>
      <c r="D339" s="388" t="s">
        <v>464</v>
      </c>
      <c r="E339" s="388" t="s">
        <v>165</v>
      </c>
      <c r="F339" s="368">
        <f>(8.9)*1.1</f>
        <v>9.7900000000000009</v>
      </c>
      <c r="G339" s="367"/>
      <c r="H339" s="368">
        <f t="shared" si="12"/>
        <v>0</v>
      </c>
      <c r="I339" s="389"/>
      <c r="J339" s="2822"/>
      <c r="K339" s="218"/>
      <c r="L339" s="2822"/>
      <c r="M339" s="2823"/>
      <c r="N339" s="2826"/>
    </row>
    <row r="340" spans="1:17" s="329" customFormat="1" ht="13.5" customHeight="1">
      <c r="A340" s="384"/>
      <c r="B340" s="259"/>
      <c r="C340" s="386"/>
      <c r="D340" s="262" t="s">
        <v>465</v>
      </c>
      <c r="E340" s="388"/>
      <c r="F340" s="368"/>
      <c r="G340" s="368"/>
      <c r="H340" s="368"/>
      <c r="I340" s="265"/>
      <c r="J340" s="2822"/>
      <c r="K340" s="218"/>
      <c r="L340" s="2822"/>
      <c r="M340" s="2823"/>
      <c r="N340" s="2826"/>
      <c r="Q340" s="387"/>
    </row>
    <row r="341" spans="1:17" s="329" customFormat="1" ht="27" customHeight="1">
      <c r="A341" s="384"/>
      <c r="B341" s="259"/>
      <c r="C341" s="386"/>
      <c r="D341" s="388" t="s">
        <v>466</v>
      </c>
      <c r="E341" s="388" t="s">
        <v>165</v>
      </c>
      <c r="F341" s="368">
        <f xml:space="preserve"> (8.9)*1.1</f>
        <v>9.7900000000000009</v>
      </c>
      <c r="G341" s="367"/>
      <c r="H341" s="368">
        <f t="shared" ref="H341" si="13">G341*F341</f>
        <v>0</v>
      </c>
      <c r="I341" s="389"/>
      <c r="J341" s="2822"/>
      <c r="K341" s="218"/>
      <c r="L341" s="2822"/>
      <c r="M341" s="2823"/>
      <c r="N341" s="2826"/>
    </row>
    <row r="342" spans="1:17" s="398" customFormat="1" ht="40.5" customHeight="1">
      <c r="A342" s="384"/>
      <c r="B342" s="259"/>
      <c r="C342" s="386"/>
      <c r="D342" s="262" t="s">
        <v>467</v>
      </c>
      <c r="E342" s="388" t="s">
        <v>165</v>
      </c>
      <c r="F342" s="368">
        <f xml:space="preserve"> (8.9)*1.15</f>
        <v>10.234999999999999</v>
      </c>
      <c r="G342" s="367"/>
      <c r="H342" s="368">
        <f>F342*G342</f>
        <v>0</v>
      </c>
      <c r="I342" s="369"/>
      <c r="J342" s="2822"/>
      <c r="K342" s="218"/>
      <c r="L342" s="2828"/>
      <c r="M342" s="2829"/>
      <c r="N342" s="2824"/>
      <c r="O342" s="2830"/>
      <c r="P342" s="2830"/>
      <c r="Q342" s="2830"/>
    </row>
    <row r="343" spans="1:17" s="398" customFormat="1" ht="40.5" customHeight="1">
      <c r="A343" s="384"/>
      <c r="B343" s="259"/>
      <c r="C343" s="386"/>
      <c r="D343" s="262" t="s">
        <v>468</v>
      </c>
      <c r="E343" s="388" t="s">
        <v>165</v>
      </c>
      <c r="F343" s="368">
        <f xml:space="preserve"> (8.9)*1.1</f>
        <v>9.7900000000000009</v>
      </c>
      <c r="G343" s="367"/>
      <c r="H343" s="368">
        <f>F343*G343</f>
        <v>0</v>
      </c>
      <c r="I343" s="369"/>
      <c r="J343" s="2822"/>
      <c r="K343" s="218"/>
      <c r="L343" s="2831"/>
      <c r="M343" s="2829"/>
      <c r="N343" s="2832"/>
      <c r="O343" s="2830"/>
      <c r="P343" s="2830"/>
      <c r="Q343" s="2830"/>
    </row>
    <row r="344" spans="1:17" s="398" customFormat="1" ht="40.5" customHeight="1">
      <c r="A344" s="384"/>
      <c r="B344" s="259"/>
      <c r="C344" s="400"/>
      <c r="D344" s="262" t="s">
        <v>469</v>
      </c>
      <c r="E344" s="388" t="s">
        <v>165</v>
      </c>
      <c r="F344" s="368">
        <f xml:space="preserve"> (8.9)*1.1</f>
        <v>9.7900000000000009</v>
      </c>
      <c r="G344" s="367"/>
      <c r="H344" s="368">
        <f>F344*G344</f>
        <v>0</v>
      </c>
      <c r="I344" s="401"/>
      <c r="J344" s="2822"/>
      <c r="K344" s="218"/>
      <c r="L344" s="2822"/>
      <c r="M344" s="2823"/>
      <c r="N344" s="2826"/>
    </row>
    <row r="345" spans="1:17" s="359" customFormat="1" ht="13.5" customHeight="1">
      <c r="A345" s="391"/>
      <c r="B345" s="259"/>
      <c r="C345" s="392"/>
      <c r="D345" s="388" t="s">
        <v>470</v>
      </c>
      <c r="E345" s="260"/>
      <c r="F345" s="564">
        <v>8.9</v>
      </c>
      <c r="G345" s="365"/>
      <c r="H345" s="365"/>
      <c r="I345" s="393"/>
      <c r="J345" s="214"/>
      <c r="M345" s="329"/>
    </row>
    <row r="346" spans="1:17" s="359" customFormat="1" ht="13.5" customHeight="1">
      <c r="A346" s="391"/>
      <c r="B346" s="259"/>
      <c r="C346" s="392"/>
      <c r="D346" s="262" t="s">
        <v>471</v>
      </c>
      <c r="E346" s="260"/>
      <c r="F346" s="564"/>
      <c r="G346" s="365"/>
      <c r="H346" s="365"/>
      <c r="I346" s="393"/>
      <c r="J346" s="214"/>
      <c r="M346" s="329"/>
    </row>
    <row r="347" spans="1:17" s="359" customFormat="1" ht="27" customHeight="1">
      <c r="A347" s="391"/>
      <c r="B347" s="259"/>
      <c r="C347" s="392"/>
      <c r="D347" s="262" t="s">
        <v>418</v>
      </c>
      <c r="E347" s="260"/>
      <c r="F347" s="564"/>
      <c r="G347" s="365"/>
      <c r="H347" s="365"/>
      <c r="I347" s="393"/>
      <c r="J347" s="214"/>
      <c r="M347" s="329"/>
    </row>
    <row r="348" spans="1:17" s="329" customFormat="1" ht="39" customHeight="1">
      <c r="A348" s="384"/>
      <c r="B348" s="394"/>
      <c r="C348" s="395"/>
      <c r="D348" s="396" t="s">
        <v>419</v>
      </c>
      <c r="E348" s="395"/>
      <c r="F348" s="397"/>
      <c r="G348" s="397"/>
      <c r="H348" s="365"/>
      <c r="I348" s="213"/>
      <c r="J348" s="214"/>
    </row>
    <row r="349" spans="1:17" s="329" customFormat="1" ht="13.5" customHeight="1">
      <c r="A349" s="151">
        <v>74</v>
      </c>
      <c r="B349" s="272" t="s">
        <v>400</v>
      </c>
      <c r="C349" s="152">
        <v>998712202</v>
      </c>
      <c r="D349" s="152" t="s">
        <v>472</v>
      </c>
      <c r="E349" s="152" t="s">
        <v>10</v>
      </c>
      <c r="F349" s="273">
        <v>1.73</v>
      </c>
      <c r="G349" s="273"/>
      <c r="H349" s="273">
        <f>F349*G349</f>
        <v>0</v>
      </c>
      <c r="I349" s="213" t="s">
        <v>138</v>
      </c>
      <c r="J349" s="2833"/>
      <c r="L349" s="2834"/>
    </row>
    <row r="350" spans="1:17" s="329" customFormat="1" ht="13.5" customHeight="1">
      <c r="A350" s="151">
        <v>75</v>
      </c>
      <c r="B350" s="272" t="s">
        <v>369</v>
      </c>
      <c r="C350" s="152" t="s">
        <v>395</v>
      </c>
      <c r="D350" s="152" t="s">
        <v>396</v>
      </c>
      <c r="E350" s="152" t="s">
        <v>69</v>
      </c>
      <c r="F350" s="273">
        <f>F351</f>
        <v>40</v>
      </c>
      <c r="G350" s="273"/>
      <c r="H350" s="273">
        <f>F350*G350</f>
        <v>0</v>
      </c>
      <c r="I350" s="213" t="s">
        <v>138</v>
      </c>
      <c r="J350" s="2817"/>
      <c r="L350" s="2834"/>
    </row>
    <row r="351" spans="1:17" s="407" customFormat="1" ht="13.5" customHeight="1">
      <c r="A351" s="402"/>
      <c r="B351" s="403"/>
      <c r="C351" s="404"/>
      <c r="D351" s="405" t="s">
        <v>473</v>
      </c>
      <c r="E351" s="404"/>
      <c r="F351" s="565">
        <v>40</v>
      </c>
      <c r="G351" s="579"/>
      <c r="H351" s="579"/>
      <c r="I351" s="406"/>
    </row>
    <row r="352" spans="1:17" s="407" customFormat="1" ht="13.5" customHeight="1">
      <c r="A352" s="402"/>
      <c r="B352" s="403"/>
      <c r="C352" s="404"/>
      <c r="D352" s="405" t="s">
        <v>474</v>
      </c>
      <c r="E352" s="404"/>
      <c r="F352" s="565"/>
      <c r="G352" s="579"/>
      <c r="H352" s="579"/>
      <c r="I352" s="406"/>
    </row>
    <row r="353" spans="1:21" s="329" customFormat="1" ht="13.5" customHeight="1">
      <c r="A353" s="253"/>
      <c r="B353" s="254"/>
      <c r="C353" s="255">
        <v>713</v>
      </c>
      <c r="D353" s="255" t="s">
        <v>475</v>
      </c>
      <c r="E353" s="255"/>
      <c r="F353" s="256"/>
      <c r="G353" s="256"/>
      <c r="H353" s="256">
        <f>SUM(H354:H356,H361:H365,H371:H375,H380:H384,H388:H392,H396:H400,H405:H409,H413:H418,H423:H427,H430:H435)</f>
        <v>0</v>
      </c>
      <c r="I353" s="350"/>
      <c r="J353" s="2749"/>
    </row>
    <row r="354" spans="1:21" s="398" customFormat="1" ht="27.75" customHeight="1">
      <c r="A354" s="2945">
        <v>76</v>
      </c>
      <c r="B354" s="259" t="s">
        <v>476</v>
      </c>
      <c r="C354" s="260" t="s">
        <v>477</v>
      </c>
      <c r="D354" s="260" t="s">
        <v>478</v>
      </c>
      <c r="E354" s="260" t="s">
        <v>165</v>
      </c>
      <c r="F354" s="365">
        <f>SUM(F361:F361)</f>
        <v>479.88000000000005</v>
      </c>
      <c r="G354" s="365">
        <f>SUM(H357:H360)/F354</f>
        <v>0</v>
      </c>
      <c r="H354" s="365">
        <f>F354*G354</f>
        <v>0</v>
      </c>
      <c r="I354" s="265" t="s">
        <v>112</v>
      </c>
      <c r="J354" s="276"/>
      <c r="K354" s="2835"/>
      <c r="L354" s="2836"/>
      <c r="M354" s="214"/>
    </row>
    <row r="355" spans="1:21" s="292" customFormat="1" ht="13.5" customHeight="1">
      <c r="A355" s="408"/>
      <c r="B355" s="262"/>
      <c r="C355" s="262"/>
      <c r="D355" s="262" t="s">
        <v>479</v>
      </c>
      <c r="E355" s="262"/>
      <c r="F355" s="368"/>
      <c r="G355" s="368"/>
      <c r="H355" s="368"/>
      <c r="I355" s="409"/>
      <c r="J355" s="276"/>
      <c r="K355" s="2837"/>
      <c r="L355" s="2836"/>
      <c r="M355" s="214"/>
      <c r="N355" s="398"/>
      <c r="O355" s="398"/>
      <c r="P355" s="398"/>
    </row>
    <row r="356" spans="1:21" s="214" customFormat="1" ht="13.5" customHeight="1">
      <c r="A356" s="383"/>
      <c r="B356" s="259"/>
      <c r="C356" s="410"/>
      <c r="D356" s="262" t="s">
        <v>403</v>
      </c>
      <c r="E356" s="260"/>
      <c r="F356" s="368"/>
      <c r="G356" s="365"/>
      <c r="H356" s="365"/>
      <c r="I356" s="265"/>
      <c r="J356" s="276"/>
      <c r="K356" s="2773"/>
      <c r="L356" s="2818"/>
      <c r="P356" s="2838"/>
    </row>
    <row r="357" spans="1:21" s="398" customFormat="1" ht="40.5" customHeight="1">
      <c r="A357" s="384"/>
      <c r="B357" s="259"/>
      <c r="C357" s="400"/>
      <c r="D357" s="262" t="s">
        <v>480</v>
      </c>
      <c r="E357" s="388" t="s">
        <v>165</v>
      </c>
      <c r="F357" s="368">
        <f>(479.88)*1.1</f>
        <v>527.86800000000005</v>
      </c>
      <c r="G357" s="367"/>
      <c r="H357" s="368">
        <f>F357*G357</f>
        <v>0</v>
      </c>
      <c r="I357" s="401"/>
      <c r="J357" s="2822"/>
      <c r="K357" s="218"/>
      <c r="L357" s="2822"/>
      <c r="M357" s="2823"/>
      <c r="N357" s="2824"/>
    </row>
    <row r="358" spans="1:21" s="398" customFormat="1" ht="40.5" customHeight="1">
      <c r="A358" s="384"/>
      <c r="B358" s="259"/>
      <c r="C358" s="386"/>
      <c r="D358" s="262" t="s">
        <v>481</v>
      </c>
      <c r="E358" s="388" t="s">
        <v>165</v>
      </c>
      <c r="F358" s="368">
        <f>(479.88)*1.1</f>
        <v>527.86800000000005</v>
      </c>
      <c r="G358" s="367"/>
      <c r="H358" s="368">
        <f>F358*G358</f>
        <v>0</v>
      </c>
      <c r="I358" s="369"/>
      <c r="J358" s="2822"/>
      <c r="K358" s="218"/>
      <c r="L358" s="2831"/>
      <c r="M358" s="2829"/>
      <c r="N358" s="2832"/>
      <c r="O358" s="2830"/>
      <c r="P358" s="2830"/>
      <c r="Q358" s="2830"/>
    </row>
    <row r="359" spans="1:21" s="398" customFormat="1" ht="40.5" customHeight="1">
      <c r="A359" s="384"/>
      <c r="B359" s="259"/>
      <c r="C359" s="386"/>
      <c r="D359" s="262" t="s">
        <v>482</v>
      </c>
      <c r="E359" s="388" t="s">
        <v>165</v>
      </c>
      <c r="F359" s="368">
        <f>(479.88)*1.15</f>
        <v>551.86199999999997</v>
      </c>
      <c r="G359" s="367"/>
      <c r="H359" s="368">
        <f>F359*G359</f>
        <v>0</v>
      </c>
      <c r="I359" s="369"/>
      <c r="J359" s="2822"/>
      <c r="K359" s="218"/>
      <c r="L359" s="2828"/>
      <c r="M359" s="2829"/>
      <c r="N359" s="2824"/>
      <c r="O359" s="2830"/>
      <c r="P359" s="2830"/>
      <c r="Q359" s="2830"/>
    </row>
    <row r="360" spans="1:21" s="398" customFormat="1" ht="27" customHeight="1">
      <c r="A360" s="384"/>
      <c r="B360" s="259"/>
      <c r="C360" s="386"/>
      <c r="D360" s="262" t="s">
        <v>483</v>
      </c>
      <c r="E360" s="388" t="s">
        <v>165</v>
      </c>
      <c r="F360" s="368">
        <f>(479.88)*1.1</f>
        <v>527.86800000000005</v>
      </c>
      <c r="G360" s="367"/>
      <c r="H360" s="368">
        <f>F360*G360</f>
        <v>0</v>
      </c>
      <c r="I360" s="411"/>
      <c r="J360" s="2822"/>
      <c r="K360" s="218"/>
      <c r="L360" s="2839"/>
      <c r="M360" s="2840"/>
      <c r="N360" s="2824"/>
      <c r="O360" s="2841"/>
      <c r="P360" s="2841"/>
      <c r="Q360" s="2841"/>
      <c r="R360" s="2841"/>
      <c r="S360" s="2841"/>
      <c r="T360" s="2841"/>
      <c r="U360" s="2841"/>
    </row>
    <row r="361" spans="1:21" s="398" customFormat="1" ht="13.5" customHeight="1">
      <c r="A361" s="391"/>
      <c r="B361" s="259"/>
      <c r="C361" s="392"/>
      <c r="D361" s="262" t="s">
        <v>484</v>
      </c>
      <c r="E361" s="260"/>
      <c r="F361" s="564">
        <f xml:space="preserve"> (129*3.72)</f>
        <v>479.88000000000005</v>
      </c>
      <c r="G361" s="365"/>
      <c r="H361" s="365"/>
      <c r="I361" s="409"/>
      <c r="J361" s="2842"/>
      <c r="K361" s="2836"/>
      <c r="L361" s="2836"/>
      <c r="M361" s="214"/>
    </row>
    <row r="362" spans="1:21" s="398" customFormat="1" ht="54" customHeight="1">
      <c r="A362" s="391"/>
      <c r="B362" s="259"/>
      <c r="C362" s="260"/>
      <c r="D362" s="412" t="s">
        <v>3842</v>
      </c>
      <c r="E362" s="260"/>
      <c r="F362" s="397"/>
      <c r="G362" s="365"/>
      <c r="H362" s="365"/>
      <c r="I362" s="413"/>
      <c r="J362" s="2843"/>
      <c r="K362" s="2836"/>
      <c r="L362" s="2836"/>
      <c r="M362" s="214"/>
    </row>
    <row r="363" spans="1:21" s="398" customFormat="1" ht="27.75" customHeight="1">
      <c r="A363" s="2945">
        <v>77</v>
      </c>
      <c r="B363" s="259" t="s">
        <v>476</v>
      </c>
      <c r="C363" s="260" t="s">
        <v>485</v>
      </c>
      <c r="D363" s="260" t="s">
        <v>486</v>
      </c>
      <c r="E363" s="260" t="s">
        <v>165</v>
      </c>
      <c r="F363" s="365">
        <f>SUM(F371:F371)</f>
        <v>483.75</v>
      </c>
      <c r="G363" s="365">
        <f>SUM(H366:H370)/F363</f>
        <v>0</v>
      </c>
      <c r="H363" s="365">
        <f>F363*G363</f>
        <v>0</v>
      </c>
      <c r="I363" s="265" t="s">
        <v>112</v>
      </c>
      <c r="J363" s="276"/>
      <c r="K363" s="2835"/>
      <c r="L363" s="2836"/>
      <c r="M363" s="214"/>
    </row>
    <row r="364" spans="1:21" s="292" customFormat="1" ht="13.5" customHeight="1">
      <c r="A364" s="408"/>
      <c r="B364" s="262"/>
      <c r="C364" s="262"/>
      <c r="D364" s="262" t="s">
        <v>479</v>
      </c>
      <c r="E364" s="262"/>
      <c r="F364" s="368"/>
      <c r="G364" s="368"/>
      <c r="H364" s="368"/>
      <c r="I364" s="409"/>
      <c r="J364" s="276"/>
      <c r="K364" s="2837"/>
      <c r="L364" s="2836"/>
      <c r="M364" s="214"/>
      <c r="N364" s="398"/>
      <c r="O364" s="398"/>
      <c r="P364" s="398"/>
    </row>
    <row r="365" spans="1:21" s="214" customFormat="1" ht="13.5" customHeight="1">
      <c r="A365" s="383"/>
      <c r="B365" s="259"/>
      <c r="C365" s="410"/>
      <c r="D365" s="262" t="s">
        <v>403</v>
      </c>
      <c r="E365" s="260"/>
      <c r="F365" s="368"/>
      <c r="G365" s="365"/>
      <c r="H365" s="365"/>
      <c r="I365" s="265"/>
      <c r="J365" s="276"/>
      <c r="K365" s="2773"/>
      <c r="L365" s="2818"/>
      <c r="P365" s="2838"/>
    </row>
    <row r="366" spans="1:21" s="398" customFormat="1" ht="40.5" customHeight="1">
      <c r="A366" s="384"/>
      <c r="B366" s="259"/>
      <c r="C366" s="400"/>
      <c r="D366" s="262" t="s">
        <v>487</v>
      </c>
      <c r="E366" s="388" t="s">
        <v>165</v>
      </c>
      <c r="F366" s="368">
        <f xml:space="preserve"> (483.75)*1.1</f>
        <v>532.125</v>
      </c>
      <c r="G366" s="367"/>
      <c r="H366" s="368">
        <f>F366*G366</f>
        <v>0</v>
      </c>
      <c r="I366" s="401"/>
      <c r="J366" s="2822"/>
      <c r="K366" s="218"/>
      <c r="L366" s="2822"/>
      <c r="M366" s="2823"/>
      <c r="N366" s="2824"/>
    </row>
    <row r="367" spans="1:21" s="398" customFormat="1" ht="40.5" customHeight="1">
      <c r="A367" s="384"/>
      <c r="B367" s="259"/>
      <c r="C367" s="386"/>
      <c r="D367" s="262" t="s">
        <v>488</v>
      </c>
      <c r="E367" s="388" t="s">
        <v>165</v>
      </c>
      <c r="F367" s="368">
        <f>(483.75)*1.1</f>
        <v>532.125</v>
      </c>
      <c r="G367" s="367"/>
      <c r="H367" s="368">
        <f>F367*G367</f>
        <v>0</v>
      </c>
      <c r="I367" s="369"/>
      <c r="J367" s="2822"/>
      <c r="K367" s="218"/>
      <c r="L367" s="2831"/>
      <c r="M367" s="2829"/>
      <c r="N367" s="2832"/>
      <c r="O367" s="2830"/>
      <c r="P367" s="2830"/>
      <c r="Q367" s="2830"/>
    </row>
    <row r="368" spans="1:21" s="398" customFormat="1" ht="40.5" customHeight="1">
      <c r="A368" s="384"/>
      <c r="B368" s="259"/>
      <c r="C368" s="386"/>
      <c r="D368" s="262" t="s">
        <v>489</v>
      </c>
      <c r="E368" s="388" t="s">
        <v>165</v>
      </c>
      <c r="F368" s="368">
        <f>(483.75)*1.15</f>
        <v>556.3125</v>
      </c>
      <c r="G368" s="367"/>
      <c r="H368" s="368">
        <f>F368*G368</f>
        <v>0</v>
      </c>
      <c r="I368" s="369"/>
      <c r="J368" s="2822"/>
      <c r="K368" s="218"/>
      <c r="L368" s="2828"/>
      <c r="M368" s="2829"/>
      <c r="N368" s="2824"/>
      <c r="O368" s="2830"/>
      <c r="P368" s="2830"/>
      <c r="Q368" s="2830"/>
    </row>
    <row r="369" spans="1:21" s="398" customFormat="1" ht="27" customHeight="1">
      <c r="A369" s="384"/>
      <c r="B369" s="259"/>
      <c r="C369" s="386"/>
      <c r="D369" s="262" t="s">
        <v>490</v>
      </c>
      <c r="E369" s="388" t="s">
        <v>165</v>
      </c>
      <c r="F369" s="368">
        <f>(483.75)*1.1</f>
        <v>532.125</v>
      </c>
      <c r="G369" s="367"/>
      <c r="H369" s="368">
        <f>F369*G369</f>
        <v>0</v>
      </c>
      <c r="I369" s="411"/>
      <c r="J369" s="2822"/>
      <c r="K369" s="218"/>
      <c r="L369" s="2839"/>
      <c r="M369" s="2840"/>
      <c r="N369" s="2824"/>
      <c r="O369" s="2841"/>
      <c r="P369" s="2841"/>
      <c r="Q369" s="2841"/>
      <c r="R369" s="2841"/>
      <c r="S369" s="2841"/>
      <c r="T369" s="2841"/>
      <c r="U369" s="2841"/>
    </row>
    <row r="370" spans="1:21" s="398" customFormat="1" ht="27" customHeight="1">
      <c r="A370" s="384"/>
      <c r="B370" s="259"/>
      <c r="C370" s="386"/>
      <c r="D370" s="262" t="s">
        <v>491</v>
      </c>
      <c r="E370" s="388" t="s">
        <v>165</v>
      </c>
      <c r="F370" s="368">
        <f>(483.75)*1.1</f>
        <v>532.125</v>
      </c>
      <c r="G370" s="367"/>
      <c r="H370" s="368">
        <f>F370*G370</f>
        <v>0</v>
      </c>
      <c r="I370" s="411"/>
      <c r="J370" s="2822"/>
      <c r="K370" s="218"/>
      <c r="L370" s="2839"/>
      <c r="M370" s="2840"/>
      <c r="N370" s="2824"/>
      <c r="O370" s="2841"/>
      <c r="P370" s="2841"/>
      <c r="Q370" s="2841"/>
      <c r="R370" s="2841"/>
      <c r="S370" s="2841"/>
      <c r="T370" s="2841"/>
      <c r="U370" s="2841"/>
    </row>
    <row r="371" spans="1:21" s="398" customFormat="1" ht="13.5" customHeight="1">
      <c r="A371" s="391"/>
      <c r="B371" s="259"/>
      <c r="C371" s="392"/>
      <c r="D371" s="262" t="s">
        <v>492</v>
      </c>
      <c r="E371" s="260"/>
      <c r="F371" s="564">
        <f xml:space="preserve"> (129*3.75)</f>
        <v>483.75</v>
      </c>
      <c r="G371" s="365"/>
      <c r="H371" s="365"/>
      <c r="I371" s="409"/>
      <c r="J371" s="2842"/>
      <c r="K371" s="2836"/>
      <c r="L371" s="2836"/>
      <c r="M371" s="214"/>
    </row>
    <row r="372" spans="1:21" s="398" customFormat="1" ht="54" customHeight="1">
      <c r="A372" s="391"/>
      <c r="B372" s="259"/>
      <c r="C372" s="260"/>
      <c r="D372" s="412" t="s">
        <v>3842</v>
      </c>
      <c r="E372" s="260"/>
      <c r="F372" s="397"/>
      <c r="G372" s="365"/>
      <c r="H372" s="365"/>
      <c r="I372" s="413"/>
      <c r="J372" s="2843"/>
      <c r="K372" s="2836"/>
      <c r="L372" s="2836"/>
      <c r="M372" s="214"/>
    </row>
    <row r="373" spans="1:21" s="398" customFormat="1" ht="27.75" customHeight="1">
      <c r="A373" s="2945">
        <v>78</v>
      </c>
      <c r="B373" s="259" t="s">
        <v>476</v>
      </c>
      <c r="C373" s="260" t="s">
        <v>493</v>
      </c>
      <c r="D373" s="260" t="s">
        <v>494</v>
      </c>
      <c r="E373" s="260" t="s">
        <v>165</v>
      </c>
      <c r="F373" s="365">
        <f>F380</f>
        <v>76.42</v>
      </c>
      <c r="G373" s="365">
        <f>SUM(H376:H379)/F373</f>
        <v>0</v>
      </c>
      <c r="H373" s="365">
        <f>F373*G373</f>
        <v>0</v>
      </c>
      <c r="I373" s="265" t="s">
        <v>112</v>
      </c>
      <c r="J373" s="276"/>
      <c r="K373" s="2835"/>
      <c r="L373" s="2836"/>
      <c r="M373" s="214"/>
    </row>
    <row r="374" spans="1:21" s="292" customFormat="1" ht="13.5" customHeight="1">
      <c r="A374" s="408"/>
      <c r="B374" s="262"/>
      <c r="C374" s="262"/>
      <c r="D374" s="262" t="s">
        <v>479</v>
      </c>
      <c r="E374" s="262"/>
      <c r="F374" s="368"/>
      <c r="G374" s="368"/>
      <c r="H374" s="368"/>
      <c r="I374" s="409"/>
      <c r="J374" s="276"/>
      <c r="K374" s="2837"/>
      <c r="L374" s="2836"/>
      <c r="M374" s="214"/>
      <c r="N374" s="398"/>
      <c r="O374" s="398"/>
      <c r="P374" s="398"/>
    </row>
    <row r="375" spans="1:21" s="214" customFormat="1" ht="13.5" customHeight="1">
      <c r="A375" s="383"/>
      <c r="B375" s="259"/>
      <c r="C375" s="410"/>
      <c r="D375" s="262" t="s">
        <v>403</v>
      </c>
      <c r="E375" s="260"/>
      <c r="F375" s="368"/>
      <c r="G375" s="365"/>
      <c r="H375" s="365"/>
      <c r="I375" s="265"/>
      <c r="J375" s="276"/>
      <c r="K375" s="2773"/>
      <c r="L375" s="2818"/>
      <c r="P375" s="2838"/>
    </row>
    <row r="376" spans="1:21" s="398" customFormat="1" ht="40.5" customHeight="1">
      <c r="A376" s="384"/>
      <c r="B376" s="259"/>
      <c r="C376" s="400"/>
      <c r="D376" s="262" t="s">
        <v>495</v>
      </c>
      <c r="E376" s="388" t="s">
        <v>165</v>
      </c>
      <c r="F376" s="368">
        <f xml:space="preserve"> (76.42)*1.1</f>
        <v>84.062000000000012</v>
      </c>
      <c r="G376" s="367"/>
      <c r="H376" s="368">
        <f>F376*G376</f>
        <v>0</v>
      </c>
      <c r="I376" s="401"/>
      <c r="J376" s="2822"/>
      <c r="K376" s="218"/>
      <c r="L376" s="2822"/>
      <c r="M376" s="2823"/>
      <c r="N376" s="2824"/>
    </row>
    <row r="377" spans="1:21" s="398" customFormat="1" ht="40.5" customHeight="1">
      <c r="A377" s="384"/>
      <c r="B377" s="259"/>
      <c r="C377" s="386"/>
      <c r="D377" s="262" t="s">
        <v>496</v>
      </c>
      <c r="E377" s="388" t="s">
        <v>165</v>
      </c>
      <c r="F377" s="368">
        <f xml:space="preserve"> (76.42)*1.1</f>
        <v>84.062000000000012</v>
      </c>
      <c r="G377" s="367"/>
      <c r="H377" s="368">
        <f>F377*G377</f>
        <v>0</v>
      </c>
      <c r="I377" s="369"/>
      <c r="J377" s="2822"/>
      <c r="K377" s="218"/>
      <c r="L377" s="2831"/>
      <c r="M377" s="2829"/>
      <c r="N377" s="2832"/>
      <c r="O377" s="2830"/>
      <c r="P377" s="2830"/>
      <c r="Q377" s="2830"/>
    </row>
    <row r="378" spans="1:21" s="398" customFormat="1" ht="40.5" customHeight="1">
      <c r="A378" s="384"/>
      <c r="B378" s="259"/>
      <c r="C378" s="386"/>
      <c r="D378" s="262" t="s">
        <v>497</v>
      </c>
      <c r="E378" s="388" t="s">
        <v>165</v>
      </c>
      <c r="F378" s="368">
        <f>(76.42)*1.15</f>
        <v>87.882999999999996</v>
      </c>
      <c r="G378" s="367"/>
      <c r="H378" s="368">
        <f>F378*G378</f>
        <v>0</v>
      </c>
      <c r="I378" s="369"/>
      <c r="J378" s="2822"/>
      <c r="K378" s="218"/>
      <c r="L378" s="2828"/>
      <c r="M378" s="2829"/>
      <c r="N378" s="2824"/>
      <c r="O378" s="2830"/>
      <c r="P378" s="2830"/>
      <c r="Q378" s="2830"/>
    </row>
    <row r="379" spans="1:21" s="398" customFormat="1" ht="27" customHeight="1">
      <c r="A379" s="384"/>
      <c r="B379" s="259"/>
      <c r="C379" s="386"/>
      <c r="D379" s="262" t="s">
        <v>498</v>
      </c>
      <c r="E379" s="388" t="s">
        <v>165</v>
      </c>
      <c r="F379" s="368">
        <f>(76.42)*1.1</f>
        <v>84.062000000000012</v>
      </c>
      <c r="G379" s="367"/>
      <c r="H379" s="368">
        <f>F379*G379</f>
        <v>0</v>
      </c>
      <c r="I379" s="411"/>
      <c r="J379" s="2822"/>
      <c r="K379" s="218"/>
      <c r="L379" s="2839"/>
      <c r="M379" s="2840"/>
      <c r="N379" s="2824"/>
      <c r="O379" s="2841"/>
      <c r="P379" s="2841"/>
      <c r="Q379" s="2841"/>
      <c r="R379" s="2841"/>
      <c r="S379" s="2841"/>
      <c r="T379" s="2841"/>
      <c r="U379" s="2841"/>
    </row>
    <row r="380" spans="1:21" s="398" customFormat="1" ht="13.5" customHeight="1">
      <c r="A380" s="391"/>
      <c r="B380" s="259"/>
      <c r="C380" s="392"/>
      <c r="D380" s="262" t="s">
        <v>499</v>
      </c>
      <c r="E380" s="260"/>
      <c r="F380" s="564">
        <f xml:space="preserve"> (76.42)</f>
        <v>76.42</v>
      </c>
      <c r="G380" s="365"/>
      <c r="H380" s="365"/>
      <c r="I380" s="409"/>
      <c r="J380" s="2842"/>
      <c r="K380" s="2836"/>
      <c r="L380" s="2836"/>
      <c r="M380" s="214"/>
    </row>
    <row r="381" spans="1:21" s="398" customFormat="1" ht="54" customHeight="1">
      <c r="A381" s="391"/>
      <c r="B381" s="259"/>
      <c r="C381" s="260"/>
      <c r="D381" s="412" t="s">
        <v>3842</v>
      </c>
      <c r="E381" s="260"/>
      <c r="F381" s="397"/>
      <c r="G381" s="365"/>
      <c r="H381" s="365"/>
      <c r="I381" s="413"/>
      <c r="J381" s="2843"/>
      <c r="K381" s="2836"/>
      <c r="L381" s="2836"/>
      <c r="M381" s="214"/>
    </row>
    <row r="382" spans="1:21" s="398" customFormat="1" ht="13.5" customHeight="1">
      <c r="A382" s="2945">
        <v>79</v>
      </c>
      <c r="B382" s="260">
        <v>713</v>
      </c>
      <c r="C382" s="260" t="s">
        <v>500</v>
      </c>
      <c r="D382" s="260" t="s">
        <v>501</v>
      </c>
      <c r="E382" s="260" t="s">
        <v>165</v>
      </c>
      <c r="F382" s="365">
        <f>F388</f>
        <v>72.349999999999994</v>
      </c>
      <c r="G382" s="365">
        <f>SUM(H385:H387)/F382</f>
        <v>0</v>
      </c>
      <c r="H382" s="365">
        <f>F382*G382</f>
        <v>0</v>
      </c>
      <c r="I382" s="265" t="s">
        <v>112</v>
      </c>
      <c r="J382" s="2844"/>
      <c r="K382" s="2845"/>
      <c r="L382" s="2845"/>
      <c r="M382" s="214"/>
      <c r="N382" s="2846"/>
    </row>
    <row r="383" spans="1:21" s="292" customFormat="1" ht="13.5" customHeight="1">
      <c r="A383" s="408"/>
      <c r="B383" s="262"/>
      <c r="C383" s="410"/>
      <c r="D383" s="262" t="s">
        <v>502</v>
      </c>
      <c r="E383" s="262"/>
      <c r="F383" s="368"/>
      <c r="G383" s="368"/>
      <c r="H383" s="368"/>
      <c r="I383" s="409"/>
      <c r="J383" s="276"/>
      <c r="K383" s="2837"/>
      <c r="L383" s="2836"/>
      <c r="M383" s="214"/>
      <c r="N383" s="398"/>
      <c r="O383" s="398"/>
      <c r="P383" s="398"/>
    </row>
    <row r="384" spans="1:21" s="292" customFormat="1" ht="13.5" customHeight="1">
      <c r="A384" s="408"/>
      <c r="B384" s="262"/>
      <c r="C384" s="410"/>
      <c r="D384" s="262" t="s">
        <v>403</v>
      </c>
      <c r="E384" s="262"/>
      <c r="F384" s="368"/>
      <c r="G384" s="368"/>
      <c r="H384" s="368"/>
      <c r="I384" s="409"/>
      <c r="J384" s="276"/>
      <c r="K384" s="2837"/>
      <c r="L384" s="2836"/>
      <c r="M384" s="214"/>
      <c r="N384" s="398"/>
      <c r="O384" s="398"/>
      <c r="P384" s="398"/>
    </row>
    <row r="385" spans="1:19" s="398" customFormat="1" ht="27" customHeight="1">
      <c r="A385" s="384"/>
      <c r="B385" s="259"/>
      <c r="C385" s="386"/>
      <c r="D385" s="262" t="s">
        <v>503</v>
      </c>
      <c r="E385" s="388" t="s">
        <v>165</v>
      </c>
      <c r="F385" s="368">
        <f>(72.35)*1.15</f>
        <v>83.202499999999986</v>
      </c>
      <c r="G385" s="399"/>
      <c r="H385" s="368">
        <f>G385*F385</f>
        <v>0</v>
      </c>
      <c r="I385" s="369"/>
      <c r="J385" s="2822"/>
      <c r="K385" s="218"/>
      <c r="L385" s="2839"/>
      <c r="M385" s="2840"/>
      <c r="N385" s="2824"/>
    </row>
    <row r="386" spans="1:19" s="398" customFormat="1" ht="13.5" customHeight="1">
      <c r="A386" s="384"/>
      <c r="B386" s="259"/>
      <c r="C386" s="386"/>
      <c r="D386" s="262" t="s">
        <v>504</v>
      </c>
      <c r="E386" s="388" t="s">
        <v>165</v>
      </c>
      <c r="F386" s="368">
        <f>(62.9)*1.1</f>
        <v>69.19</v>
      </c>
      <c r="G386" s="399"/>
      <c r="H386" s="368">
        <f>G386*F386</f>
        <v>0</v>
      </c>
      <c r="I386" s="369"/>
      <c r="J386" s="2822"/>
      <c r="K386" s="218"/>
      <c r="L386" s="2839"/>
      <c r="M386" s="2840"/>
      <c r="N386" s="2824"/>
    </row>
    <row r="387" spans="1:19" s="398" customFormat="1" ht="27" customHeight="1">
      <c r="A387" s="384"/>
      <c r="B387" s="259"/>
      <c r="C387" s="400"/>
      <c r="D387" s="262" t="s">
        <v>505</v>
      </c>
      <c r="E387" s="388" t="s">
        <v>165</v>
      </c>
      <c r="F387" s="368">
        <f xml:space="preserve"> (72.35)*1.1</f>
        <v>79.584999999999994</v>
      </c>
      <c r="G387" s="399"/>
      <c r="H387" s="368">
        <f>G387*F387</f>
        <v>0</v>
      </c>
      <c r="I387" s="414"/>
      <c r="J387" s="2822"/>
      <c r="K387" s="218"/>
      <c r="L387" s="2839"/>
      <c r="M387" s="2840"/>
      <c r="N387" s="2824"/>
      <c r="O387" s="2847"/>
      <c r="P387" s="2847"/>
      <c r="Q387" s="2847"/>
      <c r="R387" s="2847"/>
      <c r="S387" s="2848"/>
    </row>
    <row r="388" spans="1:19" s="398" customFormat="1" ht="13.5" customHeight="1">
      <c r="A388" s="391"/>
      <c r="B388" s="259"/>
      <c r="C388" s="260"/>
      <c r="D388" s="262" t="s">
        <v>506</v>
      </c>
      <c r="E388" s="260"/>
      <c r="F388" s="476">
        <v>72.349999999999994</v>
      </c>
      <c r="G388" s="365"/>
      <c r="H388" s="365"/>
      <c r="I388" s="409"/>
      <c r="J388" s="2842"/>
      <c r="K388" s="2849"/>
      <c r="L388" s="2836"/>
      <c r="M388" s="214"/>
    </row>
    <row r="389" spans="1:19" s="398" customFormat="1" ht="13.5" customHeight="1">
      <c r="A389" s="391"/>
      <c r="B389" s="259"/>
      <c r="C389" s="260"/>
      <c r="D389" s="262" t="s">
        <v>3843</v>
      </c>
      <c r="E389" s="260"/>
      <c r="F389" s="365"/>
      <c r="G389" s="365"/>
      <c r="H389" s="365"/>
      <c r="I389" s="414"/>
      <c r="J389" s="2850"/>
      <c r="K389" s="2851"/>
      <c r="L389" s="2851"/>
      <c r="M389" s="214"/>
      <c r="N389" s="2847"/>
      <c r="O389" s="2847"/>
      <c r="P389" s="2847"/>
      <c r="Q389" s="2847"/>
      <c r="R389" s="2847"/>
      <c r="S389" s="2848"/>
    </row>
    <row r="390" spans="1:19" s="398" customFormat="1" ht="13.5" customHeight="1">
      <c r="A390" s="2945">
        <v>80</v>
      </c>
      <c r="B390" s="260">
        <v>713</v>
      </c>
      <c r="C390" s="260" t="s">
        <v>507</v>
      </c>
      <c r="D390" s="260" t="s">
        <v>508</v>
      </c>
      <c r="E390" s="260" t="s">
        <v>165</v>
      </c>
      <c r="F390" s="365">
        <f>F396</f>
        <v>120</v>
      </c>
      <c r="G390" s="365">
        <f>SUM(H393:H395)/F390</f>
        <v>0</v>
      </c>
      <c r="H390" s="365">
        <f>F390*G390</f>
        <v>0</v>
      </c>
      <c r="I390" s="265" t="s">
        <v>112</v>
      </c>
      <c r="J390" s="2844"/>
      <c r="K390" s="2845"/>
      <c r="L390" s="2845"/>
      <c r="M390" s="214"/>
      <c r="N390" s="2846"/>
    </row>
    <row r="391" spans="1:19" s="292" customFormat="1" ht="13.5" customHeight="1">
      <c r="A391" s="408"/>
      <c r="B391" s="262"/>
      <c r="C391" s="410"/>
      <c r="D391" s="262" t="s">
        <v>502</v>
      </c>
      <c r="E391" s="262"/>
      <c r="F391" s="368"/>
      <c r="G391" s="368"/>
      <c r="H391" s="368"/>
      <c r="I391" s="409"/>
      <c r="J391" s="276"/>
      <c r="K391" s="2837"/>
      <c r="L391" s="2836"/>
      <c r="M391" s="214"/>
      <c r="N391" s="398"/>
      <c r="O391" s="398"/>
      <c r="P391" s="398"/>
    </row>
    <row r="392" spans="1:19" s="292" customFormat="1" ht="13.5" customHeight="1">
      <c r="A392" s="408"/>
      <c r="B392" s="262"/>
      <c r="C392" s="410"/>
      <c r="D392" s="262" t="s">
        <v>403</v>
      </c>
      <c r="E392" s="262"/>
      <c r="F392" s="368"/>
      <c r="G392" s="368"/>
      <c r="H392" s="368"/>
      <c r="I392" s="409"/>
      <c r="J392" s="276"/>
      <c r="K392" s="2837"/>
      <c r="L392" s="2836"/>
      <c r="M392" s="214"/>
      <c r="N392" s="398"/>
      <c r="O392" s="398"/>
      <c r="P392" s="398"/>
    </row>
    <row r="393" spans="1:19" s="398" customFormat="1" ht="27" customHeight="1">
      <c r="A393" s="384"/>
      <c r="B393" s="259"/>
      <c r="C393" s="386"/>
      <c r="D393" s="262" t="s">
        <v>509</v>
      </c>
      <c r="E393" s="388" t="s">
        <v>165</v>
      </c>
      <c r="F393" s="368">
        <f>(120)*1.15</f>
        <v>138</v>
      </c>
      <c r="G393" s="399"/>
      <c r="H393" s="368">
        <f>G393*F393</f>
        <v>0</v>
      </c>
      <c r="I393" s="369"/>
      <c r="J393" s="2822"/>
      <c r="K393" s="218"/>
      <c r="L393" s="2839"/>
      <c r="M393" s="2840"/>
      <c r="N393" s="2824"/>
    </row>
    <row r="394" spans="1:19" s="398" customFormat="1" ht="13.5" customHeight="1">
      <c r="A394" s="384"/>
      <c r="B394" s="259"/>
      <c r="C394" s="386"/>
      <c r="D394" s="262" t="s">
        <v>510</v>
      </c>
      <c r="E394" s="388" t="s">
        <v>165</v>
      </c>
      <c r="F394" s="368">
        <f>(120)*1.1</f>
        <v>132</v>
      </c>
      <c r="G394" s="399"/>
      <c r="H394" s="368">
        <f>G394*F394</f>
        <v>0</v>
      </c>
      <c r="I394" s="369"/>
      <c r="J394" s="2822"/>
      <c r="K394" s="218"/>
      <c r="L394" s="2839"/>
      <c r="M394" s="2840"/>
      <c r="N394" s="2824"/>
    </row>
    <row r="395" spans="1:19" s="398" customFormat="1" ht="27" customHeight="1">
      <c r="A395" s="384"/>
      <c r="B395" s="259"/>
      <c r="C395" s="400"/>
      <c r="D395" s="262" t="s">
        <v>511</v>
      </c>
      <c r="E395" s="388" t="s">
        <v>165</v>
      </c>
      <c r="F395" s="368">
        <f>(120)*1.1</f>
        <v>132</v>
      </c>
      <c r="G395" s="399"/>
      <c r="H395" s="368">
        <f>G395*F395</f>
        <v>0</v>
      </c>
      <c r="I395" s="414"/>
      <c r="J395" s="2822"/>
      <c r="K395" s="218"/>
      <c r="L395" s="2839"/>
      <c r="M395" s="2840"/>
      <c r="N395" s="2824"/>
      <c r="O395" s="2847"/>
      <c r="P395" s="2847"/>
      <c r="Q395" s="2847"/>
      <c r="R395" s="2847"/>
      <c r="S395" s="2848"/>
    </row>
    <row r="396" spans="1:19" s="398" customFormat="1" ht="13.5" customHeight="1">
      <c r="A396" s="391"/>
      <c r="B396" s="259"/>
      <c r="C396" s="260"/>
      <c r="D396" s="262" t="s">
        <v>512</v>
      </c>
      <c r="E396" s="260"/>
      <c r="F396" s="476">
        <v>120</v>
      </c>
      <c r="G396" s="365"/>
      <c r="H396" s="365"/>
      <c r="I396" s="409"/>
      <c r="J396" s="2842"/>
      <c r="K396" s="2849"/>
      <c r="L396" s="2836"/>
      <c r="M396" s="214"/>
    </row>
    <row r="397" spans="1:19" s="398" customFormat="1" ht="13.5" customHeight="1">
      <c r="A397" s="391"/>
      <c r="B397" s="259"/>
      <c r="C397" s="260"/>
      <c r="D397" s="262" t="s">
        <v>3843</v>
      </c>
      <c r="E397" s="260"/>
      <c r="F397" s="365"/>
      <c r="G397" s="365"/>
      <c r="H397" s="365"/>
      <c r="I397" s="414"/>
      <c r="J397" s="2850"/>
      <c r="K397" s="2851"/>
      <c r="L397" s="2851"/>
      <c r="M397" s="214"/>
      <c r="N397" s="2847"/>
      <c r="O397" s="2847"/>
      <c r="P397" s="2847"/>
      <c r="Q397" s="2847"/>
      <c r="R397" s="2847"/>
      <c r="S397" s="2848"/>
    </row>
    <row r="398" spans="1:19" s="398" customFormat="1" ht="27" customHeight="1">
      <c r="A398" s="2945">
        <v>81</v>
      </c>
      <c r="B398" s="259" t="s">
        <v>476</v>
      </c>
      <c r="C398" s="260" t="s">
        <v>513</v>
      </c>
      <c r="D398" s="260" t="s">
        <v>514</v>
      </c>
      <c r="E398" s="260" t="s">
        <v>165</v>
      </c>
      <c r="F398" s="365">
        <f>SUM(F405:F405)</f>
        <v>26.700000000000003</v>
      </c>
      <c r="G398" s="365">
        <f>SUM(H401:H404)/F398</f>
        <v>0</v>
      </c>
      <c r="H398" s="365">
        <f>F398*G398</f>
        <v>0</v>
      </c>
      <c r="I398" s="265" t="s">
        <v>112</v>
      </c>
      <c r="J398" s="276"/>
      <c r="K398" s="2835"/>
      <c r="L398" s="2836"/>
      <c r="M398" s="214"/>
    </row>
    <row r="399" spans="1:19" s="292" customFormat="1" ht="13.5" customHeight="1">
      <c r="A399" s="408"/>
      <c r="B399" s="262"/>
      <c r="C399" s="262"/>
      <c r="D399" s="262" t="s">
        <v>479</v>
      </c>
      <c r="E399" s="262"/>
      <c r="F399" s="368"/>
      <c r="G399" s="368"/>
      <c r="H399" s="368"/>
      <c r="I399" s="409"/>
      <c r="J399" s="276"/>
      <c r="K399" s="2837"/>
      <c r="L399" s="2836"/>
      <c r="M399" s="214"/>
      <c r="N399" s="398"/>
      <c r="O399" s="398"/>
      <c r="P399" s="398"/>
    </row>
    <row r="400" spans="1:19" s="214" customFormat="1" ht="13.5" customHeight="1">
      <c r="A400" s="383"/>
      <c r="B400" s="259"/>
      <c r="C400" s="410"/>
      <c r="D400" s="262" t="s">
        <v>403</v>
      </c>
      <c r="E400" s="260"/>
      <c r="F400" s="368"/>
      <c r="G400" s="365"/>
      <c r="H400" s="365"/>
      <c r="I400" s="265"/>
      <c r="J400" s="276"/>
      <c r="K400" s="2773"/>
      <c r="L400" s="2818"/>
      <c r="P400" s="2838"/>
    </row>
    <row r="401" spans="1:21" s="398" customFormat="1" ht="40.5" customHeight="1">
      <c r="A401" s="384"/>
      <c r="B401" s="259"/>
      <c r="C401" s="400"/>
      <c r="D401" s="262" t="s">
        <v>515</v>
      </c>
      <c r="E401" s="388" t="s">
        <v>165</v>
      </c>
      <c r="F401" s="368">
        <f>(26.7)*1.1</f>
        <v>29.37</v>
      </c>
      <c r="G401" s="367"/>
      <c r="H401" s="368">
        <f>F401*G401</f>
        <v>0</v>
      </c>
      <c r="I401" s="401"/>
      <c r="J401" s="2822"/>
      <c r="K401" s="218"/>
      <c r="L401" s="2822"/>
      <c r="M401" s="2823"/>
      <c r="N401" s="2824"/>
    </row>
    <row r="402" spans="1:21" s="398" customFormat="1" ht="40.5" customHeight="1">
      <c r="A402" s="384"/>
      <c r="B402" s="259"/>
      <c r="C402" s="386"/>
      <c r="D402" s="262" t="s">
        <v>516</v>
      </c>
      <c r="E402" s="388" t="s">
        <v>165</v>
      </c>
      <c r="F402" s="368">
        <f>(26.7)*1.1</f>
        <v>29.37</v>
      </c>
      <c r="G402" s="367"/>
      <c r="H402" s="368">
        <f>F402*G402</f>
        <v>0</v>
      </c>
      <c r="I402" s="369"/>
      <c r="J402" s="2822"/>
      <c r="K402" s="218"/>
      <c r="L402" s="2828"/>
      <c r="M402" s="2829"/>
      <c r="N402" s="2832"/>
      <c r="O402" s="2830"/>
      <c r="P402" s="2830"/>
      <c r="Q402" s="2830"/>
    </row>
    <row r="403" spans="1:21" s="398" customFormat="1" ht="40.5" customHeight="1">
      <c r="A403" s="384"/>
      <c r="B403" s="259"/>
      <c r="C403" s="386"/>
      <c r="D403" s="262" t="s">
        <v>517</v>
      </c>
      <c r="E403" s="388" t="s">
        <v>165</v>
      </c>
      <c r="F403" s="368">
        <f>(26.7)*1.15</f>
        <v>30.704999999999998</v>
      </c>
      <c r="G403" s="367"/>
      <c r="H403" s="368">
        <f>F403*G403</f>
        <v>0</v>
      </c>
      <c r="I403" s="369"/>
      <c r="J403" s="2822"/>
      <c r="K403" s="218"/>
      <c r="L403" s="2831"/>
      <c r="M403" s="2829"/>
      <c r="N403" s="2824"/>
      <c r="O403" s="2830"/>
      <c r="P403" s="2830"/>
      <c r="Q403" s="2830"/>
    </row>
    <row r="404" spans="1:21" s="398" customFormat="1" ht="27" customHeight="1">
      <c r="A404" s="384"/>
      <c r="B404" s="259"/>
      <c r="C404" s="400"/>
      <c r="D404" s="262" t="s">
        <v>518</v>
      </c>
      <c r="E404" s="388" t="s">
        <v>165</v>
      </c>
      <c r="F404" s="368">
        <f>(26.7)*1.1</f>
        <v>29.37</v>
      </c>
      <c r="G404" s="399"/>
      <c r="H404" s="368">
        <f>G404*F404</f>
        <v>0</v>
      </c>
      <c r="I404" s="414"/>
      <c r="J404" s="2822"/>
      <c r="K404" s="218"/>
      <c r="L404" s="2839"/>
      <c r="M404" s="2840"/>
      <c r="N404" s="2824"/>
      <c r="O404" s="2847"/>
      <c r="P404" s="2847"/>
      <c r="Q404" s="2847"/>
      <c r="R404" s="2847"/>
      <c r="S404" s="2848"/>
    </row>
    <row r="405" spans="1:21" s="398" customFormat="1" ht="13.5" customHeight="1">
      <c r="A405" s="391"/>
      <c r="B405" s="259"/>
      <c r="C405" s="392"/>
      <c r="D405" s="262" t="s">
        <v>519</v>
      </c>
      <c r="E405" s="260"/>
      <c r="F405" s="564">
        <f>(8.9)*3</f>
        <v>26.700000000000003</v>
      </c>
      <c r="G405" s="365"/>
      <c r="H405" s="365"/>
      <c r="I405" s="409"/>
      <c r="J405" s="2842"/>
      <c r="K405" s="2836"/>
      <c r="L405" s="2836"/>
      <c r="M405" s="214"/>
    </row>
    <row r="406" spans="1:21" s="398" customFormat="1" ht="54" customHeight="1">
      <c r="A406" s="391"/>
      <c r="B406" s="259"/>
      <c r="C406" s="260"/>
      <c r="D406" s="412" t="s">
        <v>3842</v>
      </c>
      <c r="E406" s="260"/>
      <c r="F406" s="397"/>
      <c r="G406" s="365"/>
      <c r="H406" s="365"/>
      <c r="I406" s="413"/>
      <c r="J406" s="2843"/>
      <c r="K406" s="2836"/>
      <c r="L406" s="2836"/>
      <c r="M406" s="214"/>
    </row>
    <row r="407" spans="1:21" s="398" customFormat="1" ht="13.5" customHeight="1">
      <c r="A407" s="391">
        <v>82</v>
      </c>
      <c r="B407" s="259" t="s">
        <v>476</v>
      </c>
      <c r="C407" s="260" t="s">
        <v>520</v>
      </c>
      <c r="D407" s="260" t="s">
        <v>521</v>
      </c>
      <c r="E407" s="260" t="s">
        <v>165</v>
      </c>
      <c r="F407" s="365">
        <f>SUM(F413:F414)</f>
        <v>136.273</v>
      </c>
      <c r="G407" s="365">
        <f>SUM(H410:H412)/F407</f>
        <v>0</v>
      </c>
      <c r="H407" s="365">
        <f>F407*G407</f>
        <v>0</v>
      </c>
      <c r="I407" s="265" t="s">
        <v>112</v>
      </c>
      <c r="J407" s="276"/>
      <c r="K407" s="2835"/>
      <c r="L407" s="2836"/>
      <c r="M407" s="214"/>
    </row>
    <row r="408" spans="1:21" s="292" customFormat="1" ht="13.5" customHeight="1">
      <c r="A408" s="408"/>
      <c r="B408" s="262"/>
      <c r="C408" s="262"/>
      <c r="D408" s="262" t="s">
        <v>479</v>
      </c>
      <c r="E408" s="262"/>
      <c r="F408" s="368"/>
      <c r="G408" s="368"/>
      <c r="H408" s="368"/>
      <c r="I408" s="409"/>
      <c r="J408" s="276"/>
      <c r="K408" s="2837"/>
      <c r="L408" s="2836"/>
      <c r="M408" s="214"/>
      <c r="N408" s="398"/>
      <c r="O408" s="398"/>
      <c r="P408" s="398"/>
    </row>
    <row r="409" spans="1:21" s="214" customFormat="1" ht="13.5" customHeight="1">
      <c r="A409" s="383"/>
      <c r="B409" s="259"/>
      <c r="C409" s="410"/>
      <c r="D409" s="262" t="s">
        <v>403</v>
      </c>
      <c r="E409" s="260"/>
      <c r="F409" s="368"/>
      <c r="G409" s="365"/>
      <c r="H409" s="365"/>
      <c r="I409" s="265"/>
      <c r="J409" s="276"/>
      <c r="K409" s="2773"/>
      <c r="L409" s="2818"/>
      <c r="P409" s="2838"/>
    </row>
    <row r="410" spans="1:21" s="398" customFormat="1" ht="27" customHeight="1">
      <c r="A410" s="384"/>
      <c r="B410" s="259"/>
      <c r="C410" s="400"/>
      <c r="D410" s="262" t="s">
        <v>522</v>
      </c>
      <c r="E410" s="388" t="s">
        <v>165</v>
      </c>
      <c r="F410" s="368">
        <f xml:space="preserve"> (136.27)*1.1</f>
        <v>149.89700000000002</v>
      </c>
      <c r="G410" s="367"/>
      <c r="H410" s="368">
        <f>F410*G410</f>
        <v>0</v>
      </c>
      <c r="I410" s="401"/>
      <c r="J410" s="2822"/>
      <c r="K410" s="218"/>
      <c r="L410" s="2822"/>
      <c r="M410" s="2823"/>
      <c r="N410" s="2824"/>
      <c r="O410" s="3049"/>
      <c r="P410" s="3049"/>
      <c r="Q410" s="3049"/>
      <c r="R410" s="3049"/>
      <c r="S410" s="3049"/>
    </row>
    <row r="411" spans="1:21" s="398" customFormat="1" ht="40.5" customHeight="1">
      <c r="A411" s="384"/>
      <c r="B411" s="259"/>
      <c r="C411" s="386"/>
      <c r="D411" s="262" t="s">
        <v>523</v>
      </c>
      <c r="E411" s="388" t="s">
        <v>165</v>
      </c>
      <c r="F411" s="368">
        <f>(136.27)*1.1</f>
        <v>149.89700000000002</v>
      </c>
      <c r="G411" s="367"/>
      <c r="H411" s="368">
        <f>F411*G411</f>
        <v>0</v>
      </c>
      <c r="I411" s="369"/>
      <c r="J411" s="2822"/>
      <c r="K411" s="218"/>
      <c r="L411" s="2827"/>
      <c r="M411" s="2823"/>
      <c r="N411" s="2824"/>
      <c r="O411" s="3050"/>
      <c r="P411" s="3050"/>
      <c r="Q411" s="3050"/>
      <c r="R411" s="3050"/>
      <c r="S411" s="3050"/>
      <c r="T411" s="3050"/>
      <c r="U411" s="3050"/>
    </row>
    <row r="412" spans="1:21" s="398" customFormat="1" ht="13.5" customHeight="1">
      <c r="A412" s="384"/>
      <c r="B412" s="259"/>
      <c r="C412" s="386"/>
      <c r="D412" s="262" t="s">
        <v>524</v>
      </c>
      <c r="E412" s="388" t="s">
        <v>165</v>
      </c>
      <c r="F412" s="368">
        <f>(136.27)*1.15</f>
        <v>156.7105</v>
      </c>
      <c r="G412" s="367"/>
      <c r="H412" s="368">
        <f>F412*G412</f>
        <v>0</v>
      </c>
      <c r="I412" s="369"/>
      <c r="J412" s="2822"/>
      <c r="K412" s="218"/>
      <c r="L412" s="2831"/>
      <c r="M412" s="2831"/>
      <c r="N412" s="2824"/>
      <c r="O412" s="2830"/>
      <c r="P412" s="2830"/>
      <c r="Q412" s="2830"/>
    </row>
    <row r="413" spans="1:21" s="398" customFormat="1" ht="13.5" customHeight="1">
      <c r="A413" s="391"/>
      <c r="B413" s="259"/>
      <c r="C413" s="392"/>
      <c r="D413" s="262" t="s">
        <v>525</v>
      </c>
      <c r="E413" s="260"/>
      <c r="F413" s="564">
        <f>(63.1)*0.83</f>
        <v>52.372999999999998</v>
      </c>
      <c r="G413" s="365"/>
      <c r="H413" s="365"/>
      <c r="I413" s="409"/>
      <c r="J413" s="2842"/>
      <c r="K413" s="2836"/>
      <c r="L413" s="2836"/>
      <c r="M413" s="214"/>
    </row>
    <row r="414" spans="1:21" s="398" customFormat="1" ht="13.5" customHeight="1">
      <c r="A414" s="391"/>
      <c r="B414" s="259"/>
      <c r="C414" s="392"/>
      <c r="D414" s="262" t="s">
        <v>526</v>
      </c>
      <c r="E414" s="260"/>
      <c r="F414" s="564">
        <v>83.9</v>
      </c>
      <c r="G414" s="365"/>
      <c r="H414" s="365"/>
      <c r="I414" s="409"/>
      <c r="J414" s="276"/>
      <c r="K414" s="2836"/>
      <c r="L414" s="2836"/>
      <c r="M414" s="214"/>
    </row>
    <row r="415" spans="1:21" s="398" customFormat="1" ht="27" customHeight="1">
      <c r="A415" s="391"/>
      <c r="B415" s="259"/>
      <c r="C415" s="260"/>
      <c r="D415" s="388" t="s">
        <v>527</v>
      </c>
      <c r="E415" s="260"/>
      <c r="F415" s="397"/>
      <c r="G415" s="365"/>
      <c r="H415" s="365"/>
      <c r="I415" s="413"/>
      <c r="J415" s="2843"/>
      <c r="K415" s="2836"/>
      <c r="L415" s="2836"/>
      <c r="M415" s="214"/>
    </row>
    <row r="416" spans="1:21" s="398" customFormat="1" ht="27" customHeight="1">
      <c r="A416" s="2945">
        <v>83</v>
      </c>
      <c r="B416" s="259" t="s">
        <v>476</v>
      </c>
      <c r="C416" s="260" t="s">
        <v>513</v>
      </c>
      <c r="D416" s="260" t="s">
        <v>528</v>
      </c>
      <c r="E416" s="260" t="s">
        <v>165</v>
      </c>
      <c r="F416" s="365">
        <f>SUM(F423:F423)</f>
        <v>17.700000000000003</v>
      </c>
      <c r="G416" s="365">
        <f>SUM(H419:H422)/F416</f>
        <v>0</v>
      </c>
      <c r="H416" s="365">
        <f>F416*G416</f>
        <v>0</v>
      </c>
      <c r="I416" s="265" t="s">
        <v>112</v>
      </c>
      <c r="J416" s="276"/>
      <c r="K416" s="2835"/>
      <c r="L416" s="2836"/>
      <c r="M416" s="214"/>
    </row>
    <row r="417" spans="1:19" s="292" customFormat="1" ht="13.5" customHeight="1">
      <c r="A417" s="408"/>
      <c r="B417" s="262"/>
      <c r="C417" s="262"/>
      <c r="D417" s="262" t="s">
        <v>529</v>
      </c>
      <c r="E417" s="262"/>
      <c r="F417" s="368"/>
      <c r="G417" s="368"/>
      <c r="H417" s="368"/>
      <c r="I417" s="409"/>
      <c r="J417" s="276"/>
      <c r="K417" s="2837"/>
      <c r="L417" s="2836"/>
      <c r="M417" s="214"/>
      <c r="N417" s="398"/>
      <c r="O417" s="398"/>
      <c r="P417" s="398"/>
    </row>
    <row r="418" spans="1:19" s="214" customFormat="1" ht="13.5" customHeight="1">
      <c r="A418" s="383"/>
      <c r="B418" s="259"/>
      <c r="C418" s="410"/>
      <c r="D418" s="262" t="s">
        <v>403</v>
      </c>
      <c r="E418" s="260"/>
      <c r="F418" s="368"/>
      <c r="G418" s="365"/>
      <c r="H418" s="365"/>
      <c r="I418" s="265"/>
      <c r="J418" s="276"/>
      <c r="K418" s="2773"/>
      <c r="L418" s="2818"/>
      <c r="P418" s="2838"/>
    </row>
    <row r="419" spans="1:19" s="398" customFormat="1" ht="40.5" customHeight="1">
      <c r="A419" s="384"/>
      <c r="B419" s="259"/>
      <c r="C419" s="400"/>
      <c r="D419" s="262" t="s">
        <v>530</v>
      </c>
      <c r="E419" s="388" t="s">
        <v>165</v>
      </c>
      <c r="F419" s="368">
        <f>(17.7)*1.1</f>
        <v>19.470000000000002</v>
      </c>
      <c r="G419" s="399"/>
      <c r="H419" s="368">
        <f>G419*F419</f>
        <v>0</v>
      </c>
      <c r="I419" s="414"/>
      <c r="J419" s="2822"/>
      <c r="K419" s="218"/>
      <c r="L419" s="2839"/>
      <c r="M419" s="2840"/>
      <c r="N419" s="2824"/>
      <c r="O419" s="2847"/>
      <c r="P419" s="2847"/>
      <c r="Q419" s="2847"/>
      <c r="R419" s="2847"/>
      <c r="S419" s="2848"/>
    </row>
    <row r="420" spans="1:19" s="398" customFormat="1" ht="40.5" customHeight="1">
      <c r="A420" s="384"/>
      <c r="B420" s="259"/>
      <c r="C420" s="386"/>
      <c r="D420" s="262" t="s">
        <v>531</v>
      </c>
      <c r="E420" s="388" t="s">
        <v>165</v>
      </c>
      <c r="F420" s="368">
        <f>(17.7)*1.15</f>
        <v>20.354999999999997</v>
      </c>
      <c r="G420" s="367"/>
      <c r="H420" s="368">
        <f>F420*G420</f>
        <v>0</v>
      </c>
      <c r="I420" s="369"/>
      <c r="J420" s="2822"/>
      <c r="K420" s="218"/>
      <c r="L420" s="2831"/>
      <c r="M420" s="2829"/>
      <c r="N420" s="2824"/>
      <c r="O420" s="2830"/>
      <c r="P420" s="2830"/>
      <c r="Q420" s="2830"/>
    </row>
    <row r="421" spans="1:19" s="398" customFormat="1" ht="40.5" customHeight="1">
      <c r="A421" s="384"/>
      <c r="B421" s="259"/>
      <c r="C421" s="386"/>
      <c r="D421" s="262" t="s">
        <v>532</v>
      </c>
      <c r="E421" s="388" t="s">
        <v>165</v>
      </c>
      <c r="F421" s="368">
        <f>(17.7)*1.1</f>
        <v>19.470000000000002</v>
      </c>
      <c r="G421" s="367"/>
      <c r="H421" s="368">
        <f>F421*G421</f>
        <v>0</v>
      </c>
      <c r="I421" s="369"/>
      <c r="J421" s="2822"/>
      <c r="K421" s="218"/>
      <c r="L421" s="2828"/>
      <c r="M421" s="2829"/>
      <c r="N421" s="2832"/>
      <c r="O421" s="2830"/>
      <c r="P421" s="2830"/>
      <c r="Q421" s="2830"/>
    </row>
    <row r="422" spans="1:19" s="398" customFormat="1" ht="40.5" customHeight="1">
      <c r="A422" s="384"/>
      <c r="B422" s="259"/>
      <c r="C422" s="400"/>
      <c r="D422" s="262" t="s">
        <v>533</v>
      </c>
      <c r="E422" s="388" t="s">
        <v>165</v>
      </c>
      <c r="F422" s="368">
        <f>(17.7)*1.1</f>
        <v>19.470000000000002</v>
      </c>
      <c r="G422" s="367"/>
      <c r="H422" s="368">
        <f>F422*G422</f>
        <v>0</v>
      </c>
      <c r="I422" s="401"/>
      <c r="J422" s="2822"/>
      <c r="K422" s="218"/>
      <c r="L422" s="2822"/>
      <c r="M422" s="2823"/>
      <c r="N422" s="2824"/>
    </row>
    <row r="423" spans="1:19" s="398" customFormat="1" ht="13.5" customHeight="1">
      <c r="A423" s="391"/>
      <c r="B423" s="259"/>
      <c r="C423" s="392"/>
      <c r="D423" s="262" t="s">
        <v>534</v>
      </c>
      <c r="E423" s="260"/>
      <c r="F423" s="564">
        <f>(9.3+8.4)</f>
        <v>17.700000000000003</v>
      </c>
      <c r="G423" s="365"/>
      <c r="H423" s="365"/>
      <c r="I423" s="409"/>
      <c r="J423" s="2842"/>
      <c r="K423" s="2836"/>
      <c r="L423" s="2836"/>
      <c r="M423" s="214"/>
    </row>
    <row r="424" spans="1:19" s="398" customFormat="1" ht="54" customHeight="1">
      <c r="A424" s="391"/>
      <c r="B424" s="259"/>
      <c r="C424" s="260"/>
      <c r="D424" s="412" t="s">
        <v>3842</v>
      </c>
      <c r="E424" s="260"/>
      <c r="F424" s="397"/>
      <c r="G424" s="365"/>
      <c r="H424" s="365"/>
      <c r="I424" s="413"/>
      <c r="J424" s="2843"/>
      <c r="K424" s="2836"/>
      <c r="L424" s="2836"/>
      <c r="M424" s="214"/>
    </row>
    <row r="425" spans="1:19" s="398" customFormat="1" ht="27" customHeight="1">
      <c r="A425" s="2945">
        <v>84</v>
      </c>
      <c r="B425" s="259" t="s">
        <v>476</v>
      </c>
      <c r="C425" s="260" t="s">
        <v>513</v>
      </c>
      <c r="D425" s="260" t="s">
        <v>528</v>
      </c>
      <c r="E425" s="260" t="s">
        <v>165</v>
      </c>
      <c r="F425" s="365">
        <f>SUM(F430:F430)</f>
        <v>168.12</v>
      </c>
      <c r="G425" s="365">
        <f>SUM(H428:H429)/F425</f>
        <v>0</v>
      </c>
      <c r="H425" s="365">
        <f>F425*G425</f>
        <v>0</v>
      </c>
      <c r="I425" s="265" t="s">
        <v>112</v>
      </c>
      <c r="J425" s="276"/>
      <c r="K425" s="2835"/>
      <c r="L425" s="2836"/>
      <c r="M425" s="214"/>
    </row>
    <row r="426" spans="1:19" s="292" customFormat="1" ht="13.5" customHeight="1">
      <c r="A426" s="408"/>
      <c r="B426" s="262"/>
      <c r="C426" s="262"/>
      <c r="D426" s="262" t="s">
        <v>529</v>
      </c>
      <c r="E426" s="262"/>
      <c r="F426" s="368"/>
      <c r="G426" s="368"/>
      <c r="H426" s="368"/>
      <c r="I426" s="409"/>
      <c r="J426" s="276"/>
      <c r="K426" s="2837"/>
      <c r="L426" s="2836"/>
      <c r="M426" s="214"/>
      <c r="N426" s="398"/>
      <c r="O426" s="398"/>
      <c r="P426" s="398"/>
    </row>
    <row r="427" spans="1:19" s="214" customFormat="1" ht="13.5" customHeight="1">
      <c r="A427" s="383"/>
      <c r="B427" s="259"/>
      <c r="C427" s="410"/>
      <c r="D427" s="262" t="s">
        <v>403</v>
      </c>
      <c r="E427" s="260"/>
      <c r="F427" s="368"/>
      <c r="G427" s="365"/>
      <c r="H427" s="365"/>
      <c r="I427" s="265"/>
      <c r="J427" s="276"/>
      <c r="K427" s="2773"/>
      <c r="L427" s="2818"/>
      <c r="P427" s="2838"/>
    </row>
    <row r="428" spans="1:19" s="398" customFormat="1" ht="40.5" customHeight="1">
      <c r="A428" s="384"/>
      <c r="B428" s="259"/>
      <c r="C428" s="400"/>
      <c r="D428" s="262" t="s">
        <v>535</v>
      </c>
      <c r="E428" s="388" t="s">
        <v>165</v>
      </c>
      <c r="F428" s="368">
        <f>(168.12)*1.1</f>
        <v>184.93200000000002</v>
      </c>
      <c r="G428" s="399"/>
      <c r="H428" s="368">
        <f>G428*F428</f>
        <v>0</v>
      </c>
      <c r="I428" s="414"/>
      <c r="J428" s="2822"/>
      <c r="K428" s="218"/>
      <c r="L428" s="2839"/>
      <c r="M428" s="2840"/>
      <c r="N428" s="2824"/>
      <c r="O428" s="2847"/>
      <c r="P428" s="2847"/>
      <c r="Q428" s="2847"/>
      <c r="R428" s="2847"/>
      <c r="S428" s="2848"/>
    </row>
    <row r="429" spans="1:19" s="398" customFormat="1" ht="13.5" customHeight="1">
      <c r="A429" s="384"/>
      <c r="B429" s="259"/>
      <c r="C429" s="386"/>
      <c r="D429" s="262" t="s">
        <v>536</v>
      </c>
      <c r="E429" s="388" t="s">
        <v>165</v>
      </c>
      <c r="F429" s="368">
        <f>(168.12)*1.1</f>
        <v>184.93200000000002</v>
      </c>
      <c r="G429" s="367"/>
      <c r="H429" s="368">
        <f>F429*G429</f>
        <v>0</v>
      </c>
      <c r="I429" s="369"/>
      <c r="J429" s="2822"/>
      <c r="K429" s="218"/>
      <c r="L429" s="2828"/>
      <c r="M429" s="2829"/>
      <c r="N429" s="2824"/>
      <c r="O429" s="2830"/>
      <c r="P429" s="2830"/>
      <c r="Q429" s="2830"/>
    </row>
    <row r="430" spans="1:19" s="398" customFormat="1" ht="13.5" customHeight="1">
      <c r="A430" s="391"/>
      <c r="B430" s="259"/>
      <c r="C430" s="392"/>
      <c r="D430" s="262" t="s">
        <v>537</v>
      </c>
      <c r="E430" s="260"/>
      <c r="F430" s="564">
        <f>(16.7+7.98+11.82+2.17+3.93+15.55+20.91+89.06)</f>
        <v>168.12</v>
      </c>
      <c r="G430" s="365"/>
      <c r="H430" s="365"/>
      <c r="I430" s="409"/>
      <c r="J430" s="2842"/>
      <c r="K430" s="2836"/>
      <c r="L430" s="2836"/>
      <c r="M430" s="214"/>
    </row>
    <row r="431" spans="1:19" s="398" customFormat="1" ht="54" customHeight="1">
      <c r="A431" s="391"/>
      <c r="B431" s="259"/>
      <c r="C431" s="260"/>
      <c r="D431" s="412" t="s">
        <v>3842</v>
      </c>
      <c r="E431" s="260"/>
      <c r="F431" s="397"/>
      <c r="G431" s="365"/>
      <c r="H431" s="365"/>
      <c r="I431" s="413"/>
      <c r="J431" s="2843"/>
      <c r="K431" s="2836"/>
      <c r="L431" s="2836"/>
      <c r="M431" s="214"/>
    </row>
    <row r="432" spans="1:19" s="135" customFormat="1" ht="13.5" customHeight="1">
      <c r="A432" s="215">
        <v>85</v>
      </c>
      <c r="B432" s="180" t="s">
        <v>476</v>
      </c>
      <c r="C432" s="177">
        <v>998713202</v>
      </c>
      <c r="D432" s="177" t="s">
        <v>538</v>
      </c>
      <c r="E432" s="177" t="s">
        <v>10</v>
      </c>
      <c r="F432" s="178">
        <v>1.39</v>
      </c>
      <c r="G432" s="178"/>
      <c r="H432" s="178">
        <f>F432*G432</f>
        <v>0</v>
      </c>
      <c r="I432" s="216" t="s">
        <v>138</v>
      </c>
      <c r="J432" s="2852"/>
    </row>
    <row r="433" spans="1:31" s="325" customFormat="1" ht="13.5" customHeight="1">
      <c r="A433" s="215">
        <v>86</v>
      </c>
      <c r="B433" s="177" t="s">
        <v>369</v>
      </c>
      <c r="C433" s="177" t="s">
        <v>395</v>
      </c>
      <c r="D433" s="177" t="s">
        <v>396</v>
      </c>
      <c r="E433" s="177" t="s">
        <v>69</v>
      </c>
      <c r="F433" s="178">
        <f>F434</f>
        <v>30</v>
      </c>
      <c r="G433" s="178"/>
      <c r="H433" s="178">
        <f>F433*G433</f>
        <v>0</v>
      </c>
      <c r="I433" s="216" t="s">
        <v>138</v>
      </c>
      <c r="J433" s="2852"/>
    </row>
    <row r="434" spans="1:31" s="135" customFormat="1" ht="13.5" customHeight="1">
      <c r="A434" s="298"/>
      <c r="B434" s="299"/>
      <c r="C434" s="299"/>
      <c r="D434" s="183" t="s">
        <v>539</v>
      </c>
      <c r="E434" s="299"/>
      <c r="F434" s="305">
        <v>30</v>
      </c>
      <c r="G434" s="309"/>
      <c r="H434" s="178"/>
      <c r="I434" s="150"/>
    </row>
    <row r="435" spans="1:31" s="135" customFormat="1" ht="13.5" customHeight="1">
      <c r="A435" s="298"/>
      <c r="B435" s="299"/>
      <c r="C435" s="299"/>
      <c r="D435" s="183" t="s">
        <v>540</v>
      </c>
      <c r="E435" s="299"/>
      <c r="F435" s="305"/>
      <c r="G435" s="309"/>
      <c r="H435" s="178"/>
      <c r="I435" s="150"/>
    </row>
    <row r="436" spans="1:31" s="158" customFormat="1" ht="13.5" customHeight="1">
      <c r="A436" s="415"/>
      <c r="B436" s="416"/>
      <c r="C436" s="417">
        <v>714</v>
      </c>
      <c r="D436" s="417" t="s">
        <v>541</v>
      </c>
      <c r="E436" s="417"/>
      <c r="F436" s="566"/>
      <c r="G436" s="566"/>
      <c r="H436" s="566">
        <f>SUM(H437:H443)</f>
        <v>0</v>
      </c>
      <c r="I436" s="418"/>
      <c r="J436" s="2853"/>
    </row>
    <row r="437" spans="1:31" s="158" customFormat="1" ht="13.5" customHeight="1">
      <c r="A437" s="419">
        <v>87</v>
      </c>
      <c r="B437" s="420">
        <v>714</v>
      </c>
      <c r="C437" s="420" t="s">
        <v>542</v>
      </c>
      <c r="D437" s="420" t="s">
        <v>543</v>
      </c>
      <c r="E437" s="420" t="s">
        <v>165</v>
      </c>
      <c r="F437" s="315">
        <f>SUM(F438:F438)</f>
        <v>17.4405</v>
      </c>
      <c r="G437" s="315"/>
      <c r="H437" s="315">
        <f>F437*G437</f>
        <v>0</v>
      </c>
      <c r="I437" s="265" t="s">
        <v>112</v>
      </c>
      <c r="J437" s="2854"/>
      <c r="K437" s="2855"/>
      <c r="L437" s="2855"/>
    </row>
    <row r="438" spans="1:31" s="158" customFormat="1" ht="13.5" customHeight="1">
      <c r="A438" s="421"/>
      <c r="B438" s="422"/>
      <c r="C438" s="422"/>
      <c r="D438" s="423" t="s">
        <v>544</v>
      </c>
      <c r="E438" s="422"/>
      <c r="F438" s="567">
        <f>(15.855)*1.1</f>
        <v>17.4405</v>
      </c>
      <c r="G438" s="580"/>
      <c r="H438" s="580"/>
      <c r="I438" s="424"/>
      <c r="J438" s="2758"/>
    </row>
    <row r="439" spans="1:31" s="158" customFormat="1" ht="27" customHeight="1">
      <c r="A439" s="421"/>
      <c r="B439" s="422"/>
      <c r="C439" s="422"/>
      <c r="D439" s="425" t="s">
        <v>545</v>
      </c>
      <c r="E439" s="422"/>
      <c r="F439" s="567"/>
      <c r="G439" s="580"/>
      <c r="H439" s="580"/>
      <c r="I439" s="424"/>
      <c r="J439" s="2822"/>
      <c r="K439" s="218"/>
      <c r="L439" s="218"/>
      <c r="P439" s="2856"/>
    </row>
    <row r="440" spans="1:31" s="427" customFormat="1" ht="13.5" customHeight="1">
      <c r="A440" s="419">
        <v>88</v>
      </c>
      <c r="B440" s="426" t="s">
        <v>546</v>
      </c>
      <c r="C440" s="420">
        <v>998714202</v>
      </c>
      <c r="D440" s="420" t="s">
        <v>547</v>
      </c>
      <c r="E440" s="420" t="s">
        <v>10</v>
      </c>
      <c r="F440" s="315">
        <v>0.59</v>
      </c>
      <c r="G440" s="315"/>
      <c r="H440" s="315">
        <f>F440*G440</f>
        <v>0</v>
      </c>
      <c r="I440" s="216" t="s">
        <v>138</v>
      </c>
      <c r="J440" s="2852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s="158" customFormat="1" ht="13.5" customHeight="1">
      <c r="A441" s="419">
        <v>89</v>
      </c>
      <c r="B441" s="420" t="s">
        <v>369</v>
      </c>
      <c r="C441" s="420" t="s">
        <v>548</v>
      </c>
      <c r="D441" s="420" t="s">
        <v>549</v>
      </c>
      <c r="E441" s="420" t="s">
        <v>69</v>
      </c>
      <c r="F441" s="315">
        <f>F442</f>
        <v>15</v>
      </c>
      <c r="G441" s="315"/>
      <c r="H441" s="315">
        <f>F441*G441</f>
        <v>0</v>
      </c>
      <c r="I441" s="216" t="s">
        <v>138</v>
      </c>
      <c r="J441" s="2853"/>
    </row>
    <row r="442" spans="1:31" s="158" customFormat="1" ht="13.5" customHeight="1">
      <c r="A442" s="421"/>
      <c r="B442" s="422"/>
      <c r="C442" s="422"/>
      <c r="D442" s="423" t="s">
        <v>550</v>
      </c>
      <c r="E442" s="422"/>
      <c r="F442" s="567">
        <v>15</v>
      </c>
      <c r="G442" s="580"/>
      <c r="H442" s="580"/>
      <c r="I442" s="424"/>
      <c r="J442" s="2853"/>
      <c r="K442" s="2855"/>
      <c r="L442" s="2855"/>
      <c r="M442" s="2855"/>
      <c r="N442" s="2855"/>
      <c r="O442" s="2855"/>
      <c r="P442" s="2855"/>
      <c r="Q442" s="2855"/>
      <c r="R442" s="2855"/>
    </row>
    <row r="443" spans="1:31" s="158" customFormat="1" ht="13.5" customHeight="1">
      <c r="A443" s="415"/>
      <c r="B443" s="416"/>
      <c r="C443" s="416"/>
      <c r="D443" s="423" t="s">
        <v>540</v>
      </c>
      <c r="E443" s="428"/>
      <c r="F443" s="568"/>
      <c r="G443" s="584"/>
      <c r="H443" s="315"/>
      <c r="I443" s="418"/>
      <c r="J443" s="2853"/>
    </row>
    <row r="444" spans="1:31" s="214" customFormat="1" ht="13.5" customHeight="1">
      <c r="A444" s="253"/>
      <c r="B444" s="254"/>
      <c r="C444" s="255">
        <v>763</v>
      </c>
      <c r="D444" s="255" t="s">
        <v>551</v>
      </c>
      <c r="E444" s="255"/>
      <c r="F444" s="256"/>
      <c r="G444" s="256"/>
      <c r="H444" s="256">
        <f>SUM(H445:H593)</f>
        <v>0</v>
      </c>
      <c r="I444" s="263"/>
      <c r="J444" s="2857"/>
    </row>
    <row r="445" spans="1:31" s="214" customFormat="1" ht="27" customHeight="1">
      <c r="A445" s="151">
        <v>90</v>
      </c>
      <c r="B445" s="152" t="s">
        <v>552</v>
      </c>
      <c r="C445" s="152">
        <v>763111477</v>
      </c>
      <c r="D445" s="152" t="s">
        <v>553</v>
      </c>
      <c r="E445" s="152" t="s">
        <v>165</v>
      </c>
      <c r="F445" s="273">
        <f>SUM(F449:F450)</f>
        <v>375.35820000000001</v>
      </c>
      <c r="G445" s="273"/>
      <c r="H445" s="273">
        <f>F445*G445</f>
        <v>0</v>
      </c>
      <c r="I445" s="213" t="s">
        <v>138</v>
      </c>
      <c r="K445" s="2858"/>
      <c r="L445" s="2858"/>
    </row>
    <row r="446" spans="1:31" s="355" customFormat="1" ht="13.5" customHeight="1">
      <c r="A446" s="391"/>
      <c r="B446" s="394"/>
      <c r="C446" s="429"/>
      <c r="D446" s="262" t="s">
        <v>554</v>
      </c>
      <c r="E446" s="395"/>
      <c r="F446" s="368"/>
      <c r="G446" s="397"/>
      <c r="H446" s="365"/>
      <c r="I446" s="414"/>
      <c r="J446" s="2820"/>
      <c r="M446" s="214"/>
    </row>
    <row r="447" spans="1:31" s="355" customFormat="1" ht="13.5" customHeight="1">
      <c r="A447" s="391"/>
      <c r="B447" s="394"/>
      <c r="C447" s="430"/>
      <c r="D447" s="262" t="s">
        <v>555</v>
      </c>
      <c r="E447" s="395"/>
      <c r="F447" s="368"/>
      <c r="G447" s="397"/>
      <c r="H447" s="365"/>
      <c r="I447" s="414"/>
      <c r="J447" s="2820"/>
      <c r="M447" s="214"/>
    </row>
    <row r="448" spans="1:31" s="355" customFormat="1" ht="13.5" customHeight="1">
      <c r="A448" s="391"/>
      <c r="B448" s="394"/>
      <c r="C448" s="431"/>
      <c r="D448" s="262" t="s">
        <v>556</v>
      </c>
      <c r="E448" s="395"/>
      <c r="F448" s="368"/>
      <c r="G448" s="397"/>
      <c r="H448" s="365"/>
      <c r="I448" s="414"/>
      <c r="J448" s="2820"/>
      <c r="M448" s="214"/>
    </row>
    <row r="449" spans="1:13" s="355" customFormat="1" ht="13.5" customHeight="1">
      <c r="A449" s="271"/>
      <c r="B449" s="272"/>
      <c r="C449" s="152"/>
      <c r="D449" s="212" t="s">
        <v>557</v>
      </c>
      <c r="E449" s="152"/>
      <c r="F449" s="290">
        <f>(292.43)*1.05</f>
        <v>307.05150000000003</v>
      </c>
      <c r="G449" s="273"/>
      <c r="H449" s="273"/>
      <c r="I449" s="213"/>
      <c r="J449" s="2820"/>
      <c r="M449" s="214"/>
    </row>
    <row r="450" spans="1:13" s="355" customFormat="1" ht="13.5" customHeight="1">
      <c r="A450" s="271"/>
      <c r="B450" s="272"/>
      <c r="C450" s="152"/>
      <c r="D450" s="212" t="s">
        <v>558</v>
      </c>
      <c r="E450" s="152"/>
      <c r="F450" s="290">
        <f>(65.054)*1.05</f>
        <v>68.306700000000006</v>
      </c>
      <c r="G450" s="273"/>
      <c r="H450" s="273"/>
      <c r="I450" s="213"/>
      <c r="J450" s="2820"/>
      <c r="M450" s="214"/>
    </row>
    <row r="451" spans="1:13" s="355" customFormat="1" ht="40.5" customHeight="1">
      <c r="A451" s="391"/>
      <c r="B451" s="259"/>
      <c r="C451" s="432"/>
      <c r="D451" s="262" t="s">
        <v>559</v>
      </c>
      <c r="E451" s="260"/>
      <c r="F451" s="397"/>
      <c r="G451" s="365"/>
      <c r="H451" s="365"/>
      <c r="I451" s="414"/>
      <c r="J451" s="2820"/>
      <c r="M451" s="214"/>
    </row>
    <row r="452" spans="1:13" s="355" customFormat="1" ht="27" customHeight="1">
      <c r="A452" s="391"/>
      <c r="B452" s="259"/>
      <c r="C452" s="432"/>
      <c r="D452" s="262" t="s">
        <v>560</v>
      </c>
      <c r="E452" s="260"/>
      <c r="F452" s="397"/>
      <c r="G452" s="365"/>
      <c r="H452" s="365"/>
      <c r="I452" s="414"/>
      <c r="J452" s="2820"/>
      <c r="M452" s="214"/>
    </row>
    <row r="453" spans="1:13" s="355" customFormat="1" ht="13.5" customHeight="1">
      <c r="A453" s="271"/>
      <c r="B453" s="272"/>
      <c r="C453" s="152"/>
      <c r="D453" s="212" t="s">
        <v>561</v>
      </c>
      <c r="E453" s="152"/>
      <c r="F453" s="290"/>
      <c r="G453" s="273"/>
      <c r="H453" s="273"/>
      <c r="I453" s="213"/>
      <c r="J453" s="2820"/>
      <c r="M453" s="214"/>
    </row>
    <row r="454" spans="1:13" s="214" customFormat="1" ht="27" customHeight="1">
      <c r="A454" s="151">
        <v>91</v>
      </c>
      <c r="B454" s="152" t="s">
        <v>552</v>
      </c>
      <c r="C454" s="152">
        <v>763111481</v>
      </c>
      <c r="D454" s="152" t="s">
        <v>562</v>
      </c>
      <c r="E454" s="152" t="s">
        <v>165</v>
      </c>
      <c r="F454" s="273">
        <f>SUM(F458:F459)</f>
        <v>104.04135000000002</v>
      </c>
      <c r="G454" s="273"/>
      <c r="H454" s="273">
        <f>F454*G454</f>
        <v>0</v>
      </c>
      <c r="I454" s="213" t="s">
        <v>138</v>
      </c>
      <c r="K454" s="2858"/>
      <c r="L454" s="2858"/>
    </row>
    <row r="455" spans="1:13" s="355" customFormat="1" ht="13.5" customHeight="1">
      <c r="A455" s="391"/>
      <c r="B455" s="394"/>
      <c r="C455" s="429"/>
      <c r="D455" s="262" t="s">
        <v>554</v>
      </c>
      <c r="E455" s="395"/>
      <c r="F455" s="368"/>
      <c r="G455" s="397"/>
      <c r="H455" s="365"/>
      <c r="I455" s="414"/>
      <c r="J455" s="2820"/>
      <c r="M455" s="214"/>
    </row>
    <row r="456" spans="1:13" s="355" customFormat="1" ht="13.5" customHeight="1">
      <c r="A456" s="391"/>
      <c r="B456" s="394"/>
      <c r="C456" s="430"/>
      <c r="D456" s="262" t="s">
        <v>555</v>
      </c>
      <c r="E456" s="395"/>
      <c r="F456" s="368"/>
      <c r="G456" s="397"/>
      <c r="H456" s="365"/>
      <c r="I456" s="414"/>
      <c r="J456" s="2820"/>
      <c r="M456" s="214"/>
    </row>
    <row r="457" spans="1:13" s="355" customFormat="1" ht="13.5" customHeight="1">
      <c r="A457" s="391"/>
      <c r="B457" s="394"/>
      <c r="C457" s="395"/>
      <c r="D457" s="262" t="s">
        <v>556</v>
      </c>
      <c r="E457" s="395"/>
      <c r="F457" s="368"/>
      <c r="G457" s="397"/>
      <c r="H457" s="365"/>
      <c r="I457" s="414"/>
      <c r="J457" s="2820"/>
      <c r="M457" s="214"/>
    </row>
    <row r="458" spans="1:13" s="355" customFormat="1" ht="13.5" customHeight="1">
      <c r="A458" s="271"/>
      <c r="B458" s="272"/>
      <c r="C458" s="431"/>
      <c r="D458" s="212" t="s">
        <v>563</v>
      </c>
      <c r="E458" s="152"/>
      <c r="F458" s="290">
        <f xml:space="preserve"> (31)*1.05</f>
        <v>32.550000000000004</v>
      </c>
      <c r="G458" s="273"/>
      <c r="H458" s="273"/>
      <c r="I458" s="213"/>
      <c r="J458" s="2820"/>
      <c r="M458" s="214"/>
    </row>
    <row r="459" spans="1:13" s="355" customFormat="1" ht="13.5" customHeight="1">
      <c r="A459" s="271"/>
      <c r="B459" s="272"/>
      <c r="C459" s="152"/>
      <c r="D459" s="212" t="s">
        <v>564</v>
      </c>
      <c r="E459" s="152"/>
      <c r="F459" s="290">
        <f xml:space="preserve"> (68.087)*1.05</f>
        <v>71.491350000000011</v>
      </c>
      <c r="G459" s="273"/>
      <c r="H459" s="273"/>
      <c r="I459" s="213"/>
      <c r="J459" s="2820"/>
      <c r="M459" s="214"/>
    </row>
    <row r="460" spans="1:13" s="355" customFormat="1" ht="40.5" customHeight="1">
      <c r="A460" s="391"/>
      <c r="B460" s="259"/>
      <c r="C460" s="432"/>
      <c r="D460" s="262" t="s">
        <v>559</v>
      </c>
      <c r="E460" s="260"/>
      <c r="F460" s="397"/>
      <c r="G460" s="365"/>
      <c r="H460" s="365"/>
      <c r="I460" s="414"/>
      <c r="J460" s="2820"/>
      <c r="M460" s="214"/>
    </row>
    <row r="461" spans="1:13" s="355" customFormat="1" ht="27" customHeight="1">
      <c r="A461" s="391"/>
      <c r="B461" s="259"/>
      <c r="C461" s="432"/>
      <c r="D461" s="262" t="s">
        <v>560</v>
      </c>
      <c r="E461" s="260"/>
      <c r="F461" s="397"/>
      <c r="G461" s="365"/>
      <c r="H461" s="365"/>
      <c r="I461" s="414"/>
      <c r="J461" s="2820"/>
      <c r="M461" s="214"/>
    </row>
    <row r="462" spans="1:13" s="355" customFormat="1" ht="13.5" customHeight="1">
      <c r="A462" s="271"/>
      <c r="B462" s="272"/>
      <c r="C462" s="152"/>
      <c r="D462" s="212" t="s">
        <v>561</v>
      </c>
      <c r="E462" s="152"/>
      <c r="F462" s="290"/>
      <c r="G462" s="273"/>
      <c r="H462" s="273"/>
      <c r="I462" s="213"/>
      <c r="J462" s="2820"/>
      <c r="M462" s="214"/>
    </row>
    <row r="463" spans="1:13" s="214" customFormat="1" ht="27" customHeight="1">
      <c r="A463" s="151">
        <v>92</v>
      </c>
      <c r="B463" s="152" t="s">
        <v>552</v>
      </c>
      <c r="C463" s="152" t="s">
        <v>565</v>
      </c>
      <c r="D463" s="152" t="s">
        <v>562</v>
      </c>
      <c r="E463" s="152" t="s">
        <v>165</v>
      </c>
      <c r="F463" s="273">
        <f>SUM(F467:F467)</f>
        <v>6.4260000000000002</v>
      </c>
      <c r="G463" s="273"/>
      <c r="H463" s="273">
        <f>F463*G463</f>
        <v>0</v>
      </c>
      <c r="I463" s="213" t="s">
        <v>111</v>
      </c>
      <c r="K463" s="2858"/>
      <c r="L463" s="2858"/>
    </row>
    <row r="464" spans="1:13" s="355" customFormat="1" ht="13.5" customHeight="1">
      <c r="A464" s="391"/>
      <c r="B464" s="394"/>
      <c r="C464" s="429"/>
      <c r="D464" s="262" t="s">
        <v>554</v>
      </c>
      <c r="E464" s="395"/>
      <c r="F464" s="368"/>
      <c r="G464" s="397"/>
      <c r="H464" s="365"/>
      <c r="I464" s="414"/>
      <c r="J464" s="2820"/>
      <c r="M464" s="214"/>
    </row>
    <row r="465" spans="1:13" s="355" customFormat="1" ht="13.5" customHeight="1">
      <c r="A465" s="391"/>
      <c r="B465" s="394"/>
      <c r="C465" s="430"/>
      <c r="D465" s="262" t="s">
        <v>555</v>
      </c>
      <c r="E465" s="395"/>
      <c r="F465" s="368"/>
      <c r="G465" s="397"/>
      <c r="H465" s="365"/>
      <c r="I465" s="414"/>
      <c r="J465" s="2820"/>
      <c r="M465" s="214"/>
    </row>
    <row r="466" spans="1:13" s="355" customFormat="1" ht="13.5" customHeight="1">
      <c r="A466" s="391"/>
      <c r="B466" s="394"/>
      <c r="C466" s="431"/>
      <c r="D466" s="262" t="s">
        <v>556</v>
      </c>
      <c r="E466" s="395"/>
      <c r="F466" s="368"/>
      <c r="G466" s="397"/>
      <c r="H466" s="365"/>
      <c r="I466" s="414"/>
      <c r="J466" s="2820"/>
      <c r="M466" s="214"/>
    </row>
    <row r="467" spans="1:13" s="355" customFormat="1" ht="13.5" customHeight="1">
      <c r="A467" s="271"/>
      <c r="B467" s="272"/>
      <c r="C467" s="152"/>
      <c r="D467" s="212" t="s">
        <v>566</v>
      </c>
      <c r="E467" s="152"/>
      <c r="F467" s="290">
        <f xml:space="preserve"> (6.12)*1.05</f>
        <v>6.4260000000000002</v>
      </c>
      <c r="G467" s="273"/>
      <c r="H467" s="273"/>
      <c r="I467" s="213"/>
      <c r="J467" s="2820"/>
      <c r="M467" s="214"/>
    </row>
    <row r="468" spans="1:13" s="355" customFormat="1" ht="40.5" customHeight="1">
      <c r="A468" s="391"/>
      <c r="B468" s="259"/>
      <c r="C468" s="432"/>
      <c r="D468" s="262" t="s">
        <v>559</v>
      </c>
      <c r="E468" s="260"/>
      <c r="F468" s="397"/>
      <c r="G468" s="365"/>
      <c r="H468" s="365"/>
      <c r="I468" s="414"/>
      <c r="J468" s="2820"/>
      <c r="M468" s="214"/>
    </row>
    <row r="469" spans="1:13" s="355" customFormat="1" ht="27" customHeight="1">
      <c r="A469" s="391"/>
      <c r="B469" s="259"/>
      <c r="C469" s="432"/>
      <c r="D469" s="262" t="s">
        <v>560</v>
      </c>
      <c r="E469" s="260"/>
      <c r="F469" s="397"/>
      <c r="G469" s="365"/>
      <c r="H469" s="365"/>
      <c r="I469" s="414"/>
      <c r="J469" s="2820"/>
      <c r="M469" s="214"/>
    </row>
    <row r="470" spans="1:13" s="355" customFormat="1" ht="13.5" customHeight="1">
      <c r="A470" s="271"/>
      <c r="B470" s="272"/>
      <c r="C470" s="152"/>
      <c r="D470" s="212" t="s">
        <v>561</v>
      </c>
      <c r="E470" s="152"/>
      <c r="F470" s="290"/>
      <c r="G470" s="273"/>
      <c r="H470" s="273"/>
      <c r="I470" s="213"/>
      <c r="J470" s="2820"/>
      <c r="M470" s="214"/>
    </row>
    <row r="471" spans="1:13" s="370" customFormat="1" ht="28.5" customHeight="1">
      <c r="A471" s="271">
        <v>93</v>
      </c>
      <c r="B471" s="433" t="s">
        <v>552</v>
      </c>
      <c r="C471" s="434" t="s">
        <v>567</v>
      </c>
      <c r="D471" s="260" t="s">
        <v>568</v>
      </c>
      <c r="E471" s="435" t="s">
        <v>165</v>
      </c>
      <c r="F471" s="436">
        <f>SUM(F476:F481)</f>
        <v>48.250650000000007</v>
      </c>
      <c r="G471" s="437"/>
      <c r="H471" s="273">
        <f>F471*G471</f>
        <v>0</v>
      </c>
      <c r="I471" s="213" t="s">
        <v>111</v>
      </c>
      <c r="J471" s="2859"/>
      <c r="M471" s="214"/>
    </row>
    <row r="472" spans="1:13" s="355" customFormat="1" ht="13.5" customHeight="1">
      <c r="A472" s="391"/>
      <c r="B472" s="394"/>
      <c r="C472" s="429"/>
      <c r="D472" s="262" t="s">
        <v>569</v>
      </c>
      <c r="E472" s="395"/>
      <c r="F472" s="368"/>
      <c r="G472" s="397"/>
      <c r="H472" s="365"/>
      <c r="I472" s="414"/>
      <c r="J472" s="2860"/>
      <c r="M472" s="214"/>
    </row>
    <row r="473" spans="1:13" s="355" customFormat="1" ht="13.5" customHeight="1">
      <c r="A473" s="391"/>
      <c r="B473" s="394"/>
      <c r="C473" s="429"/>
      <c r="D473" s="262" t="s">
        <v>555</v>
      </c>
      <c r="E473" s="395"/>
      <c r="F473" s="368"/>
      <c r="G473" s="397"/>
      <c r="H473" s="365"/>
      <c r="I473" s="414"/>
      <c r="J473" s="2860"/>
      <c r="M473" s="214"/>
    </row>
    <row r="474" spans="1:13" s="355" customFormat="1" ht="13.5" customHeight="1">
      <c r="A474" s="391"/>
      <c r="B474" s="394"/>
      <c r="C474" s="431"/>
      <c r="D474" s="262" t="s">
        <v>556</v>
      </c>
      <c r="E474" s="395"/>
      <c r="F474" s="368"/>
      <c r="G474" s="397"/>
      <c r="H474" s="365"/>
      <c r="I474" s="414"/>
      <c r="J474" s="2820"/>
      <c r="M474" s="214"/>
    </row>
    <row r="475" spans="1:13" s="355" customFormat="1" ht="13.5" customHeight="1">
      <c r="A475" s="271"/>
      <c r="B475" s="272"/>
      <c r="C475" s="152"/>
      <c r="D475" s="212" t="s">
        <v>570</v>
      </c>
      <c r="E475" s="152"/>
      <c r="F475" s="290"/>
      <c r="G475" s="273"/>
      <c r="H475" s="273"/>
      <c r="I475" s="213"/>
      <c r="J475" s="2820"/>
      <c r="M475" s="214"/>
    </row>
    <row r="476" spans="1:13" s="355" customFormat="1" ht="13.5" customHeight="1">
      <c r="A476" s="271"/>
      <c r="B476" s="272"/>
      <c r="C476" s="152"/>
      <c r="D476" s="212" t="s">
        <v>571</v>
      </c>
      <c r="E476" s="152"/>
      <c r="F476" s="290">
        <f>(14.025)*1.05</f>
        <v>14.72625</v>
      </c>
      <c r="G476" s="273"/>
      <c r="H476" s="273"/>
      <c r="I476" s="213"/>
      <c r="J476" s="2820"/>
      <c r="M476" s="214"/>
    </row>
    <row r="477" spans="1:13" s="355" customFormat="1" ht="13.5" customHeight="1">
      <c r="A477" s="271"/>
      <c r="B477" s="272"/>
      <c r="C477" s="152"/>
      <c r="D477" s="212" t="s">
        <v>572</v>
      </c>
      <c r="E477" s="152"/>
      <c r="F477" s="290">
        <f>(21.038)*1.05</f>
        <v>22.0899</v>
      </c>
      <c r="G477" s="273"/>
      <c r="H477" s="273"/>
      <c r="I477" s="213"/>
      <c r="J477" s="2820"/>
      <c r="M477" s="214"/>
    </row>
    <row r="478" spans="1:13" s="355" customFormat="1" ht="13.5" customHeight="1">
      <c r="A478" s="271"/>
      <c r="B478" s="272"/>
      <c r="C478" s="152"/>
      <c r="D478" s="212" t="s">
        <v>573</v>
      </c>
      <c r="E478" s="152"/>
      <c r="F478" s="290"/>
      <c r="G478" s="273"/>
      <c r="H478" s="273"/>
      <c r="I478" s="213"/>
      <c r="J478" s="2820"/>
      <c r="M478" s="214"/>
    </row>
    <row r="479" spans="1:13" s="355" customFormat="1" ht="13.5" customHeight="1">
      <c r="A479" s="271"/>
      <c r="B479" s="272"/>
      <c r="C479" s="152"/>
      <c r="D479" s="212" t="s">
        <v>574</v>
      </c>
      <c r="E479" s="152"/>
      <c r="F479" s="290">
        <f>(5.28)*1.05</f>
        <v>5.5440000000000005</v>
      </c>
      <c r="G479" s="273"/>
      <c r="H479" s="273"/>
      <c r="I479" s="213"/>
      <c r="J479" s="2820"/>
      <c r="M479" s="214"/>
    </row>
    <row r="480" spans="1:13" s="355" customFormat="1" ht="13.5" customHeight="1">
      <c r="A480" s="271"/>
      <c r="B480" s="272"/>
      <c r="C480" s="152"/>
      <c r="D480" s="212" t="s">
        <v>575</v>
      </c>
      <c r="E480" s="152"/>
      <c r="F480" s="290"/>
      <c r="G480" s="273"/>
      <c r="H480" s="273"/>
      <c r="I480" s="213"/>
      <c r="J480" s="2820"/>
      <c r="M480" s="214"/>
    </row>
    <row r="481" spans="1:13" s="355" customFormat="1" ht="13.5" customHeight="1">
      <c r="A481" s="271"/>
      <c r="B481" s="272"/>
      <c r="C481" s="152"/>
      <c r="D481" s="212" t="s">
        <v>576</v>
      </c>
      <c r="E481" s="152"/>
      <c r="F481" s="290">
        <f>(5.61)*1.05</f>
        <v>5.8905000000000003</v>
      </c>
      <c r="G481" s="273"/>
      <c r="H481" s="273"/>
      <c r="I481" s="213"/>
      <c r="J481" s="2820"/>
      <c r="M481" s="214"/>
    </row>
    <row r="482" spans="1:13" s="355" customFormat="1" ht="40.5" customHeight="1">
      <c r="A482" s="391"/>
      <c r="B482" s="259"/>
      <c r="C482" s="432"/>
      <c r="D482" s="262" t="s">
        <v>559</v>
      </c>
      <c r="E482" s="260"/>
      <c r="F482" s="397"/>
      <c r="G482" s="365"/>
      <c r="H482" s="365"/>
      <c r="I482" s="414"/>
      <c r="J482" s="2820"/>
      <c r="M482" s="214"/>
    </row>
    <row r="483" spans="1:13" s="355" customFormat="1" ht="27" customHeight="1">
      <c r="A483" s="391"/>
      <c r="B483" s="259"/>
      <c r="C483" s="432"/>
      <c r="D483" s="262" t="s">
        <v>560</v>
      </c>
      <c r="E483" s="260"/>
      <c r="F483" s="397"/>
      <c r="G483" s="365"/>
      <c r="H483" s="365"/>
      <c r="I483" s="414"/>
      <c r="J483" s="2820"/>
      <c r="M483" s="214"/>
    </row>
    <row r="484" spans="1:13" s="355" customFormat="1" ht="13.5" customHeight="1">
      <c r="A484" s="271"/>
      <c r="B484" s="272"/>
      <c r="C484" s="152"/>
      <c r="D484" s="212" t="s">
        <v>561</v>
      </c>
      <c r="E484" s="152"/>
      <c r="F484" s="290"/>
      <c r="G484" s="273"/>
      <c r="H484" s="273"/>
      <c r="I484" s="213"/>
      <c r="J484" s="2820"/>
      <c r="M484" s="214"/>
    </row>
    <row r="485" spans="1:13" s="370" customFormat="1" ht="13.5" customHeight="1">
      <c r="A485" s="2730" t="s">
        <v>3870</v>
      </c>
      <c r="B485" s="2987" t="s">
        <v>552</v>
      </c>
      <c r="C485" s="2988">
        <v>763111713</v>
      </c>
      <c r="D485" s="2953" t="s">
        <v>3871</v>
      </c>
      <c r="E485" s="2989" t="s">
        <v>165</v>
      </c>
      <c r="F485" s="2990">
        <f>SUM(F487:F488)</f>
        <v>36.58</v>
      </c>
      <c r="G485" s="2991"/>
      <c r="H485" s="2933">
        <f>F485*G485</f>
        <v>0</v>
      </c>
      <c r="I485" s="2955" t="s">
        <v>111</v>
      </c>
      <c r="J485" s="2859"/>
      <c r="M485" s="214"/>
    </row>
    <row r="486" spans="1:13" s="355" customFormat="1" ht="13.5" customHeight="1">
      <c r="A486" s="2945"/>
      <c r="B486" s="2952"/>
      <c r="C486" s="2992"/>
      <c r="D486" s="2953" t="s">
        <v>3872</v>
      </c>
      <c r="E486" s="2953"/>
      <c r="F486" s="2954"/>
      <c r="G486" s="2954"/>
      <c r="H486" s="2954"/>
      <c r="I486" s="2956"/>
      <c r="J486" s="2860"/>
      <c r="M486" s="214"/>
    </row>
    <row r="487" spans="1:13" s="355" customFormat="1" ht="13.5" customHeight="1">
      <c r="A487" s="2945"/>
      <c r="B487" s="2952"/>
      <c r="C487" s="2992"/>
      <c r="D487" s="2953" t="s">
        <v>3873</v>
      </c>
      <c r="E487" s="2953"/>
      <c r="F487" s="2954">
        <v>23.1</v>
      </c>
      <c r="G487" s="2954"/>
      <c r="H487" s="2954"/>
      <c r="I487" s="2956"/>
      <c r="J487" s="2860"/>
      <c r="M487" s="214"/>
    </row>
    <row r="488" spans="1:13" s="355" customFormat="1" ht="13.5" customHeight="1">
      <c r="A488" s="2945"/>
      <c r="B488" s="2952"/>
      <c r="C488" s="2993"/>
      <c r="D488" s="2953" t="s">
        <v>3874</v>
      </c>
      <c r="E488" s="2953"/>
      <c r="F488" s="2954">
        <v>13.48</v>
      </c>
      <c r="G488" s="2954"/>
      <c r="H488" s="2954"/>
      <c r="I488" s="2956"/>
      <c r="J488" s="2820"/>
      <c r="M488" s="214"/>
    </row>
    <row r="489" spans="1:13" s="370" customFormat="1" ht="13.5" customHeight="1">
      <c r="A489" s="2730" t="s">
        <v>3875</v>
      </c>
      <c r="B489" s="2987" t="s">
        <v>552</v>
      </c>
      <c r="C489" s="2988">
        <v>763111714</v>
      </c>
      <c r="D489" s="2953" t="s">
        <v>3876</v>
      </c>
      <c r="E489" s="2989" t="s">
        <v>165</v>
      </c>
      <c r="F489" s="2990">
        <f>SUM(F491:F492)</f>
        <v>43.25</v>
      </c>
      <c r="G489" s="2991"/>
      <c r="H489" s="2933">
        <f>F489*G489</f>
        <v>0</v>
      </c>
      <c r="I489" s="2955" t="s">
        <v>111</v>
      </c>
      <c r="J489" s="2859"/>
      <c r="M489" s="214"/>
    </row>
    <row r="490" spans="1:13" s="355" customFormat="1" ht="13.5" customHeight="1">
      <c r="A490" s="2945"/>
      <c r="B490" s="2952"/>
      <c r="C490" s="2992"/>
      <c r="D490" s="2953" t="s">
        <v>3877</v>
      </c>
      <c r="E490" s="2953"/>
      <c r="F490" s="2954"/>
      <c r="G490" s="2954"/>
      <c r="H490" s="2954"/>
      <c r="I490" s="2956"/>
      <c r="J490" s="2860"/>
      <c r="M490" s="214"/>
    </row>
    <row r="491" spans="1:13" s="355" customFormat="1" ht="13.5" customHeight="1">
      <c r="A491" s="2945"/>
      <c r="B491" s="2952"/>
      <c r="C491" s="2992"/>
      <c r="D491" s="2953" t="s">
        <v>3878</v>
      </c>
      <c r="E491" s="2953"/>
      <c r="F491" s="2954">
        <v>26.4</v>
      </c>
      <c r="G491" s="2954"/>
      <c r="H491" s="2954"/>
      <c r="I491" s="2956"/>
      <c r="J491" s="2860"/>
      <c r="M491" s="214"/>
    </row>
    <row r="492" spans="1:13" s="355" customFormat="1" ht="13.5" customHeight="1">
      <c r="A492" s="2945"/>
      <c r="B492" s="2952"/>
      <c r="C492" s="2993"/>
      <c r="D492" s="2953" t="s">
        <v>3879</v>
      </c>
      <c r="E492" s="2953"/>
      <c r="F492" s="2954">
        <v>16.850000000000001</v>
      </c>
      <c r="G492" s="2954"/>
      <c r="H492" s="2954"/>
      <c r="I492" s="2956"/>
      <c r="J492" s="2820"/>
      <c r="M492" s="214"/>
    </row>
    <row r="493" spans="1:13" s="355" customFormat="1" ht="13.5" customHeight="1">
      <c r="A493" s="271">
        <v>94</v>
      </c>
      <c r="B493" s="272" t="s">
        <v>552</v>
      </c>
      <c r="C493" s="152" t="s">
        <v>577</v>
      </c>
      <c r="D493" s="152" t="s">
        <v>578</v>
      </c>
      <c r="E493" s="152" t="s">
        <v>165</v>
      </c>
      <c r="F493" s="273">
        <f>SUM(F496:F496)</f>
        <v>9.5287500000000005</v>
      </c>
      <c r="G493" s="273"/>
      <c r="H493" s="273">
        <f>F493*G493</f>
        <v>0</v>
      </c>
      <c r="I493" s="213" t="s">
        <v>111</v>
      </c>
      <c r="J493" s="2820"/>
      <c r="M493" s="214"/>
    </row>
    <row r="494" spans="1:13" s="355" customFormat="1" ht="13.5" customHeight="1">
      <c r="A494" s="271"/>
      <c r="B494" s="362"/>
      <c r="C494" s="429"/>
      <c r="D494" s="262" t="s">
        <v>579</v>
      </c>
      <c r="E494" s="363"/>
      <c r="F494" s="290"/>
      <c r="G494" s="364"/>
      <c r="H494" s="273"/>
      <c r="I494" s="360"/>
      <c r="J494" s="2859"/>
      <c r="M494" s="214"/>
    </row>
    <row r="495" spans="1:13" s="355" customFormat="1" ht="13.5" customHeight="1">
      <c r="A495" s="391"/>
      <c r="B495" s="394"/>
      <c r="C495" s="438"/>
      <c r="D495" s="262" t="s">
        <v>580</v>
      </c>
      <c r="E495" s="395"/>
      <c r="F495" s="368"/>
      <c r="G495" s="397"/>
      <c r="H495" s="365"/>
      <c r="I495" s="414"/>
      <c r="J495" s="2820"/>
      <c r="M495" s="214"/>
    </row>
    <row r="496" spans="1:13" s="355" customFormat="1" ht="13.5" customHeight="1">
      <c r="A496" s="271"/>
      <c r="B496" s="272"/>
      <c r="C496" s="152"/>
      <c r="D496" s="212" t="s">
        <v>581</v>
      </c>
      <c r="E496" s="152"/>
      <c r="F496" s="290">
        <f>(9.075)*1.05</f>
        <v>9.5287500000000005</v>
      </c>
      <c r="G496" s="273"/>
      <c r="H496" s="273"/>
      <c r="I496" s="213"/>
      <c r="J496" s="2820"/>
      <c r="M496" s="214"/>
    </row>
    <row r="497" spans="1:13" s="355" customFormat="1" ht="40.5" customHeight="1">
      <c r="A497" s="271"/>
      <c r="B497" s="272"/>
      <c r="C497" s="438"/>
      <c r="D497" s="212" t="s">
        <v>559</v>
      </c>
      <c r="E497" s="152"/>
      <c r="F497" s="364"/>
      <c r="G497" s="273"/>
      <c r="H497" s="273"/>
      <c r="I497" s="360"/>
      <c r="J497" s="2820"/>
      <c r="M497" s="214"/>
    </row>
    <row r="498" spans="1:13" s="355" customFormat="1" ht="13.5" customHeight="1">
      <c r="A498" s="391"/>
      <c r="B498" s="259"/>
      <c r="C498" s="432"/>
      <c r="D498" s="262" t="s">
        <v>582</v>
      </c>
      <c r="E498" s="260"/>
      <c r="F498" s="397"/>
      <c r="G498" s="365"/>
      <c r="H498" s="365"/>
      <c r="I498" s="414"/>
      <c r="J498" s="2820"/>
      <c r="M498" s="214"/>
    </row>
    <row r="499" spans="1:13" s="355" customFormat="1" ht="13.5" customHeight="1">
      <c r="A499" s="271"/>
      <c r="B499" s="272"/>
      <c r="C499" s="152"/>
      <c r="D499" s="212" t="s">
        <v>561</v>
      </c>
      <c r="E499" s="152"/>
      <c r="F499" s="290"/>
      <c r="G499" s="273"/>
      <c r="H499" s="273"/>
      <c r="I499" s="213"/>
      <c r="J499" s="2820"/>
      <c r="M499" s="214"/>
    </row>
    <row r="500" spans="1:13" s="355" customFormat="1" ht="13.5" customHeight="1">
      <c r="A500" s="271">
        <v>95</v>
      </c>
      <c r="B500" s="272" t="s">
        <v>552</v>
      </c>
      <c r="C500" s="152" t="s">
        <v>583</v>
      </c>
      <c r="D500" s="152" t="s">
        <v>584</v>
      </c>
      <c r="E500" s="152" t="s">
        <v>165</v>
      </c>
      <c r="F500" s="273">
        <f>SUM(F503:F503)</f>
        <v>11.088000000000001</v>
      </c>
      <c r="G500" s="273"/>
      <c r="H500" s="273">
        <f>F500*G500</f>
        <v>0</v>
      </c>
      <c r="I500" s="213" t="s">
        <v>111</v>
      </c>
      <c r="J500" s="2820"/>
      <c r="M500" s="214"/>
    </row>
    <row r="501" spans="1:13" s="355" customFormat="1" ht="13.5" customHeight="1">
      <c r="A501" s="271"/>
      <c r="B501" s="362"/>
      <c r="C501" s="429"/>
      <c r="D501" s="262" t="s">
        <v>579</v>
      </c>
      <c r="E501" s="363"/>
      <c r="F501" s="290"/>
      <c r="G501" s="364"/>
      <c r="H501" s="273"/>
      <c r="I501" s="360"/>
      <c r="J501" s="2859"/>
      <c r="M501" s="214"/>
    </row>
    <row r="502" spans="1:13" s="355" customFormat="1" ht="13.5" customHeight="1">
      <c r="A502" s="391"/>
      <c r="B502" s="394"/>
      <c r="C502" s="438"/>
      <c r="D502" s="262" t="s">
        <v>580</v>
      </c>
      <c r="E502" s="395"/>
      <c r="F502" s="368"/>
      <c r="G502" s="397"/>
      <c r="H502" s="365"/>
      <c r="I502" s="414"/>
      <c r="J502" s="2820"/>
      <c r="M502" s="214"/>
    </row>
    <row r="503" spans="1:13" s="355" customFormat="1" ht="13.5" customHeight="1">
      <c r="A503" s="271"/>
      <c r="B503" s="272"/>
      <c r="C503" s="152"/>
      <c r="D503" s="212" t="s">
        <v>585</v>
      </c>
      <c r="E503" s="152"/>
      <c r="F503" s="290">
        <f>(10.56)*1.05</f>
        <v>11.088000000000001</v>
      </c>
      <c r="G503" s="273"/>
      <c r="H503" s="273"/>
      <c r="I503" s="213"/>
      <c r="J503" s="2820"/>
      <c r="M503" s="214"/>
    </row>
    <row r="504" spans="1:13" s="355" customFormat="1" ht="40.5" customHeight="1">
      <c r="A504" s="271"/>
      <c r="B504" s="272"/>
      <c r="C504" s="438"/>
      <c r="D504" s="212" t="s">
        <v>559</v>
      </c>
      <c r="E504" s="152"/>
      <c r="F504" s="364"/>
      <c r="G504" s="273"/>
      <c r="H504" s="273"/>
      <c r="I504" s="360"/>
      <c r="J504" s="2820"/>
      <c r="M504" s="214"/>
    </row>
    <row r="505" spans="1:13" s="355" customFormat="1" ht="13.5" customHeight="1">
      <c r="A505" s="391"/>
      <c r="B505" s="259"/>
      <c r="C505" s="432"/>
      <c r="D505" s="262" t="s">
        <v>582</v>
      </c>
      <c r="E505" s="260"/>
      <c r="F505" s="397"/>
      <c r="G505" s="365"/>
      <c r="H505" s="365"/>
      <c r="I505" s="414"/>
      <c r="J505" s="2820"/>
      <c r="M505" s="214"/>
    </row>
    <row r="506" spans="1:13" s="355" customFormat="1" ht="13.5" customHeight="1">
      <c r="A506" s="271"/>
      <c r="B506" s="272"/>
      <c r="C506" s="152"/>
      <c r="D506" s="212" t="s">
        <v>561</v>
      </c>
      <c r="E506" s="152"/>
      <c r="F506" s="290"/>
      <c r="G506" s="273"/>
      <c r="H506" s="273"/>
      <c r="I506" s="213"/>
      <c r="J506" s="2820"/>
      <c r="M506" s="214"/>
    </row>
    <row r="507" spans="1:13" s="355" customFormat="1" ht="27" customHeight="1">
      <c r="A507" s="271">
        <v>96</v>
      </c>
      <c r="B507" s="272" t="s">
        <v>552</v>
      </c>
      <c r="C507" s="152" t="s">
        <v>586</v>
      </c>
      <c r="D507" s="152" t="s">
        <v>587</v>
      </c>
      <c r="E507" s="152" t="s">
        <v>165</v>
      </c>
      <c r="F507" s="273">
        <f>SUM(F511:F512)</f>
        <v>7.6597500000000007</v>
      </c>
      <c r="G507" s="273"/>
      <c r="H507" s="273">
        <f>F507*G507</f>
        <v>0</v>
      </c>
      <c r="I507" s="213" t="s">
        <v>111</v>
      </c>
      <c r="J507" s="2820"/>
      <c r="M507" s="214"/>
    </row>
    <row r="508" spans="1:13" s="355" customFormat="1" ht="13.5" customHeight="1">
      <c r="A508" s="271"/>
      <c r="B508" s="362"/>
      <c r="C508" s="429"/>
      <c r="D508" s="262" t="s">
        <v>588</v>
      </c>
      <c r="E508" s="363"/>
      <c r="F508" s="290"/>
      <c r="G508" s="364"/>
      <c r="H508" s="273"/>
      <c r="I508" s="360"/>
      <c r="J508" s="2859"/>
      <c r="M508" s="214"/>
    </row>
    <row r="509" spans="1:13" s="355" customFormat="1" ht="13.5" customHeight="1">
      <c r="A509" s="391"/>
      <c r="B509" s="394"/>
      <c r="C509" s="395"/>
      <c r="D509" s="262" t="s">
        <v>555</v>
      </c>
      <c r="E509" s="395"/>
      <c r="F509" s="368"/>
      <c r="G509" s="397"/>
      <c r="H509" s="365"/>
      <c r="I509" s="414"/>
      <c r="J509" s="2820"/>
      <c r="M509" s="214"/>
    </row>
    <row r="510" spans="1:13" s="355" customFormat="1" ht="13.5" customHeight="1">
      <c r="A510" s="391"/>
      <c r="B510" s="394"/>
      <c r="C510" s="431"/>
      <c r="D510" s="262" t="s">
        <v>556</v>
      </c>
      <c r="E510" s="395"/>
      <c r="F510" s="368"/>
      <c r="G510" s="397"/>
      <c r="H510" s="365"/>
      <c r="I510" s="414"/>
      <c r="J510" s="2820"/>
      <c r="M510" s="214"/>
    </row>
    <row r="511" spans="1:13" s="355" customFormat="1" ht="13.5" customHeight="1">
      <c r="A511" s="271"/>
      <c r="B511" s="272"/>
      <c r="C511" s="152"/>
      <c r="D511" s="212" t="s">
        <v>589</v>
      </c>
      <c r="E511" s="152"/>
      <c r="F511" s="290">
        <f>(4.588)*1.05</f>
        <v>4.8174000000000001</v>
      </c>
      <c r="G511" s="273"/>
      <c r="H511" s="273"/>
      <c r="I511" s="213"/>
      <c r="J511" s="2820"/>
      <c r="M511" s="214"/>
    </row>
    <row r="512" spans="1:13" s="355" customFormat="1" ht="13.5" customHeight="1">
      <c r="A512" s="271"/>
      <c r="B512" s="272"/>
      <c r="C512" s="152"/>
      <c r="D512" s="212" t="s">
        <v>590</v>
      </c>
      <c r="E512" s="152"/>
      <c r="F512" s="290">
        <f>(2.707)*1.05</f>
        <v>2.8423500000000002</v>
      </c>
      <c r="G512" s="273"/>
      <c r="H512" s="273"/>
      <c r="I512" s="213"/>
      <c r="J512" s="2820"/>
      <c r="M512" s="214"/>
    </row>
    <row r="513" spans="1:13" s="355" customFormat="1" ht="40.5" customHeight="1">
      <c r="A513" s="271"/>
      <c r="B513" s="272"/>
      <c r="C513" s="438"/>
      <c r="D513" s="212" t="s">
        <v>559</v>
      </c>
      <c r="E513" s="152"/>
      <c r="F513" s="364"/>
      <c r="G513" s="273"/>
      <c r="H513" s="273"/>
      <c r="I513" s="360"/>
      <c r="J513" s="2820"/>
      <c r="M513" s="214"/>
    </row>
    <row r="514" spans="1:13" s="355" customFormat="1" ht="13.5" customHeight="1">
      <c r="A514" s="391"/>
      <c r="B514" s="259"/>
      <c r="C514" s="432"/>
      <c r="D514" s="262" t="s">
        <v>582</v>
      </c>
      <c r="E514" s="260"/>
      <c r="F514" s="397"/>
      <c r="G514" s="365"/>
      <c r="H514" s="365"/>
      <c r="I514" s="414"/>
      <c r="J514" s="2820"/>
      <c r="M514" s="214"/>
    </row>
    <row r="515" spans="1:13" s="355" customFormat="1" ht="13.5" customHeight="1">
      <c r="A515" s="271"/>
      <c r="B515" s="272"/>
      <c r="C515" s="152"/>
      <c r="D515" s="212" t="s">
        <v>561</v>
      </c>
      <c r="E515" s="152"/>
      <c r="F515" s="290"/>
      <c r="G515" s="273"/>
      <c r="H515" s="273"/>
      <c r="I515" s="213"/>
      <c r="J515" s="2820"/>
      <c r="M515" s="214"/>
    </row>
    <row r="516" spans="1:13" s="355" customFormat="1" ht="27" customHeight="1">
      <c r="A516" s="271">
        <v>97</v>
      </c>
      <c r="B516" s="272" t="s">
        <v>552</v>
      </c>
      <c r="C516" s="152" t="s">
        <v>591</v>
      </c>
      <c r="D516" s="152" t="s">
        <v>592</v>
      </c>
      <c r="E516" s="152" t="s">
        <v>165</v>
      </c>
      <c r="F516" s="273">
        <f>SUM(F519:F520)</f>
        <v>11.781000000000001</v>
      </c>
      <c r="G516" s="273"/>
      <c r="H516" s="273">
        <f>F516*G516</f>
        <v>0</v>
      </c>
      <c r="I516" s="213" t="s">
        <v>111</v>
      </c>
      <c r="J516" s="2820"/>
      <c r="M516" s="214"/>
    </row>
    <row r="517" spans="1:13" s="355" customFormat="1" ht="13.5" customHeight="1">
      <c r="A517" s="271"/>
      <c r="B517" s="362"/>
      <c r="C517" s="429"/>
      <c r="D517" s="262" t="s">
        <v>588</v>
      </c>
      <c r="E517" s="363"/>
      <c r="F517" s="290"/>
      <c r="G517" s="364"/>
      <c r="H517" s="273"/>
      <c r="I517" s="360"/>
      <c r="J517" s="2859"/>
      <c r="M517" s="214"/>
    </row>
    <row r="518" spans="1:13" s="355" customFormat="1" ht="13.5" customHeight="1">
      <c r="A518" s="391"/>
      <c r="B518" s="394"/>
      <c r="C518" s="395"/>
      <c r="D518" s="262" t="s">
        <v>555</v>
      </c>
      <c r="E518" s="395"/>
      <c r="F518" s="368"/>
      <c r="G518" s="397"/>
      <c r="H518" s="365"/>
      <c r="I518" s="414"/>
      <c r="J518" s="2820"/>
      <c r="M518" s="214"/>
    </row>
    <row r="519" spans="1:13" s="355" customFormat="1" ht="13.5" customHeight="1">
      <c r="A519" s="271"/>
      <c r="B519" s="272"/>
      <c r="C519" s="152"/>
      <c r="D519" s="262" t="s">
        <v>556</v>
      </c>
      <c r="E519" s="152"/>
      <c r="F519" s="290"/>
      <c r="G519" s="273"/>
      <c r="H519" s="273"/>
      <c r="I519" s="213"/>
      <c r="J519" s="2820"/>
      <c r="M519" s="214"/>
    </row>
    <row r="520" spans="1:13" s="355" customFormat="1" ht="13.5" customHeight="1">
      <c r="A520" s="271"/>
      <c r="B520" s="272"/>
      <c r="C520" s="152"/>
      <c r="D520" s="212" t="s">
        <v>593</v>
      </c>
      <c r="E520" s="152"/>
      <c r="F520" s="290">
        <f>(11.22)*1.05</f>
        <v>11.781000000000001</v>
      </c>
      <c r="G520" s="273"/>
      <c r="H520" s="273"/>
      <c r="I520" s="213"/>
      <c r="J520" s="2820"/>
      <c r="M520" s="214"/>
    </row>
    <row r="521" spans="1:13" s="355" customFormat="1" ht="40.5" customHeight="1">
      <c r="A521" s="271"/>
      <c r="B521" s="272"/>
      <c r="C521" s="438"/>
      <c r="D521" s="212" t="s">
        <v>559</v>
      </c>
      <c r="E521" s="152"/>
      <c r="F521" s="364"/>
      <c r="G521" s="273"/>
      <c r="H521" s="273"/>
      <c r="I521" s="360"/>
      <c r="J521" s="2820"/>
      <c r="M521" s="214"/>
    </row>
    <row r="522" spans="1:13" s="355" customFormat="1" ht="13.5" customHeight="1">
      <c r="A522" s="391"/>
      <c r="B522" s="259"/>
      <c r="C522" s="432"/>
      <c r="D522" s="262" t="s">
        <v>582</v>
      </c>
      <c r="E522" s="260"/>
      <c r="F522" s="397"/>
      <c r="G522" s="365"/>
      <c r="H522" s="365"/>
      <c r="I522" s="414"/>
      <c r="J522" s="2820"/>
      <c r="M522" s="214"/>
    </row>
    <row r="523" spans="1:13" s="355" customFormat="1" ht="13.5" customHeight="1">
      <c r="A523" s="271"/>
      <c r="B523" s="272"/>
      <c r="C523" s="152"/>
      <c r="D523" s="212" t="s">
        <v>561</v>
      </c>
      <c r="E523" s="152"/>
      <c r="F523" s="290"/>
      <c r="G523" s="273"/>
      <c r="H523" s="273"/>
      <c r="I523" s="213"/>
      <c r="J523" s="2820"/>
      <c r="M523" s="214"/>
    </row>
    <row r="524" spans="1:13" s="355" customFormat="1" ht="27" customHeight="1">
      <c r="A524" s="271">
        <v>98</v>
      </c>
      <c r="B524" s="272" t="s">
        <v>552</v>
      </c>
      <c r="C524" s="152" t="s">
        <v>594</v>
      </c>
      <c r="D524" s="152" t="s">
        <v>595</v>
      </c>
      <c r="E524" s="152" t="s">
        <v>165</v>
      </c>
      <c r="F524" s="273">
        <f>SUM(F528:F529)</f>
        <v>41.230350000000001</v>
      </c>
      <c r="G524" s="273"/>
      <c r="H524" s="273">
        <f>F524*G524</f>
        <v>0</v>
      </c>
      <c r="I524" s="213" t="s">
        <v>111</v>
      </c>
      <c r="J524" s="2861"/>
      <c r="M524" s="214"/>
    </row>
    <row r="525" spans="1:13" s="355" customFormat="1" ht="13.5" customHeight="1">
      <c r="A525" s="271"/>
      <c r="B525" s="362"/>
      <c r="C525" s="429"/>
      <c r="D525" s="262" t="s">
        <v>588</v>
      </c>
      <c r="E525" s="363"/>
      <c r="F525" s="290"/>
      <c r="G525" s="364"/>
      <c r="H525" s="273"/>
      <c r="I525" s="360"/>
      <c r="J525" s="2859"/>
      <c r="M525" s="214"/>
    </row>
    <row r="526" spans="1:13" s="355" customFormat="1" ht="13.5" customHeight="1">
      <c r="A526" s="391"/>
      <c r="B526" s="394"/>
      <c r="C526" s="395"/>
      <c r="D526" s="262" t="s">
        <v>555</v>
      </c>
      <c r="E526" s="395"/>
      <c r="F526" s="368"/>
      <c r="G526" s="397"/>
      <c r="H526" s="365"/>
      <c r="I526" s="414"/>
      <c r="J526" s="2820"/>
      <c r="M526" s="214"/>
    </row>
    <row r="527" spans="1:13" s="355" customFormat="1" ht="13.5" customHeight="1">
      <c r="A527" s="391"/>
      <c r="B527" s="394"/>
      <c r="C527" s="438"/>
      <c r="D527" s="262" t="s">
        <v>556</v>
      </c>
      <c r="E527" s="395"/>
      <c r="F527" s="368"/>
      <c r="G527" s="397"/>
      <c r="H527" s="365"/>
      <c r="I527" s="414"/>
      <c r="J527" s="2820"/>
      <c r="M527" s="214"/>
    </row>
    <row r="528" spans="1:13" s="355" customFormat="1" ht="13.5" customHeight="1">
      <c r="A528" s="271"/>
      <c r="B528" s="272"/>
      <c r="C528" s="152"/>
      <c r="D528" s="212" t="s">
        <v>596</v>
      </c>
      <c r="E528" s="152"/>
      <c r="F528" s="290">
        <f>(20.293)*1.05</f>
        <v>21.307649999999999</v>
      </c>
      <c r="G528" s="273"/>
      <c r="H528" s="273"/>
      <c r="I528" s="213"/>
      <c r="J528" s="2820"/>
      <c r="M528" s="214"/>
    </row>
    <row r="529" spans="1:13" s="355" customFormat="1" ht="13.5" customHeight="1">
      <c r="A529" s="271"/>
      <c r="B529" s="272"/>
      <c r="C529" s="152"/>
      <c r="D529" s="212" t="s">
        <v>597</v>
      </c>
      <c r="E529" s="152"/>
      <c r="F529" s="290">
        <f>(18.974)*1.05</f>
        <v>19.922700000000003</v>
      </c>
      <c r="G529" s="273"/>
      <c r="H529" s="273"/>
      <c r="I529" s="213"/>
      <c r="J529" s="2820"/>
      <c r="M529" s="214"/>
    </row>
    <row r="530" spans="1:13" s="355" customFormat="1" ht="40.5" customHeight="1">
      <c r="A530" s="271"/>
      <c r="B530" s="272"/>
      <c r="C530" s="431"/>
      <c r="D530" s="212" t="s">
        <v>559</v>
      </c>
      <c r="E530" s="152"/>
      <c r="F530" s="364"/>
      <c r="G530" s="273"/>
      <c r="H530" s="273"/>
      <c r="I530" s="360"/>
      <c r="J530" s="2820"/>
      <c r="M530" s="214"/>
    </row>
    <row r="531" spans="1:13" s="355" customFormat="1" ht="13.5" customHeight="1">
      <c r="A531" s="391"/>
      <c r="B531" s="259"/>
      <c r="C531" s="432"/>
      <c r="D531" s="262" t="s">
        <v>582</v>
      </c>
      <c r="E531" s="260"/>
      <c r="F531" s="397"/>
      <c r="G531" s="365"/>
      <c r="H531" s="365"/>
      <c r="I531" s="414"/>
      <c r="J531" s="2820"/>
      <c r="M531" s="214"/>
    </row>
    <row r="532" spans="1:13" s="355" customFormat="1" ht="13.5" customHeight="1">
      <c r="A532" s="271"/>
      <c r="B532" s="272"/>
      <c r="C532" s="152"/>
      <c r="D532" s="212" t="s">
        <v>561</v>
      </c>
      <c r="E532" s="152"/>
      <c r="F532" s="290"/>
      <c r="G532" s="273"/>
      <c r="H532" s="273"/>
      <c r="I532" s="213"/>
      <c r="J532" s="2820"/>
      <c r="M532" s="214"/>
    </row>
    <row r="533" spans="1:13" s="355" customFormat="1" ht="13.5" customHeight="1">
      <c r="A533" s="391">
        <v>99</v>
      </c>
      <c r="B533" s="259" t="s">
        <v>552</v>
      </c>
      <c r="C533" s="260">
        <v>763131414</v>
      </c>
      <c r="D533" s="260" t="s">
        <v>598</v>
      </c>
      <c r="E533" s="260" t="s">
        <v>165</v>
      </c>
      <c r="F533" s="397">
        <f>SUM(F534:F536)</f>
        <v>308.4375</v>
      </c>
      <c r="G533" s="365"/>
      <c r="H533" s="365">
        <f>G533*F533</f>
        <v>0</v>
      </c>
      <c r="I533" s="213" t="s">
        <v>138</v>
      </c>
      <c r="J533" s="2862"/>
      <c r="M533" s="214"/>
    </row>
    <row r="534" spans="1:13" s="355" customFormat="1" ht="13.5" customHeight="1">
      <c r="A534" s="391"/>
      <c r="B534" s="259"/>
      <c r="C534" s="260"/>
      <c r="D534" s="262" t="s">
        <v>599</v>
      </c>
      <c r="E534" s="260"/>
      <c r="F534" s="368"/>
      <c r="G534" s="365"/>
      <c r="H534" s="365"/>
      <c r="I534" s="414"/>
      <c r="J534" s="2820"/>
      <c r="M534" s="214"/>
    </row>
    <row r="535" spans="1:13" s="355" customFormat="1" ht="13.5" customHeight="1">
      <c r="A535" s="391"/>
      <c r="B535" s="259"/>
      <c r="C535" s="439"/>
      <c r="D535" s="262" t="s">
        <v>600</v>
      </c>
      <c r="E535" s="260"/>
      <c r="F535" s="476">
        <f>(68.95)*1.05</f>
        <v>72.397500000000008</v>
      </c>
      <c r="G535" s="365"/>
      <c r="H535" s="365"/>
      <c r="I535" s="414"/>
      <c r="J535" s="2863"/>
      <c r="M535" s="214"/>
    </row>
    <row r="536" spans="1:13" s="355" customFormat="1" ht="13.5" customHeight="1">
      <c r="A536" s="391"/>
      <c r="B536" s="259"/>
      <c r="C536" s="439"/>
      <c r="D536" s="262" t="s">
        <v>601</v>
      </c>
      <c r="E536" s="260"/>
      <c r="F536" s="476">
        <f>(224.8)*1.05</f>
        <v>236.04000000000002</v>
      </c>
      <c r="G536" s="365"/>
      <c r="H536" s="365"/>
      <c r="I536" s="414"/>
      <c r="J536" s="2863"/>
      <c r="M536" s="214"/>
    </row>
    <row r="537" spans="1:13" s="158" customFormat="1" ht="26.25" customHeight="1">
      <c r="A537" s="176"/>
      <c r="B537" s="180"/>
      <c r="C537" s="440"/>
      <c r="D537" s="183" t="s">
        <v>602</v>
      </c>
      <c r="E537" s="177"/>
      <c r="F537" s="309"/>
      <c r="G537" s="178"/>
      <c r="H537" s="178"/>
      <c r="I537" s="441"/>
      <c r="J537" s="2864"/>
      <c r="K537" s="2865"/>
      <c r="L537" s="2865"/>
      <c r="M537" s="2865"/>
    </row>
    <row r="538" spans="1:13" s="355" customFormat="1" ht="13.5" customHeight="1">
      <c r="A538" s="391">
        <v>100</v>
      </c>
      <c r="B538" s="259" t="s">
        <v>552</v>
      </c>
      <c r="C538" s="260" t="s">
        <v>603</v>
      </c>
      <c r="D538" s="260" t="s">
        <v>604</v>
      </c>
      <c r="E538" s="260" t="s">
        <v>165</v>
      </c>
      <c r="F538" s="397">
        <f>SUM(F539:F540)</f>
        <v>45.57</v>
      </c>
      <c r="G538" s="365"/>
      <c r="H538" s="365">
        <f>G538*F538</f>
        <v>0</v>
      </c>
      <c r="I538" s="213" t="s">
        <v>112</v>
      </c>
      <c r="J538" s="2862"/>
      <c r="M538" s="214"/>
    </row>
    <row r="539" spans="1:13" s="355" customFormat="1" ht="13.5" customHeight="1">
      <c r="A539" s="391"/>
      <c r="B539" s="259"/>
      <c r="C539" s="260"/>
      <c r="D539" s="262" t="s">
        <v>605</v>
      </c>
      <c r="E539" s="260"/>
      <c r="F539" s="368"/>
      <c r="G539" s="365"/>
      <c r="H539" s="365"/>
      <c r="I539" s="414"/>
      <c r="J539" s="2820"/>
      <c r="M539" s="214"/>
    </row>
    <row r="540" spans="1:13" s="355" customFormat="1" ht="13.5" customHeight="1">
      <c r="A540" s="391"/>
      <c r="B540" s="259"/>
      <c r="C540" s="439"/>
      <c r="D540" s="262" t="s">
        <v>606</v>
      </c>
      <c r="E540" s="260"/>
      <c r="F540" s="476">
        <f>(43.4)*1.05</f>
        <v>45.57</v>
      </c>
      <c r="G540" s="365"/>
      <c r="H540" s="365"/>
      <c r="I540" s="414"/>
      <c r="J540" s="2863"/>
      <c r="M540" s="214"/>
    </row>
    <row r="541" spans="1:13" s="158" customFormat="1" ht="26.25" customHeight="1">
      <c r="A541" s="176"/>
      <c r="B541" s="180"/>
      <c r="C541" s="440"/>
      <c r="D541" s="183" t="s">
        <v>602</v>
      </c>
      <c r="E541" s="177"/>
      <c r="F541" s="309"/>
      <c r="G541" s="178"/>
      <c r="H541" s="178"/>
      <c r="I541" s="441"/>
      <c r="J541" s="2864"/>
      <c r="K541" s="2865"/>
      <c r="L541" s="2865"/>
      <c r="M541" s="2865"/>
    </row>
    <row r="542" spans="1:13" s="355" customFormat="1" ht="13.5" customHeight="1">
      <c r="A542" s="391">
        <v>101</v>
      </c>
      <c r="B542" s="259" t="s">
        <v>552</v>
      </c>
      <c r="C542" s="260" t="s">
        <v>607</v>
      </c>
      <c r="D542" s="260" t="s">
        <v>608</v>
      </c>
      <c r="E542" s="260" t="s">
        <v>165</v>
      </c>
      <c r="F542" s="397">
        <f>SUM(F544:F545)</f>
        <v>148.66800000000001</v>
      </c>
      <c r="G542" s="365"/>
      <c r="H542" s="365">
        <f>G542*F542</f>
        <v>0</v>
      </c>
      <c r="I542" s="213" t="s">
        <v>138</v>
      </c>
      <c r="J542" s="2862"/>
      <c r="M542" s="214"/>
    </row>
    <row r="543" spans="1:13" s="355" customFormat="1" ht="13.5" customHeight="1">
      <c r="A543" s="391"/>
      <c r="B543" s="259"/>
      <c r="C543" s="260"/>
      <c r="D543" s="262" t="s">
        <v>609</v>
      </c>
      <c r="E543" s="260"/>
      <c r="F543" s="368"/>
      <c r="G543" s="365"/>
      <c r="H543" s="365"/>
      <c r="I543" s="414"/>
      <c r="J543" s="2822"/>
      <c r="K543" s="442"/>
      <c r="L543" s="442"/>
      <c r="M543" s="214"/>
    </row>
    <row r="544" spans="1:13" s="355" customFormat="1" ht="13.5" customHeight="1">
      <c r="A544" s="391"/>
      <c r="B544" s="259"/>
      <c r="C544" s="439"/>
      <c r="D544" s="262" t="s">
        <v>610</v>
      </c>
      <c r="E544" s="260"/>
      <c r="F544" s="476">
        <f>(74.069)*1.3</f>
        <v>96.289700000000011</v>
      </c>
      <c r="G544" s="365"/>
      <c r="H544" s="365"/>
      <c r="I544" s="414"/>
      <c r="J544" s="2866"/>
      <c r="K544" s="442"/>
      <c r="M544" s="214"/>
    </row>
    <row r="545" spans="1:13" s="355" customFormat="1" ht="13.5" customHeight="1">
      <c r="A545" s="391"/>
      <c r="B545" s="259"/>
      <c r="C545" s="439"/>
      <c r="D545" s="262" t="s">
        <v>611</v>
      </c>
      <c r="E545" s="260"/>
      <c r="F545" s="476">
        <f>(40.291)*1.3</f>
        <v>52.378299999999996</v>
      </c>
      <c r="G545" s="365"/>
      <c r="H545" s="365"/>
      <c r="I545" s="414"/>
      <c r="J545" s="2866"/>
      <c r="K545" s="442"/>
      <c r="M545" s="214"/>
    </row>
    <row r="546" spans="1:13" s="158" customFormat="1" ht="13.5" customHeight="1">
      <c r="A546" s="176"/>
      <c r="B546" s="180"/>
      <c r="C546" s="443"/>
      <c r="D546" s="183" t="s">
        <v>612</v>
      </c>
      <c r="E546" s="177"/>
      <c r="F546" s="309"/>
      <c r="G546" s="178"/>
      <c r="H546" s="178"/>
      <c r="I546" s="150"/>
      <c r="J546" s="2867"/>
      <c r="M546" s="135"/>
    </row>
    <row r="547" spans="1:13" s="158" customFormat="1" ht="26.25" customHeight="1">
      <c r="A547" s="176"/>
      <c r="B547" s="180"/>
      <c r="C547" s="440"/>
      <c r="D547" s="183" t="s">
        <v>613</v>
      </c>
      <c r="E547" s="177"/>
      <c r="F547" s="309"/>
      <c r="G547" s="178"/>
      <c r="H547" s="178"/>
      <c r="I547" s="441"/>
      <c r="J547" s="2864"/>
      <c r="K547" s="2865"/>
      <c r="L547" s="2865"/>
      <c r="M547" s="2865"/>
    </row>
    <row r="548" spans="1:13" s="355" customFormat="1" ht="13.5" customHeight="1">
      <c r="A548" s="391">
        <v>102</v>
      </c>
      <c r="B548" s="259" t="s">
        <v>552</v>
      </c>
      <c r="C548" s="260" t="s">
        <v>614</v>
      </c>
      <c r="D548" s="260" t="s">
        <v>615</v>
      </c>
      <c r="E548" s="260" t="s">
        <v>165</v>
      </c>
      <c r="F548" s="397">
        <f>SUM(F550:F551)</f>
        <v>55.848000000000006</v>
      </c>
      <c r="G548" s="365"/>
      <c r="H548" s="365">
        <f>G548*F548</f>
        <v>0</v>
      </c>
      <c r="I548" s="213" t="s">
        <v>138</v>
      </c>
      <c r="J548" s="2862"/>
      <c r="M548" s="214"/>
    </row>
    <row r="549" spans="1:13" s="355" customFormat="1" ht="13.5" customHeight="1">
      <c r="A549" s="391"/>
      <c r="B549" s="259"/>
      <c r="C549" s="260"/>
      <c r="D549" s="262" t="s">
        <v>616</v>
      </c>
      <c r="E549" s="260"/>
      <c r="F549" s="368"/>
      <c r="G549" s="365"/>
      <c r="H549" s="365"/>
      <c r="I549" s="414"/>
      <c r="J549" s="2822"/>
      <c r="K549" s="442"/>
      <c r="L549" s="442"/>
      <c r="M549" s="214"/>
    </row>
    <row r="550" spans="1:13" s="355" customFormat="1" ht="13.5" customHeight="1">
      <c r="A550" s="391"/>
      <c r="B550" s="259"/>
      <c r="C550" s="439"/>
      <c r="D550" s="262" t="s">
        <v>617</v>
      </c>
      <c r="E550" s="260"/>
      <c r="F550" s="476">
        <f>(3.36)*1.3</f>
        <v>4.3680000000000003</v>
      </c>
      <c r="G550" s="365"/>
      <c r="H550" s="365"/>
      <c r="I550" s="414"/>
      <c r="J550" s="2866"/>
      <c r="K550" s="442"/>
      <c r="M550" s="214"/>
    </row>
    <row r="551" spans="1:13" s="355" customFormat="1" ht="13.5" customHeight="1">
      <c r="A551" s="391"/>
      <c r="B551" s="259"/>
      <c r="C551" s="439"/>
      <c r="D551" s="262" t="s">
        <v>618</v>
      </c>
      <c r="E551" s="260"/>
      <c r="F551" s="476">
        <f>(39.6)*1.3</f>
        <v>51.480000000000004</v>
      </c>
      <c r="G551" s="365"/>
      <c r="H551" s="365"/>
      <c r="I551" s="414"/>
      <c r="J551" s="2866"/>
      <c r="K551" s="442"/>
      <c r="M551" s="214"/>
    </row>
    <row r="552" spans="1:13" s="158" customFormat="1" ht="13.5" customHeight="1">
      <c r="A552" s="176"/>
      <c r="B552" s="180"/>
      <c r="C552" s="443"/>
      <c r="D552" s="183" t="s">
        <v>612</v>
      </c>
      <c r="E552" s="177"/>
      <c r="F552" s="309"/>
      <c r="G552" s="178"/>
      <c r="H552" s="178"/>
      <c r="I552" s="150"/>
      <c r="J552" s="2867"/>
      <c r="M552" s="135"/>
    </row>
    <row r="553" spans="1:13" s="158" customFormat="1" ht="26.25" customHeight="1">
      <c r="A553" s="176"/>
      <c r="B553" s="180"/>
      <c r="C553" s="440"/>
      <c r="D553" s="183" t="s">
        <v>613</v>
      </c>
      <c r="E553" s="177"/>
      <c r="F553" s="309"/>
      <c r="G553" s="178"/>
      <c r="H553" s="178"/>
      <c r="I553" s="441"/>
      <c r="J553" s="2864"/>
      <c r="K553" s="2865"/>
      <c r="L553" s="2865"/>
      <c r="M553" s="2865"/>
    </row>
    <row r="554" spans="1:13" s="355" customFormat="1" ht="13.5" customHeight="1">
      <c r="A554" s="391">
        <v>103</v>
      </c>
      <c r="B554" s="259" t="s">
        <v>552</v>
      </c>
      <c r="C554" s="260" t="s">
        <v>885</v>
      </c>
      <c r="D554" s="260" t="s">
        <v>619</v>
      </c>
      <c r="E554" s="260" t="s">
        <v>165</v>
      </c>
      <c r="F554" s="397">
        <f>SUM(F556:F557)</f>
        <v>287.15180000000004</v>
      </c>
      <c r="G554" s="365"/>
      <c r="H554" s="365">
        <f>G554*F554</f>
        <v>0</v>
      </c>
      <c r="I554" s="213" t="s">
        <v>138</v>
      </c>
      <c r="J554" s="2862"/>
      <c r="M554" s="214"/>
    </row>
    <row r="555" spans="1:13" s="355" customFormat="1" ht="13.5" customHeight="1">
      <c r="A555" s="391"/>
      <c r="B555" s="259"/>
      <c r="C555" s="260"/>
      <c r="D555" s="262" t="s">
        <v>620</v>
      </c>
      <c r="E555" s="260"/>
      <c r="F555" s="368"/>
      <c r="G555" s="365"/>
      <c r="H555" s="365"/>
      <c r="I555" s="414"/>
      <c r="J555" s="2822"/>
      <c r="K555" s="442"/>
      <c r="L555" s="442"/>
      <c r="M555" s="214"/>
    </row>
    <row r="556" spans="1:13" s="355" customFormat="1" ht="13.5" customHeight="1">
      <c r="A556" s="391"/>
      <c r="B556" s="259"/>
      <c r="C556" s="439"/>
      <c r="D556" s="262" t="s">
        <v>621</v>
      </c>
      <c r="E556" s="260"/>
      <c r="F556" s="476">
        <f>(156.276)*1.3</f>
        <v>203.15880000000001</v>
      </c>
      <c r="G556" s="365"/>
      <c r="H556" s="365"/>
      <c r="I556" s="414"/>
      <c r="J556" s="2866"/>
      <c r="K556" s="442"/>
      <c r="M556" s="214"/>
    </row>
    <row r="557" spans="1:13" s="355" customFormat="1" ht="13.5" customHeight="1">
      <c r="A557" s="391"/>
      <c r="B557" s="259"/>
      <c r="C557" s="439"/>
      <c r="D557" s="262" t="s">
        <v>622</v>
      </c>
      <c r="E557" s="260"/>
      <c r="F557" s="476">
        <f>(64.61)*1.3</f>
        <v>83.993000000000009</v>
      </c>
      <c r="G557" s="365"/>
      <c r="H557" s="365"/>
      <c r="I557" s="414"/>
      <c r="J557" s="2866"/>
      <c r="K557" s="442"/>
      <c r="M557" s="214"/>
    </row>
    <row r="558" spans="1:13" s="158" customFormat="1" ht="13.5" customHeight="1">
      <c r="A558" s="176"/>
      <c r="B558" s="180"/>
      <c r="C558" s="443"/>
      <c r="D558" s="183" t="s">
        <v>623</v>
      </c>
      <c r="E558" s="177"/>
      <c r="F558" s="309"/>
      <c r="G558" s="178"/>
      <c r="H558" s="178"/>
      <c r="I558" s="150"/>
      <c r="J558" s="2867"/>
      <c r="M558" s="135"/>
    </row>
    <row r="559" spans="1:13" s="158" customFormat="1" ht="26.25" customHeight="1">
      <c r="A559" s="176"/>
      <c r="B559" s="180"/>
      <c r="C559" s="440"/>
      <c r="D559" s="183" t="s">
        <v>613</v>
      </c>
      <c r="E559" s="177"/>
      <c r="F559" s="309"/>
      <c r="G559" s="178"/>
      <c r="H559" s="178"/>
      <c r="I559" s="441"/>
      <c r="J559" s="2864"/>
      <c r="K559" s="2865"/>
      <c r="L559" s="2865"/>
      <c r="M559" s="2865"/>
    </row>
    <row r="560" spans="1:13" s="355" customFormat="1" ht="13.5" customHeight="1">
      <c r="A560" s="391">
        <v>104</v>
      </c>
      <c r="B560" s="259" t="s">
        <v>552</v>
      </c>
      <c r="C560" s="260" t="s">
        <v>886</v>
      </c>
      <c r="D560" s="260" t="s">
        <v>624</v>
      </c>
      <c r="E560" s="260" t="s">
        <v>165</v>
      </c>
      <c r="F560" s="397">
        <f>SUM(F562:F563)</f>
        <v>464.97100000000006</v>
      </c>
      <c r="G560" s="365"/>
      <c r="H560" s="365">
        <f>G560*F560</f>
        <v>0</v>
      </c>
      <c r="I560" s="213" t="s">
        <v>138</v>
      </c>
      <c r="J560" s="2862"/>
      <c r="M560" s="214"/>
    </row>
    <row r="561" spans="1:13" s="355" customFormat="1" ht="13.5" customHeight="1">
      <c r="A561" s="391"/>
      <c r="B561" s="259"/>
      <c r="C561" s="260"/>
      <c r="D561" s="262" t="s">
        <v>620</v>
      </c>
      <c r="E561" s="260"/>
      <c r="F561" s="368"/>
      <c r="G561" s="365"/>
      <c r="H561" s="365"/>
      <c r="I561" s="414"/>
      <c r="J561" s="2822"/>
      <c r="K561" s="442"/>
      <c r="L561" s="442"/>
      <c r="M561" s="214"/>
    </row>
    <row r="562" spans="1:13" s="355" customFormat="1" ht="13.5" customHeight="1">
      <c r="A562" s="391"/>
      <c r="B562" s="259"/>
      <c r="C562" s="439"/>
      <c r="D562" s="262" t="s">
        <v>625</v>
      </c>
      <c r="E562" s="260"/>
      <c r="F562" s="476">
        <f>(25.92)*1.3</f>
        <v>33.696000000000005</v>
      </c>
      <c r="G562" s="365"/>
      <c r="H562" s="365"/>
      <c r="I562" s="414"/>
      <c r="J562" s="2866"/>
      <c r="K562" s="442"/>
      <c r="M562" s="214"/>
    </row>
    <row r="563" spans="1:13" s="355" customFormat="1" ht="13.5" customHeight="1">
      <c r="A563" s="391"/>
      <c r="B563" s="259"/>
      <c r="C563" s="439"/>
      <c r="D563" s="262" t="s">
        <v>626</v>
      </c>
      <c r="E563" s="260"/>
      <c r="F563" s="476">
        <f>(331.75)*1.3</f>
        <v>431.27500000000003</v>
      </c>
      <c r="G563" s="365"/>
      <c r="H563" s="365"/>
      <c r="I563" s="414"/>
      <c r="J563" s="2866"/>
      <c r="K563" s="442"/>
      <c r="M563" s="214"/>
    </row>
    <row r="564" spans="1:13" s="158" customFormat="1" ht="13.5" customHeight="1">
      <c r="A564" s="176"/>
      <c r="B564" s="180"/>
      <c r="C564" s="443"/>
      <c r="D564" s="183" t="s">
        <v>627</v>
      </c>
      <c r="E564" s="177"/>
      <c r="F564" s="309"/>
      <c r="G564" s="178"/>
      <c r="H564" s="178"/>
      <c r="I564" s="150"/>
      <c r="J564" s="2867"/>
      <c r="M564" s="135"/>
    </row>
    <row r="565" spans="1:13" s="158" customFormat="1" ht="26.25" customHeight="1">
      <c r="A565" s="176"/>
      <c r="B565" s="180"/>
      <c r="C565" s="440"/>
      <c r="D565" s="183" t="s">
        <v>613</v>
      </c>
      <c r="E565" s="177"/>
      <c r="F565" s="309"/>
      <c r="G565" s="178"/>
      <c r="H565" s="178"/>
      <c r="I565" s="441"/>
      <c r="J565" s="2864"/>
      <c r="K565" s="2865"/>
      <c r="L565" s="2865"/>
      <c r="M565" s="2865"/>
    </row>
    <row r="566" spans="1:13" s="355" customFormat="1" ht="13.5" customHeight="1">
      <c r="A566" s="391">
        <v>105</v>
      </c>
      <c r="B566" s="259" t="s">
        <v>552</v>
      </c>
      <c r="C566" s="260" t="s">
        <v>887</v>
      </c>
      <c r="D566" s="260" t="s">
        <v>628</v>
      </c>
      <c r="E566" s="260" t="s">
        <v>165</v>
      </c>
      <c r="F566" s="397">
        <f>SUM(F568:F568)</f>
        <v>248.93050000000002</v>
      </c>
      <c r="G566" s="365"/>
      <c r="H566" s="365">
        <f>G566*F566</f>
        <v>0</v>
      </c>
      <c r="I566" s="213" t="s">
        <v>138</v>
      </c>
      <c r="J566" s="2862"/>
      <c r="M566" s="214"/>
    </row>
    <row r="567" spans="1:13" s="355" customFormat="1" ht="13.5" customHeight="1">
      <c r="A567" s="391"/>
      <c r="B567" s="259"/>
      <c r="C567" s="260"/>
      <c r="D567" s="262" t="s">
        <v>620</v>
      </c>
      <c r="E567" s="260"/>
      <c r="F567" s="368"/>
      <c r="G567" s="365"/>
      <c r="H567" s="365"/>
      <c r="I567" s="414"/>
      <c r="J567" s="2822"/>
      <c r="K567" s="442"/>
      <c r="L567" s="442"/>
      <c r="M567" s="214"/>
    </row>
    <row r="568" spans="1:13" s="355" customFormat="1" ht="13.5" customHeight="1">
      <c r="A568" s="391"/>
      <c r="B568" s="259"/>
      <c r="C568" s="439"/>
      <c r="D568" s="262" t="s">
        <v>629</v>
      </c>
      <c r="E568" s="260"/>
      <c r="F568" s="476">
        <f>(191.485)*1.3</f>
        <v>248.93050000000002</v>
      </c>
      <c r="G568" s="365"/>
      <c r="H568" s="365"/>
      <c r="I568" s="414"/>
      <c r="J568" s="2866"/>
      <c r="K568" s="442"/>
      <c r="M568" s="214"/>
    </row>
    <row r="569" spans="1:13" s="158" customFormat="1" ht="13.5" customHeight="1">
      <c r="A569" s="176"/>
      <c r="B569" s="180"/>
      <c r="C569" s="443"/>
      <c r="D569" s="183" t="s">
        <v>612</v>
      </c>
      <c r="E569" s="177"/>
      <c r="F569" s="309"/>
      <c r="G569" s="178"/>
      <c r="H569" s="178"/>
      <c r="I569" s="150"/>
      <c r="J569" s="2867"/>
      <c r="M569" s="135"/>
    </row>
    <row r="570" spans="1:13" s="158" customFormat="1" ht="26.25" customHeight="1">
      <c r="A570" s="176"/>
      <c r="B570" s="180"/>
      <c r="C570" s="440"/>
      <c r="D570" s="183" t="s">
        <v>613</v>
      </c>
      <c r="E570" s="177"/>
      <c r="F570" s="309"/>
      <c r="G570" s="178"/>
      <c r="H570" s="178"/>
      <c r="I570" s="441"/>
      <c r="J570" s="2864"/>
      <c r="K570" s="2865"/>
      <c r="L570" s="2865"/>
      <c r="M570" s="2865"/>
    </row>
    <row r="571" spans="1:13" s="355" customFormat="1" ht="13.5" customHeight="1">
      <c r="A571" s="391">
        <v>106</v>
      </c>
      <c r="B571" s="259" t="s">
        <v>552</v>
      </c>
      <c r="C571" s="260" t="s">
        <v>888</v>
      </c>
      <c r="D571" s="260" t="s">
        <v>630</v>
      </c>
      <c r="E571" s="260" t="s">
        <v>165</v>
      </c>
      <c r="F571" s="397">
        <f>SUM(F573:F573)</f>
        <v>126.36000000000001</v>
      </c>
      <c r="G571" s="365"/>
      <c r="H571" s="365">
        <f>G571*F571</f>
        <v>0</v>
      </c>
      <c r="I571" s="213" t="s">
        <v>138</v>
      </c>
      <c r="J571" s="2862"/>
      <c r="M571" s="214"/>
    </row>
    <row r="572" spans="1:13" s="355" customFormat="1" ht="13.5" customHeight="1">
      <c r="A572" s="391"/>
      <c r="B572" s="259"/>
      <c r="C572" s="260"/>
      <c r="D572" s="262" t="s">
        <v>620</v>
      </c>
      <c r="E572" s="260"/>
      <c r="F572" s="368"/>
      <c r="G572" s="365"/>
      <c r="H572" s="365"/>
      <c r="I572" s="414"/>
      <c r="J572" s="2822"/>
      <c r="K572" s="442"/>
      <c r="L572" s="442"/>
      <c r="M572" s="214"/>
    </row>
    <row r="573" spans="1:13" s="355" customFormat="1" ht="13.5" customHeight="1">
      <c r="A573" s="391"/>
      <c r="B573" s="259"/>
      <c r="C573" s="439"/>
      <c r="D573" s="262" t="s">
        <v>631</v>
      </c>
      <c r="E573" s="260"/>
      <c r="F573" s="476">
        <f>(97.2)*1.3</f>
        <v>126.36000000000001</v>
      </c>
      <c r="G573" s="365"/>
      <c r="H573" s="365"/>
      <c r="I573" s="414"/>
      <c r="J573" s="2866"/>
      <c r="K573" s="442"/>
      <c r="M573" s="214"/>
    </row>
    <row r="574" spans="1:13" s="158" customFormat="1" ht="13.5" customHeight="1">
      <c r="A574" s="176"/>
      <c r="B574" s="180"/>
      <c r="C574" s="443"/>
      <c r="D574" s="183" t="s">
        <v>612</v>
      </c>
      <c r="E574" s="177"/>
      <c r="F574" s="309"/>
      <c r="G574" s="178"/>
      <c r="H574" s="178"/>
      <c r="I574" s="150"/>
      <c r="J574" s="2867"/>
      <c r="M574" s="135"/>
    </row>
    <row r="575" spans="1:13" s="158" customFormat="1" ht="26.25" customHeight="1">
      <c r="A575" s="176"/>
      <c r="B575" s="180"/>
      <c r="C575" s="440"/>
      <c r="D575" s="183" t="s">
        <v>613</v>
      </c>
      <c r="E575" s="177"/>
      <c r="F575" s="309"/>
      <c r="G575" s="178"/>
      <c r="H575" s="178"/>
      <c r="I575" s="441"/>
      <c r="J575" s="2864"/>
      <c r="K575" s="2865"/>
      <c r="L575" s="2865"/>
      <c r="M575" s="2865"/>
    </row>
    <row r="576" spans="1:13" s="158" customFormat="1" ht="27" customHeight="1">
      <c r="A576" s="215">
        <v>107</v>
      </c>
      <c r="B576" s="177" t="s">
        <v>552</v>
      </c>
      <c r="C576" s="177" t="s">
        <v>889</v>
      </c>
      <c r="D576" s="177" t="s">
        <v>632</v>
      </c>
      <c r="E576" s="177" t="s">
        <v>165</v>
      </c>
      <c r="F576" s="178">
        <f>SUM(F578:F580)</f>
        <v>37.801500000000004</v>
      </c>
      <c r="G576" s="178"/>
      <c r="H576" s="178">
        <f>F576*G576</f>
        <v>0</v>
      </c>
      <c r="I576" s="216" t="s">
        <v>112</v>
      </c>
      <c r="J576" s="312"/>
      <c r="L576" s="2868"/>
    </row>
    <row r="577" spans="1:13" s="158" customFormat="1" ht="13.5" customHeight="1">
      <c r="A577" s="215"/>
      <c r="B577" s="180"/>
      <c r="C577" s="177"/>
      <c r="D577" s="183" t="s">
        <v>633</v>
      </c>
      <c r="E577" s="177"/>
      <c r="F577" s="309"/>
      <c r="G577" s="178"/>
      <c r="H577" s="178"/>
      <c r="I577" s="150"/>
      <c r="J577" s="312"/>
      <c r="K577" s="312"/>
    </row>
    <row r="578" spans="1:13" s="158" customFormat="1" ht="13.5" customHeight="1">
      <c r="A578" s="215"/>
      <c r="B578" s="180"/>
      <c r="C578" s="177"/>
      <c r="D578" s="183" t="s">
        <v>634</v>
      </c>
      <c r="E578" s="177"/>
      <c r="F578" s="305">
        <f>(5*2.25)</f>
        <v>11.25</v>
      </c>
      <c r="G578" s="178"/>
      <c r="H578" s="178"/>
      <c r="I578" s="216"/>
    </row>
    <row r="579" spans="1:13" s="158" customFormat="1" ht="13.5" customHeight="1">
      <c r="A579" s="215"/>
      <c r="B579" s="180"/>
      <c r="C579" s="177"/>
      <c r="D579" s="183" t="s">
        <v>635</v>
      </c>
      <c r="E579" s="177"/>
      <c r="F579" s="305">
        <f>(3.87*2.4)</f>
        <v>9.2880000000000003</v>
      </c>
      <c r="G579" s="178"/>
      <c r="H579" s="178"/>
      <c r="I579" s="216"/>
    </row>
    <row r="580" spans="1:13" s="158" customFormat="1" ht="13.5" customHeight="1">
      <c r="A580" s="215"/>
      <c r="B580" s="180"/>
      <c r="C580" s="177"/>
      <c r="D580" s="183" t="s">
        <v>636</v>
      </c>
      <c r="E580" s="177"/>
      <c r="F580" s="305">
        <f xml:space="preserve"> (0.65*17.85+2.22*2.55)</f>
        <v>17.263500000000001</v>
      </c>
      <c r="G580" s="178"/>
      <c r="H580" s="178"/>
      <c r="I580" s="216"/>
    </row>
    <row r="581" spans="1:13" s="158" customFormat="1" ht="13.5" customHeight="1">
      <c r="A581" s="215">
        <v>108</v>
      </c>
      <c r="B581" s="177" t="s">
        <v>552</v>
      </c>
      <c r="C581" s="177" t="s">
        <v>890</v>
      </c>
      <c r="D581" s="177" t="s">
        <v>891</v>
      </c>
      <c r="E581" s="177" t="s">
        <v>210</v>
      </c>
      <c r="F581" s="178">
        <f>F582</f>
        <v>45</v>
      </c>
      <c r="G581" s="178"/>
      <c r="H581" s="178">
        <f>F581*G581</f>
        <v>0</v>
      </c>
      <c r="I581" s="216" t="s">
        <v>112</v>
      </c>
      <c r="J581" s="312"/>
      <c r="L581" s="2868"/>
    </row>
    <row r="582" spans="1:13" s="158" customFormat="1" ht="13.5" customHeight="1">
      <c r="A582" s="215"/>
      <c r="B582" s="180"/>
      <c r="C582" s="177"/>
      <c r="D582" s="183" t="s">
        <v>892</v>
      </c>
      <c r="E582" s="177"/>
      <c r="F582" s="309">
        <v>45</v>
      </c>
      <c r="G582" s="178"/>
      <c r="H582" s="178"/>
      <c r="I582" s="150"/>
      <c r="J582" s="312"/>
      <c r="K582" s="312"/>
    </row>
    <row r="583" spans="1:13" s="158" customFormat="1" ht="13.5" customHeight="1">
      <c r="A583" s="215"/>
      <c r="B583" s="180"/>
      <c r="C583" s="177"/>
      <c r="D583" s="183" t="s">
        <v>894</v>
      </c>
      <c r="E583" s="177"/>
      <c r="F583" s="309"/>
      <c r="G583" s="178"/>
      <c r="H583" s="178"/>
      <c r="I583" s="150"/>
      <c r="J583" s="312"/>
      <c r="K583" s="312"/>
    </row>
    <row r="584" spans="1:13" s="158" customFormat="1" ht="13.5" customHeight="1">
      <c r="A584" s="215"/>
      <c r="B584" s="180"/>
      <c r="C584" s="177"/>
      <c r="D584" s="183" t="s">
        <v>893</v>
      </c>
      <c r="E584" s="177"/>
      <c r="F584" s="305"/>
      <c r="G584" s="178"/>
      <c r="H584" s="178"/>
      <c r="I584" s="216"/>
    </row>
    <row r="585" spans="1:13" s="214" customFormat="1" ht="13.5" customHeight="1">
      <c r="A585" s="391">
        <v>109</v>
      </c>
      <c r="B585" s="259" t="s">
        <v>552</v>
      </c>
      <c r="C585" s="260">
        <v>763131721</v>
      </c>
      <c r="D585" s="260" t="s">
        <v>637</v>
      </c>
      <c r="E585" s="260" t="s">
        <v>142</v>
      </c>
      <c r="F585" s="365">
        <f>SUM(F586:F587)</f>
        <v>64.199999999999989</v>
      </c>
      <c r="G585" s="365"/>
      <c r="H585" s="365">
        <f>F585*G585</f>
        <v>0</v>
      </c>
      <c r="I585" s="213" t="s">
        <v>138</v>
      </c>
      <c r="J585" s="2749"/>
    </row>
    <row r="586" spans="1:13" s="355" customFormat="1" ht="13.5" customHeight="1">
      <c r="A586" s="391"/>
      <c r="B586" s="259"/>
      <c r="C586" s="260"/>
      <c r="D586" s="262" t="s">
        <v>638</v>
      </c>
      <c r="E586" s="260"/>
      <c r="F586" s="368">
        <f xml:space="preserve"> (15.9)</f>
        <v>15.9</v>
      </c>
      <c r="G586" s="365"/>
      <c r="H586" s="365"/>
      <c r="I586" s="414"/>
      <c r="J586" s="2820"/>
      <c r="M586" s="214"/>
    </row>
    <row r="587" spans="1:13" s="355" customFormat="1" ht="13.5" customHeight="1">
      <c r="A587" s="391"/>
      <c r="B587" s="259"/>
      <c r="C587" s="260"/>
      <c r="D587" s="262" t="s">
        <v>639</v>
      </c>
      <c r="E587" s="260"/>
      <c r="F587" s="368">
        <f>12.6+8.7+17.3+7.15+2.55</f>
        <v>48.29999999999999</v>
      </c>
      <c r="G587" s="365"/>
      <c r="H587" s="365"/>
      <c r="I587" s="414"/>
      <c r="J587" s="2820"/>
      <c r="M587" s="214"/>
    </row>
    <row r="588" spans="1:13" s="214" customFormat="1" ht="13.5" customHeight="1">
      <c r="A588" s="391">
        <v>110</v>
      </c>
      <c r="B588" s="259" t="s">
        <v>552</v>
      </c>
      <c r="C588" s="260">
        <v>763131722</v>
      </c>
      <c r="D588" s="260" t="s">
        <v>640</v>
      </c>
      <c r="E588" s="260" t="s">
        <v>142</v>
      </c>
      <c r="F588" s="365">
        <f>SUM(F589:F589)</f>
        <v>19.5</v>
      </c>
      <c r="G588" s="365"/>
      <c r="H588" s="365">
        <f>F588*G588</f>
        <v>0</v>
      </c>
      <c r="I588" s="213" t="s">
        <v>138</v>
      </c>
      <c r="J588" s="2749"/>
    </row>
    <row r="589" spans="1:13" s="355" customFormat="1" ht="13.5" customHeight="1">
      <c r="A589" s="391"/>
      <c r="B589" s="259"/>
      <c r="C589" s="260"/>
      <c r="D589" s="262" t="s">
        <v>641</v>
      </c>
      <c r="E589" s="260"/>
      <c r="F589" s="368">
        <f>(19.5)</f>
        <v>19.5</v>
      </c>
      <c r="G589" s="365"/>
      <c r="H589" s="365"/>
      <c r="I589" s="414"/>
      <c r="J589" s="2820"/>
      <c r="M589" s="214"/>
    </row>
    <row r="590" spans="1:13" s="214" customFormat="1" ht="13.5" customHeight="1">
      <c r="A590" s="271">
        <v>111</v>
      </c>
      <c r="B590" s="272" t="s">
        <v>552</v>
      </c>
      <c r="C590" s="152">
        <v>998763402</v>
      </c>
      <c r="D590" s="152" t="s">
        <v>642</v>
      </c>
      <c r="E590" s="152" t="s">
        <v>10</v>
      </c>
      <c r="F590" s="273">
        <v>0.84</v>
      </c>
      <c r="G590" s="273"/>
      <c r="H590" s="273">
        <f>F590*G590</f>
        <v>0</v>
      </c>
      <c r="I590" s="213" t="s">
        <v>138</v>
      </c>
      <c r="J590" s="2869"/>
      <c r="K590" s="2870"/>
    </row>
    <row r="591" spans="1:13" s="398" customFormat="1" ht="13.5" customHeight="1">
      <c r="A591" s="271">
        <v>112</v>
      </c>
      <c r="B591" s="272" t="s">
        <v>369</v>
      </c>
      <c r="C591" s="152" t="s">
        <v>643</v>
      </c>
      <c r="D591" s="152" t="s">
        <v>644</v>
      </c>
      <c r="E591" s="152" t="s">
        <v>69</v>
      </c>
      <c r="F591" s="273">
        <f>F592</f>
        <v>30</v>
      </c>
      <c r="G591" s="273"/>
      <c r="H591" s="273">
        <f>F591*G591</f>
        <v>0</v>
      </c>
      <c r="I591" s="213" t="s">
        <v>138</v>
      </c>
      <c r="J591" s="2810"/>
      <c r="M591" s="214"/>
    </row>
    <row r="592" spans="1:13" s="214" customFormat="1" ht="13.5" customHeight="1">
      <c r="A592" s="361"/>
      <c r="B592" s="362"/>
      <c r="C592" s="363"/>
      <c r="D592" s="212" t="s">
        <v>645</v>
      </c>
      <c r="E592" s="363"/>
      <c r="F592" s="290">
        <v>30</v>
      </c>
      <c r="G592" s="364"/>
      <c r="H592" s="273"/>
      <c r="I592" s="360"/>
      <c r="J592" s="2749"/>
    </row>
    <row r="593" spans="1:13" s="214" customFormat="1" ht="13.5" customHeight="1">
      <c r="A593" s="361"/>
      <c r="B593" s="362"/>
      <c r="C593" s="363"/>
      <c r="D593" s="212" t="s">
        <v>540</v>
      </c>
      <c r="E593" s="363"/>
      <c r="F593" s="290"/>
      <c r="G593" s="364"/>
      <c r="H593" s="273"/>
      <c r="I593" s="360"/>
      <c r="J593" s="2749"/>
    </row>
    <row r="594" spans="1:13" s="135" customFormat="1" ht="13.5" customHeight="1">
      <c r="A594" s="2948"/>
      <c r="B594" s="2949"/>
      <c r="C594" s="2949">
        <v>766</v>
      </c>
      <c r="D594" s="2949" t="s">
        <v>1028</v>
      </c>
      <c r="E594" s="2949"/>
      <c r="F594" s="2950"/>
      <c r="G594" s="2950"/>
      <c r="H594" s="2950">
        <f>SUM(H595:H602)</f>
        <v>0</v>
      </c>
      <c r="I594" s="2951"/>
      <c r="J594" s="317"/>
      <c r="L594" s="2871"/>
    </row>
    <row r="595" spans="1:13" s="214" customFormat="1" ht="13.5" customHeight="1">
      <c r="A595" s="2945" t="s">
        <v>3846</v>
      </c>
      <c r="B595" s="2952" t="s">
        <v>552</v>
      </c>
      <c r="C595" s="2953" t="s">
        <v>3851</v>
      </c>
      <c r="D595" s="2953" t="s">
        <v>3849</v>
      </c>
      <c r="E595" s="2953" t="s">
        <v>165</v>
      </c>
      <c r="F595" s="2954">
        <f>SUM(F596:F596)</f>
        <v>3.08</v>
      </c>
      <c r="G595" s="2954"/>
      <c r="H595" s="2954">
        <f>F595*G595</f>
        <v>0</v>
      </c>
      <c r="I595" s="2955" t="s">
        <v>112</v>
      </c>
      <c r="J595" s="2749"/>
    </row>
    <row r="596" spans="1:13" s="355" customFormat="1" ht="13.5" customHeight="1">
      <c r="A596" s="2945"/>
      <c r="B596" s="2952"/>
      <c r="C596" s="2953"/>
      <c r="D596" s="2953" t="s">
        <v>3850</v>
      </c>
      <c r="E596" s="2953"/>
      <c r="F596" s="2954">
        <f>(2.8*1.1)</f>
        <v>3.08</v>
      </c>
      <c r="G596" s="2954"/>
      <c r="H596" s="2954"/>
      <c r="I596" s="2956"/>
      <c r="J596" s="2820"/>
      <c r="M596" s="214"/>
    </row>
    <row r="597" spans="1:13" s="355" customFormat="1" ht="27" customHeight="1">
      <c r="A597" s="2957"/>
      <c r="B597" s="2958"/>
      <c r="C597" s="2959"/>
      <c r="D597" s="2959" t="s">
        <v>3852</v>
      </c>
      <c r="E597" s="2959"/>
      <c r="F597" s="2960"/>
      <c r="G597" s="2960"/>
      <c r="H597" s="2960"/>
      <c r="I597" s="2961"/>
      <c r="J597" s="2820"/>
      <c r="M597" s="214"/>
    </row>
    <row r="598" spans="1:13" s="214" customFormat="1" ht="13.5" customHeight="1">
      <c r="A598" s="2945" t="s">
        <v>3847</v>
      </c>
      <c r="B598" s="2952" t="s">
        <v>552</v>
      </c>
      <c r="C598" s="2953">
        <v>766663916</v>
      </c>
      <c r="D598" s="2953" t="s">
        <v>3860</v>
      </c>
      <c r="E598" s="2953" t="s">
        <v>210</v>
      </c>
      <c r="F598" s="2954">
        <f>SUM(F600:F600)</f>
        <v>2</v>
      </c>
      <c r="G598" s="2954"/>
      <c r="H598" s="2954">
        <f>F598*G598</f>
        <v>0</v>
      </c>
      <c r="I598" s="2955" t="s">
        <v>112</v>
      </c>
      <c r="J598" s="2749"/>
    </row>
    <row r="599" spans="1:13" s="214" customFormat="1" ht="13.5" customHeight="1">
      <c r="A599" s="2957"/>
      <c r="B599" s="2958"/>
      <c r="C599" s="2959"/>
      <c r="D599" s="2959" t="s">
        <v>3862</v>
      </c>
      <c r="E599" s="2959"/>
      <c r="F599" s="2960"/>
      <c r="G599" s="2960"/>
      <c r="H599" s="2960"/>
      <c r="I599" s="2969"/>
      <c r="J599" s="2749"/>
    </row>
    <row r="600" spans="1:13" s="355" customFormat="1" ht="13.5" customHeight="1">
      <c r="A600" s="2945"/>
      <c r="B600" s="2952"/>
      <c r="C600" s="2953"/>
      <c r="D600" s="2953" t="s">
        <v>3861</v>
      </c>
      <c r="E600" s="2953"/>
      <c r="F600" s="2954">
        <v>2</v>
      </c>
      <c r="G600" s="2954"/>
      <c r="H600" s="2954"/>
      <c r="I600" s="2956"/>
      <c r="J600" s="2820"/>
      <c r="M600" s="214"/>
    </row>
    <row r="601" spans="1:13" s="214" customFormat="1" ht="13.5" customHeight="1">
      <c r="A601" s="2730" t="s">
        <v>3848</v>
      </c>
      <c r="B601" s="2931" t="s">
        <v>552</v>
      </c>
      <c r="C601" s="2932">
        <v>998766202</v>
      </c>
      <c r="D601" s="2932" t="s">
        <v>1083</v>
      </c>
      <c r="E601" s="2932" t="s">
        <v>10</v>
      </c>
      <c r="F601" s="2933">
        <v>0.59</v>
      </c>
      <c r="G601" s="2933"/>
      <c r="H601" s="2933">
        <f>F601*G601</f>
        <v>0</v>
      </c>
      <c r="I601" s="2955" t="s">
        <v>138</v>
      </c>
      <c r="J601" s="2869"/>
      <c r="K601" s="2870"/>
    </row>
    <row r="602" spans="1:13" s="398" customFormat="1" ht="13.5" customHeight="1">
      <c r="A602" s="2730" t="s">
        <v>3859</v>
      </c>
      <c r="B602" s="2931" t="s">
        <v>369</v>
      </c>
      <c r="C602" s="2932" t="s">
        <v>1022</v>
      </c>
      <c r="D602" s="2932" t="s">
        <v>1023</v>
      </c>
      <c r="E602" s="2932" t="s">
        <v>69</v>
      </c>
      <c r="F602" s="2933">
        <v>5</v>
      </c>
      <c r="G602" s="2933"/>
      <c r="H602" s="2933">
        <f>F602*G602</f>
        <v>0</v>
      </c>
      <c r="I602" s="2955" t="s">
        <v>138</v>
      </c>
      <c r="J602" s="2810"/>
      <c r="M602" s="214"/>
    </row>
    <row r="603" spans="1:13" s="214" customFormat="1" ht="13.5" customHeight="1">
      <c r="A603" s="361"/>
      <c r="B603" s="362"/>
      <c r="C603" s="363"/>
      <c r="D603" s="2932" t="s">
        <v>3853</v>
      </c>
      <c r="E603" s="363"/>
      <c r="F603" s="290">
        <v>30</v>
      </c>
      <c r="G603" s="364"/>
      <c r="H603" s="273"/>
      <c r="I603" s="360"/>
      <c r="J603" s="2749"/>
    </row>
    <row r="604" spans="1:13" s="214" customFormat="1" ht="13.5" customHeight="1">
      <c r="A604" s="361"/>
      <c r="B604" s="362"/>
      <c r="C604" s="363"/>
      <c r="D604" s="2932" t="s">
        <v>540</v>
      </c>
      <c r="E604" s="363"/>
      <c r="F604" s="290"/>
      <c r="G604" s="364"/>
      <c r="H604" s="273"/>
      <c r="I604" s="360"/>
      <c r="J604" s="2749"/>
    </row>
    <row r="605" spans="1:13" s="135" customFormat="1" ht="13.5" customHeight="1">
      <c r="A605" s="148"/>
      <c r="B605" s="149"/>
      <c r="C605" s="149">
        <v>771</v>
      </c>
      <c r="D605" s="149" t="s">
        <v>646</v>
      </c>
      <c r="E605" s="149"/>
      <c r="F605" s="345"/>
      <c r="G605" s="345"/>
      <c r="H605" s="345">
        <f>SUM(H606:H608,H614:H620,H625:H631,H637:H643,H647:H653,H659:H666)</f>
        <v>0</v>
      </c>
      <c r="I605" s="311"/>
      <c r="J605" s="317"/>
      <c r="L605" s="2871"/>
    </row>
    <row r="606" spans="1:13" s="135" customFormat="1" ht="27" customHeight="1">
      <c r="A606" s="215">
        <v>113</v>
      </c>
      <c r="B606" s="177">
        <v>771</v>
      </c>
      <c r="C606" s="177" t="s">
        <v>647</v>
      </c>
      <c r="D606" s="177" t="s">
        <v>648</v>
      </c>
      <c r="E606" s="177" t="s">
        <v>165</v>
      </c>
      <c r="F606" s="178">
        <f>SUM(F614)</f>
        <v>63.85</v>
      </c>
      <c r="G606" s="178">
        <f>SUM(H609:H613)/F606</f>
        <v>0</v>
      </c>
      <c r="H606" s="178">
        <f>F606*G606</f>
        <v>0</v>
      </c>
      <c r="I606" s="216" t="s">
        <v>112</v>
      </c>
      <c r="K606" s="444"/>
      <c r="L606" s="444"/>
    </row>
    <row r="607" spans="1:13" s="135" customFormat="1" ht="13.5" customHeight="1">
      <c r="A607" s="215"/>
      <c r="B607" s="177"/>
      <c r="C607" s="177"/>
      <c r="D607" s="183" t="s">
        <v>649</v>
      </c>
      <c r="E607" s="177"/>
      <c r="F607" s="178"/>
      <c r="G607" s="178"/>
      <c r="H607" s="178"/>
      <c r="I607" s="216"/>
      <c r="K607" s="444"/>
      <c r="L607" s="444"/>
    </row>
    <row r="608" spans="1:13" s="135" customFormat="1" ht="13.5" customHeight="1">
      <c r="A608" s="298"/>
      <c r="B608" s="299"/>
      <c r="C608" s="299"/>
      <c r="D608" s="183" t="s">
        <v>650</v>
      </c>
      <c r="E608" s="445"/>
      <c r="F608" s="305"/>
      <c r="G608" s="309"/>
      <c r="H608" s="178"/>
      <c r="I608" s="150"/>
    </row>
    <row r="609" spans="1:23" s="135" customFormat="1" ht="13.5" customHeight="1">
      <c r="A609" s="319"/>
      <c r="B609" s="299"/>
      <c r="C609" s="299"/>
      <c r="D609" s="183" t="s">
        <v>651</v>
      </c>
      <c r="E609" s="300" t="s">
        <v>165</v>
      </c>
      <c r="F609" s="305">
        <f>(63.85)*1.1</f>
        <v>70.235000000000014</v>
      </c>
      <c r="G609" s="446"/>
      <c r="H609" s="305">
        <f>F609*G609</f>
        <v>0</v>
      </c>
      <c r="I609" s="150"/>
      <c r="J609" s="2872"/>
      <c r="L609" s="2873"/>
      <c r="M609" s="447"/>
      <c r="N609" s="2874"/>
      <c r="Q609" s="283"/>
    </row>
    <row r="610" spans="1:23" s="135" customFormat="1" ht="13.5" customHeight="1">
      <c r="A610" s="319"/>
      <c r="B610" s="299"/>
      <c r="C610" s="299"/>
      <c r="D610" s="183" t="s">
        <v>652</v>
      </c>
      <c r="E610" s="300" t="s">
        <v>165</v>
      </c>
      <c r="F610" s="305">
        <f>(63.85)*1.05</f>
        <v>67.042500000000004</v>
      </c>
      <c r="G610" s="446"/>
      <c r="H610" s="305">
        <f>F610*G610</f>
        <v>0</v>
      </c>
      <c r="I610" s="150"/>
      <c r="J610" s="2872"/>
      <c r="L610" s="2875"/>
      <c r="M610" s="447"/>
      <c r="N610" s="447"/>
      <c r="O610" s="447"/>
      <c r="P610" s="447"/>
      <c r="Q610" s="447"/>
      <c r="R610" s="447"/>
      <c r="S610" s="447"/>
      <c r="T610" s="447"/>
      <c r="U610" s="2875"/>
      <c r="V610" s="447"/>
      <c r="W610" s="2876"/>
    </row>
    <row r="611" spans="1:23" s="135" customFormat="1" ht="27" customHeight="1">
      <c r="A611" s="319"/>
      <c r="B611" s="448"/>
      <c r="C611" s="300"/>
      <c r="D611" s="183" t="s">
        <v>653</v>
      </c>
      <c r="E611" s="300" t="s">
        <v>165</v>
      </c>
      <c r="F611" s="305">
        <f>(63.85)*1.05</f>
        <v>67.042500000000004</v>
      </c>
      <c r="G611" s="446"/>
      <c r="H611" s="305">
        <f>F611*G611</f>
        <v>0</v>
      </c>
      <c r="I611" s="225"/>
      <c r="J611" s="2822"/>
      <c r="K611" s="218"/>
      <c r="L611" s="2839"/>
      <c r="M611" s="2840"/>
      <c r="N611" s="2824"/>
      <c r="U611" s="325"/>
      <c r="W611" s="442"/>
    </row>
    <row r="612" spans="1:23" s="135" customFormat="1" ht="13.5" customHeight="1">
      <c r="A612" s="319"/>
      <c r="B612" s="448"/>
      <c r="C612" s="300"/>
      <c r="D612" s="183" t="s">
        <v>654</v>
      </c>
      <c r="E612" s="300" t="s">
        <v>165</v>
      </c>
      <c r="F612" s="305">
        <f>(63.85)*1.15</f>
        <v>73.427499999999995</v>
      </c>
      <c r="G612" s="446"/>
      <c r="H612" s="305">
        <f>F612*G612</f>
        <v>0</v>
      </c>
      <c r="I612" s="225"/>
      <c r="J612" s="2822"/>
      <c r="K612" s="218"/>
      <c r="L612" s="442"/>
      <c r="M612" s="218"/>
      <c r="N612" s="218"/>
      <c r="W612" s="449"/>
    </row>
    <row r="613" spans="1:23" s="135" customFormat="1" ht="27" customHeight="1">
      <c r="A613" s="319"/>
      <c r="B613" s="299"/>
      <c r="C613" s="299"/>
      <c r="D613" s="183" t="s">
        <v>655</v>
      </c>
      <c r="E613" s="300" t="s">
        <v>165</v>
      </c>
      <c r="F613" s="305">
        <f>(63.85)*1.1</f>
        <v>70.235000000000014</v>
      </c>
      <c r="G613" s="446"/>
      <c r="H613" s="305">
        <f>F613*G613</f>
        <v>0</v>
      </c>
      <c r="I613" s="150"/>
      <c r="J613" s="2822"/>
      <c r="K613" s="218"/>
      <c r="L613" s="2839"/>
      <c r="M613" s="2823"/>
      <c r="N613" s="2824"/>
      <c r="W613" s="449"/>
    </row>
    <row r="614" spans="1:23" s="135" customFormat="1" ht="27" customHeight="1">
      <c r="A614" s="298"/>
      <c r="B614" s="299"/>
      <c r="C614" s="299"/>
      <c r="D614" s="183" t="s">
        <v>656</v>
      </c>
      <c r="E614" s="299"/>
      <c r="F614" s="305">
        <f>(5.52+7.83+11.25+13.05+0.55+3.89+5.45+3.05+3.29+3.73+6.24)</f>
        <v>63.85</v>
      </c>
      <c r="G614" s="309"/>
      <c r="H614" s="178"/>
      <c r="I614" s="150"/>
      <c r="J614" s="137"/>
      <c r="L614" s="449"/>
      <c r="R614" s="317"/>
    </row>
    <row r="615" spans="1:23" s="451" customFormat="1" ht="27" customHeight="1">
      <c r="A615" s="284"/>
      <c r="B615" s="303"/>
      <c r="C615" s="183"/>
      <c r="D615" s="183" t="s">
        <v>657</v>
      </c>
      <c r="E615" s="300"/>
      <c r="F615" s="305"/>
      <c r="G615" s="305"/>
      <c r="H615" s="305"/>
      <c r="I615" s="450"/>
      <c r="J615" s="325"/>
      <c r="K615" s="135"/>
      <c r="L615" s="2877"/>
      <c r="M615" s="2878"/>
      <c r="N615" s="2878"/>
    </row>
    <row r="616" spans="1:23" s="451" customFormat="1" ht="39" customHeight="1">
      <c r="A616" s="284"/>
      <c r="B616" s="303"/>
      <c r="C616" s="183"/>
      <c r="D616" s="183" t="s">
        <v>658</v>
      </c>
      <c r="E616" s="300"/>
      <c r="F616" s="305"/>
      <c r="G616" s="305"/>
      <c r="H616" s="305"/>
      <c r="I616" s="450"/>
      <c r="J616" s="452"/>
      <c r="K616" s="2878"/>
      <c r="L616" s="2877"/>
      <c r="M616" s="2878"/>
      <c r="N616" s="2878"/>
    </row>
    <row r="617" spans="1:23" s="325" customFormat="1" ht="14.25" customHeight="1">
      <c r="A617" s="298"/>
      <c r="B617" s="308"/>
      <c r="C617" s="299"/>
      <c r="D617" s="183" t="s">
        <v>659</v>
      </c>
      <c r="E617" s="299"/>
      <c r="F617" s="309"/>
      <c r="G617" s="309"/>
      <c r="H617" s="178"/>
      <c r="I617" s="184"/>
    </row>
    <row r="618" spans="1:23" s="135" customFormat="1" ht="27" customHeight="1">
      <c r="A618" s="215">
        <v>114</v>
      </c>
      <c r="B618" s="177">
        <v>771</v>
      </c>
      <c r="C618" s="177" t="s">
        <v>660</v>
      </c>
      <c r="D618" s="177" t="s">
        <v>661</v>
      </c>
      <c r="E618" s="177" t="s">
        <v>165</v>
      </c>
      <c r="F618" s="178">
        <f>SUM(F625)</f>
        <v>86.45</v>
      </c>
      <c r="G618" s="178">
        <f>SUM(H621:H624)/F618</f>
        <v>0</v>
      </c>
      <c r="H618" s="178">
        <f>F618*G618</f>
        <v>0</v>
      </c>
      <c r="I618" s="216" t="s">
        <v>112</v>
      </c>
      <c r="K618" s="444"/>
      <c r="L618" s="444"/>
    </row>
    <row r="619" spans="1:23" s="135" customFormat="1" ht="13.5" customHeight="1">
      <c r="A619" s="215"/>
      <c r="B619" s="177"/>
      <c r="C619" s="177"/>
      <c r="D619" s="183" t="s">
        <v>662</v>
      </c>
      <c r="E619" s="177"/>
      <c r="F619" s="178"/>
      <c r="G619" s="178"/>
      <c r="H619" s="178"/>
      <c r="I619" s="216"/>
      <c r="K619" s="444"/>
      <c r="L619" s="444"/>
    </row>
    <row r="620" spans="1:23" s="135" customFormat="1" ht="13.5" customHeight="1">
      <c r="A620" s="298"/>
      <c r="B620" s="299"/>
      <c r="C620" s="299"/>
      <c r="D620" s="183" t="s">
        <v>650</v>
      </c>
      <c r="E620" s="445"/>
      <c r="F620" s="305"/>
      <c r="G620" s="309"/>
      <c r="H620" s="178"/>
      <c r="I620" s="150"/>
    </row>
    <row r="621" spans="1:23" s="135" customFormat="1" ht="13.5" customHeight="1">
      <c r="A621" s="319"/>
      <c r="B621" s="299"/>
      <c r="C621" s="299"/>
      <c r="D621" s="183" t="s">
        <v>663</v>
      </c>
      <c r="E621" s="300" t="s">
        <v>165</v>
      </c>
      <c r="F621" s="305">
        <f>(86.45)*1.1</f>
        <v>95.095000000000013</v>
      </c>
      <c r="G621" s="446"/>
      <c r="H621" s="305">
        <f>F621*G621</f>
        <v>0</v>
      </c>
      <c r="I621" s="150"/>
      <c r="J621" s="2872"/>
      <c r="L621" s="2873"/>
      <c r="M621" s="447"/>
      <c r="N621" s="2874"/>
      <c r="Q621" s="283"/>
    </row>
    <row r="622" spans="1:23" s="135" customFormat="1" ht="27" customHeight="1">
      <c r="A622" s="319"/>
      <c r="B622" s="448"/>
      <c r="C622" s="300"/>
      <c r="D622" s="183" t="s">
        <v>664</v>
      </c>
      <c r="E622" s="300" t="s">
        <v>165</v>
      </c>
      <c r="F622" s="305">
        <f>(86.45)*1.05</f>
        <v>90.772500000000008</v>
      </c>
      <c r="G622" s="446"/>
      <c r="H622" s="305">
        <f>F622*G622</f>
        <v>0</v>
      </c>
      <c r="I622" s="225"/>
      <c r="J622" s="2822"/>
      <c r="K622" s="218"/>
      <c r="L622" s="2839"/>
      <c r="M622" s="2840"/>
      <c r="N622" s="2824"/>
      <c r="U622" s="325"/>
      <c r="W622" s="442"/>
    </row>
    <row r="623" spans="1:23" s="135" customFormat="1" ht="13.5" customHeight="1">
      <c r="A623" s="319"/>
      <c r="B623" s="448"/>
      <c r="C623" s="300"/>
      <c r="D623" s="183" t="s">
        <v>665</v>
      </c>
      <c r="E623" s="300" t="s">
        <v>165</v>
      </c>
      <c r="F623" s="305">
        <f>(86.45)*1.15</f>
        <v>99.41749999999999</v>
      </c>
      <c r="G623" s="446"/>
      <c r="H623" s="305">
        <f>F623*G623</f>
        <v>0</v>
      </c>
      <c r="I623" s="225"/>
      <c r="J623" s="2822"/>
      <c r="K623" s="218"/>
      <c r="L623" s="442"/>
      <c r="M623" s="218"/>
      <c r="N623" s="218"/>
      <c r="W623" s="449"/>
    </row>
    <row r="624" spans="1:23" s="135" customFormat="1" ht="27" customHeight="1">
      <c r="A624" s="319"/>
      <c r="B624" s="299"/>
      <c r="C624" s="299"/>
      <c r="D624" s="183" t="s">
        <v>666</v>
      </c>
      <c r="E624" s="300" t="s">
        <v>165</v>
      </c>
      <c r="F624" s="305">
        <f>(86.45)*1.1</f>
        <v>95.095000000000013</v>
      </c>
      <c r="G624" s="446"/>
      <c r="H624" s="305">
        <f>F624*G624</f>
        <v>0</v>
      </c>
      <c r="I624" s="150"/>
      <c r="J624" s="2822"/>
      <c r="K624" s="218"/>
      <c r="L624" s="2839"/>
      <c r="M624" s="2840"/>
      <c r="N624" s="2824"/>
      <c r="W624" s="449"/>
    </row>
    <row r="625" spans="1:23" s="135" customFormat="1" ht="27" customHeight="1">
      <c r="A625" s="298"/>
      <c r="B625" s="299"/>
      <c r="C625" s="299"/>
      <c r="D625" s="183" t="s">
        <v>667</v>
      </c>
      <c r="E625" s="299"/>
      <c r="F625" s="305">
        <f>(19.55+32.87+16.22+8.11+2.9+2+1.44+3.36)</f>
        <v>86.45</v>
      </c>
      <c r="G625" s="309"/>
      <c r="H625" s="178"/>
      <c r="I625" s="150"/>
      <c r="J625" s="137"/>
      <c r="L625" s="449"/>
      <c r="R625" s="317"/>
    </row>
    <row r="626" spans="1:23" s="451" customFormat="1" ht="27" customHeight="1">
      <c r="A626" s="284"/>
      <c r="B626" s="303"/>
      <c r="C626" s="183"/>
      <c r="D626" s="183" t="s">
        <v>657</v>
      </c>
      <c r="E626" s="300"/>
      <c r="F626" s="305"/>
      <c r="G626" s="305"/>
      <c r="H626" s="305"/>
      <c r="I626" s="450"/>
      <c r="J626" s="325"/>
      <c r="K626" s="135"/>
      <c r="L626" s="2877"/>
      <c r="M626" s="2878"/>
      <c r="N626" s="2878"/>
    </row>
    <row r="627" spans="1:23" s="451" customFormat="1" ht="39" customHeight="1">
      <c r="A627" s="284"/>
      <c r="B627" s="303"/>
      <c r="C627" s="183"/>
      <c r="D627" s="183" t="s">
        <v>658</v>
      </c>
      <c r="E627" s="300"/>
      <c r="F627" s="305"/>
      <c r="G627" s="305"/>
      <c r="H627" s="305"/>
      <c r="I627" s="450"/>
      <c r="J627" s="452"/>
      <c r="K627" s="2878"/>
      <c r="L627" s="2877"/>
      <c r="M627" s="2878"/>
      <c r="N627" s="2878"/>
    </row>
    <row r="628" spans="1:23" s="325" customFormat="1" ht="14.25" customHeight="1">
      <c r="A628" s="298"/>
      <c r="B628" s="308"/>
      <c r="C628" s="299"/>
      <c r="D628" s="183" t="s">
        <v>659</v>
      </c>
      <c r="E628" s="299"/>
      <c r="F628" s="309"/>
      <c r="G628" s="309"/>
      <c r="H628" s="178"/>
      <c r="I628" s="184"/>
    </row>
    <row r="629" spans="1:23" s="135" customFormat="1" ht="27" customHeight="1">
      <c r="A629" s="215">
        <v>115</v>
      </c>
      <c r="B629" s="177">
        <v>771</v>
      </c>
      <c r="C629" s="177" t="s">
        <v>668</v>
      </c>
      <c r="D629" s="177" t="s">
        <v>669</v>
      </c>
      <c r="E629" s="177" t="s">
        <v>165</v>
      </c>
      <c r="F629" s="178">
        <f>SUM(F637)</f>
        <v>84.71</v>
      </c>
      <c r="G629" s="178">
        <f>SUM(H632:H636)/F629</f>
        <v>0</v>
      </c>
      <c r="H629" s="178">
        <f>F629*G629</f>
        <v>0</v>
      </c>
      <c r="I629" s="216" t="s">
        <v>112</v>
      </c>
      <c r="K629" s="444"/>
      <c r="L629" s="444"/>
    </row>
    <row r="630" spans="1:23" s="135" customFormat="1" ht="13.5" customHeight="1">
      <c r="A630" s="215"/>
      <c r="B630" s="177"/>
      <c r="C630" s="177"/>
      <c r="D630" s="183" t="s">
        <v>662</v>
      </c>
      <c r="E630" s="177"/>
      <c r="F630" s="178"/>
      <c r="G630" s="178"/>
      <c r="H630" s="178"/>
      <c r="I630" s="216"/>
      <c r="K630" s="444"/>
      <c r="L630" s="444"/>
    </row>
    <row r="631" spans="1:23" s="135" customFormat="1" ht="13.5" customHeight="1">
      <c r="A631" s="298"/>
      <c r="B631" s="299"/>
      <c r="C631" s="299"/>
      <c r="D631" s="183" t="s">
        <v>650</v>
      </c>
      <c r="E631" s="445"/>
      <c r="F631" s="305"/>
      <c r="G631" s="309"/>
      <c r="H631" s="178"/>
      <c r="I631" s="150"/>
    </row>
    <row r="632" spans="1:23" s="135" customFormat="1" ht="13.5" customHeight="1">
      <c r="A632" s="319"/>
      <c r="B632" s="299"/>
      <c r="C632" s="299"/>
      <c r="D632" s="183" t="s">
        <v>670</v>
      </c>
      <c r="E632" s="300" t="s">
        <v>165</v>
      </c>
      <c r="F632" s="305">
        <f>(84.71)*1.1</f>
        <v>93.180999999999997</v>
      </c>
      <c r="G632" s="446"/>
      <c r="H632" s="305">
        <f>F632*G632</f>
        <v>0</v>
      </c>
      <c r="I632" s="150"/>
      <c r="J632" s="2872"/>
      <c r="L632" s="2873"/>
      <c r="M632" s="447"/>
      <c r="N632" s="2874"/>
      <c r="Q632" s="283"/>
    </row>
    <row r="633" spans="1:23" s="135" customFormat="1" ht="13.5" customHeight="1">
      <c r="A633" s="319"/>
      <c r="B633" s="448"/>
      <c r="C633" s="300"/>
      <c r="D633" s="183" t="s">
        <v>671</v>
      </c>
      <c r="E633" s="300" t="s">
        <v>165</v>
      </c>
      <c r="F633" s="305">
        <f>(84.71)*1.1</f>
        <v>93.180999999999997</v>
      </c>
      <c r="G633" s="446"/>
      <c r="H633" s="305">
        <f>F633*G633</f>
        <v>0</v>
      </c>
      <c r="I633" s="225"/>
      <c r="J633" s="2822"/>
      <c r="K633" s="218"/>
      <c r="L633" s="442"/>
      <c r="M633" s="218"/>
      <c r="N633" s="218"/>
      <c r="W633" s="449"/>
    </row>
    <row r="634" spans="1:23" s="135" customFormat="1" ht="27" customHeight="1">
      <c r="A634" s="319"/>
      <c r="B634" s="448"/>
      <c r="C634" s="300"/>
      <c r="D634" s="183" t="s">
        <v>672</v>
      </c>
      <c r="E634" s="300" t="s">
        <v>147</v>
      </c>
      <c r="F634" s="305">
        <f>(84.71*0.11)*1.1</f>
        <v>10.24991</v>
      </c>
      <c r="G634" s="446"/>
      <c r="H634" s="305">
        <f>F634*G634</f>
        <v>0</v>
      </c>
      <c r="I634" s="225"/>
      <c r="J634" s="2822"/>
      <c r="K634" s="218"/>
      <c r="L634" s="2839"/>
      <c r="M634" s="2840"/>
      <c r="N634" s="2824"/>
      <c r="U634" s="325"/>
      <c r="W634" s="442"/>
    </row>
    <row r="635" spans="1:23" s="135" customFormat="1" ht="13.5" customHeight="1">
      <c r="A635" s="319"/>
      <c r="B635" s="448"/>
      <c r="C635" s="300"/>
      <c r="D635" s="183" t="s">
        <v>673</v>
      </c>
      <c r="E635" s="300" t="s">
        <v>165</v>
      </c>
      <c r="F635" s="305">
        <f>(84.71)*1.15</f>
        <v>97.416499999999985</v>
      </c>
      <c r="G635" s="446"/>
      <c r="H635" s="305">
        <f>F635*G635</f>
        <v>0</v>
      </c>
      <c r="I635" s="225"/>
      <c r="J635" s="2822"/>
      <c r="K635" s="218"/>
      <c r="L635" s="442"/>
      <c r="M635" s="218"/>
      <c r="N635" s="218"/>
      <c r="W635" s="449"/>
    </row>
    <row r="636" spans="1:23" s="135" customFormat="1" ht="27" customHeight="1">
      <c r="A636" s="319"/>
      <c r="B636" s="299"/>
      <c r="C636" s="299"/>
      <c r="D636" s="183" t="s">
        <v>666</v>
      </c>
      <c r="E636" s="300" t="s">
        <v>165</v>
      </c>
      <c r="F636" s="305">
        <f>(86.45)*1.1</f>
        <v>95.095000000000013</v>
      </c>
      <c r="G636" s="446"/>
      <c r="H636" s="305">
        <f>F636*G636</f>
        <v>0</v>
      </c>
      <c r="I636" s="150"/>
      <c r="J636" s="2822"/>
      <c r="K636" s="218"/>
      <c r="L636" s="2839"/>
      <c r="M636" s="2840"/>
      <c r="N636" s="2824"/>
      <c r="W636" s="449"/>
    </row>
    <row r="637" spans="1:23" s="135" customFormat="1" ht="13.5" customHeight="1">
      <c r="A637" s="298"/>
      <c r="B637" s="299"/>
      <c r="C637" s="299"/>
      <c r="D637" s="183" t="s">
        <v>674</v>
      </c>
      <c r="E637" s="299"/>
      <c r="F637" s="305">
        <f>(84.71)</f>
        <v>84.71</v>
      </c>
      <c r="G637" s="309"/>
      <c r="H637" s="178"/>
      <c r="I637" s="150"/>
      <c r="J637" s="137"/>
      <c r="L637" s="449"/>
      <c r="R637" s="317"/>
    </row>
    <row r="638" spans="1:23" s="451" customFormat="1" ht="27" customHeight="1">
      <c r="A638" s="284"/>
      <c r="B638" s="303"/>
      <c r="C638" s="183"/>
      <c r="D638" s="183" t="s">
        <v>657</v>
      </c>
      <c r="E638" s="300"/>
      <c r="F638" s="305"/>
      <c r="G638" s="305"/>
      <c r="H638" s="305"/>
      <c r="I638" s="450"/>
      <c r="J638" s="325"/>
      <c r="K638" s="135"/>
      <c r="L638" s="2877"/>
      <c r="M638" s="2878"/>
      <c r="N638" s="2878"/>
    </row>
    <row r="639" spans="1:23" s="451" customFormat="1" ht="39" customHeight="1">
      <c r="A639" s="284"/>
      <c r="B639" s="303"/>
      <c r="C639" s="183"/>
      <c r="D639" s="183" t="s">
        <v>658</v>
      </c>
      <c r="E639" s="300"/>
      <c r="F639" s="305"/>
      <c r="G639" s="305"/>
      <c r="H639" s="305"/>
      <c r="I639" s="450"/>
      <c r="J639" s="325"/>
      <c r="K639" s="135"/>
      <c r="L639" s="2877"/>
      <c r="M639" s="2878"/>
      <c r="N639" s="2878"/>
    </row>
    <row r="640" spans="1:23" s="325" customFormat="1" ht="14.25" customHeight="1">
      <c r="A640" s="298"/>
      <c r="B640" s="308"/>
      <c r="C640" s="299"/>
      <c r="D640" s="183" t="s">
        <v>659</v>
      </c>
      <c r="E640" s="299"/>
      <c r="F640" s="309"/>
      <c r="G640" s="309"/>
      <c r="H640" s="178"/>
      <c r="I640" s="184"/>
    </row>
    <row r="641" spans="1:23" s="135" customFormat="1" ht="27" customHeight="1">
      <c r="A641" s="215">
        <v>116</v>
      </c>
      <c r="B641" s="177">
        <v>771</v>
      </c>
      <c r="C641" s="177" t="s">
        <v>675</v>
      </c>
      <c r="D641" s="177" t="s">
        <v>676</v>
      </c>
      <c r="E641" s="177" t="s">
        <v>165</v>
      </c>
      <c r="F641" s="178">
        <f>SUM(F647)</f>
        <v>10.37</v>
      </c>
      <c r="G641" s="178">
        <f>SUM(H644:H646)/F641</f>
        <v>0</v>
      </c>
      <c r="H641" s="178">
        <f>F641*G641</f>
        <v>0</v>
      </c>
      <c r="I641" s="216" t="s">
        <v>112</v>
      </c>
      <c r="K641" s="444"/>
      <c r="L641" s="444"/>
    </row>
    <row r="642" spans="1:23" s="135" customFormat="1" ht="13.5" customHeight="1">
      <c r="A642" s="215"/>
      <c r="B642" s="177"/>
      <c r="C642" s="177"/>
      <c r="D642" s="183" t="s">
        <v>649</v>
      </c>
      <c r="E642" s="177"/>
      <c r="F642" s="178"/>
      <c r="G642" s="178"/>
      <c r="H642" s="178"/>
      <c r="I642" s="216"/>
      <c r="K642" s="444"/>
      <c r="L642" s="444"/>
    </row>
    <row r="643" spans="1:23" s="135" customFormat="1" ht="13.5" customHeight="1">
      <c r="A643" s="298"/>
      <c r="B643" s="299"/>
      <c r="C643" s="299"/>
      <c r="D643" s="183" t="s">
        <v>650</v>
      </c>
      <c r="E643" s="445"/>
      <c r="F643" s="305"/>
      <c r="G643" s="309"/>
      <c r="H643" s="178"/>
      <c r="I643" s="150"/>
    </row>
    <row r="644" spans="1:23" s="135" customFormat="1" ht="13.5" customHeight="1">
      <c r="A644" s="319"/>
      <c r="B644" s="299"/>
      <c r="C644" s="299"/>
      <c r="D644" s="183" t="s">
        <v>677</v>
      </c>
      <c r="E644" s="300" t="s">
        <v>165</v>
      </c>
      <c r="F644" s="305">
        <f>(10.37)*1.15</f>
        <v>11.925499999999998</v>
      </c>
      <c r="G644" s="446"/>
      <c r="H644" s="305">
        <f>F644*G644</f>
        <v>0</v>
      </c>
      <c r="I644" s="150"/>
      <c r="J644" s="2872"/>
      <c r="L644" s="2873"/>
      <c r="M644" s="447"/>
      <c r="N644" s="2874"/>
      <c r="Q644" s="283"/>
    </row>
    <row r="645" spans="1:23" s="135" customFormat="1" ht="13.5" customHeight="1">
      <c r="A645" s="319"/>
      <c r="B645" s="299"/>
      <c r="C645" s="299"/>
      <c r="D645" s="183" t="s">
        <v>678</v>
      </c>
      <c r="E645" s="300" t="s">
        <v>165</v>
      </c>
      <c r="F645" s="305">
        <f>(10.37)*1.05</f>
        <v>10.888500000000001</v>
      </c>
      <c r="G645" s="446"/>
      <c r="H645" s="305">
        <f>F645*G645</f>
        <v>0</v>
      </c>
      <c r="I645" s="150"/>
      <c r="J645" s="2872"/>
      <c r="L645" s="2875"/>
      <c r="M645" s="447"/>
      <c r="N645" s="447"/>
      <c r="O645" s="447"/>
      <c r="P645" s="447"/>
      <c r="Q645" s="447"/>
      <c r="R645" s="447"/>
      <c r="S645" s="447"/>
      <c r="T645" s="447"/>
      <c r="U645" s="2875"/>
      <c r="V645" s="447"/>
      <c r="W645" s="2876"/>
    </row>
    <row r="646" spans="1:23" s="135" customFormat="1" ht="13.5" customHeight="1">
      <c r="A646" s="319"/>
      <c r="B646" s="448"/>
      <c r="C646" s="300"/>
      <c r="D646" s="183" t="s">
        <v>679</v>
      </c>
      <c r="E646" s="300" t="s">
        <v>165</v>
      </c>
      <c r="F646" s="305">
        <f>(10.37)*1.1</f>
        <v>11.407</v>
      </c>
      <c r="G646" s="446"/>
      <c r="H646" s="305">
        <f>F646*G646</f>
        <v>0</v>
      </c>
      <c r="I646" s="225"/>
      <c r="J646" s="2822"/>
      <c r="K646" s="218"/>
      <c r="L646" s="442"/>
      <c r="M646" s="218"/>
      <c r="N646" s="218"/>
      <c r="W646" s="449"/>
    </row>
    <row r="647" spans="1:23" s="135" customFormat="1" ht="13.5" customHeight="1">
      <c r="A647" s="298"/>
      <c r="B647" s="299"/>
      <c r="C647" s="299"/>
      <c r="D647" s="183" t="s">
        <v>680</v>
      </c>
      <c r="E647" s="299"/>
      <c r="F647" s="305">
        <v>10.37</v>
      </c>
      <c r="G647" s="309"/>
      <c r="H647" s="178"/>
      <c r="I647" s="150"/>
      <c r="J647" s="137"/>
      <c r="L647" s="449"/>
      <c r="R647" s="317"/>
    </row>
    <row r="648" spans="1:23" s="451" customFormat="1" ht="27" customHeight="1">
      <c r="A648" s="284"/>
      <c r="B648" s="303"/>
      <c r="C648" s="183"/>
      <c r="D648" s="183" t="s">
        <v>657</v>
      </c>
      <c r="E648" s="300"/>
      <c r="F648" s="305"/>
      <c r="G648" s="305"/>
      <c r="H648" s="305"/>
      <c r="I648" s="450"/>
      <c r="J648" s="325"/>
      <c r="K648" s="135"/>
      <c r="L648" s="2877"/>
      <c r="M648" s="2878"/>
      <c r="N648" s="2878"/>
    </row>
    <row r="649" spans="1:23" s="451" customFormat="1" ht="39" customHeight="1">
      <c r="A649" s="284"/>
      <c r="B649" s="303"/>
      <c r="C649" s="183"/>
      <c r="D649" s="183" t="s">
        <v>658</v>
      </c>
      <c r="E649" s="300"/>
      <c r="F649" s="305"/>
      <c r="G649" s="305"/>
      <c r="H649" s="305"/>
      <c r="I649" s="450"/>
      <c r="J649" s="325"/>
      <c r="K649" s="135"/>
      <c r="L649" s="2877"/>
      <c r="M649" s="2878"/>
      <c r="N649" s="2878"/>
    </row>
    <row r="650" spans="1:23" s="325" customFormat="1" ht="14.25" customHeight="1">
      <c r="A650" s="298"/>
      <c r="B650" s="308"/>
      <c r="C650" s="299"/>
      <c r="D650" s="183" t="s">
        <v>659</v>
      </c>
      <c r="E650" s="299"/>
      <c r="F650" s="309"/>
      <c r="G650" s="309"/>
      <c r="H650" s="178"/>
      <c r="I650" s="184"/>
    </row>
    <row r="651" spans="1:23" s="135" customFormat="1" ht="27" customHeight="1">
      <c r="A651" s="215">
        <v>117</v>
      </c>
      <c r="B651" s="177">
        <v>771</v>
      </c>
      <c r="C651" s="177" t="s">
        <v>681</v>
      </c>
      <c r="D651" s="177" t="s">
        <v>682</v>
      </c>
      <c r="E651" s="177" t="s">
        <v>165</v>
      </c>
      <c r="F651" s="178">
        <f>SUM(F659)</f>
        <v>40.15</v>
      </c>
      <c r="G651" s="178">
        <f>SUM(H654:H658)/F651</f>
        <v>0</v>
      </c>
      <c r="H651" s="178">
        <f>F651*G651</f>
        <v>0</v>
      </c>
      <c r="I651" s="216" t="s">
        <v>112</v>
      </c>
      <c r="K651" s="444"/>
      <c r="L651" s="444"/>
    </row>
    <row r="652" spans="1:23" s="135" customFormat="1" ht="13.5" customHeight="1">
      <c r="A652" s="215"/>
      <c r="B652" s="177"/>
      <c r="C652" s="177"/>
      <c r="D652" s="183" t="s">
        <v>649</v>
      </c>
      <c r="E652" s="177"/>
      <c r="F652" s="178"/>
      <c r="G652" s="178"/>
      <c r="H652" s="178"/>
      <c r="I652" s="216"/>
      <c r="K652" s="444"/>
      <c r="L652" s="444"/>
    </row>
    <row r="653" spans="1:23" s="135" customFormat="1" ht="13.5" customHeight="1">
      <c r="A653" s="298"/>
      <c r="B653" s="299"/>
      <c r="C653" s="299"/>
      <c r="D653" s="183" t="s">
        <v>650</v>
      </c>
      <c r="E653" s="445"/>
      <c r="F653" s="305"/>
      <c r="G653" s="309"/>
      <c r="H653" s="178"/>
      <c r="I653" s="150"/>
    </row>
    <row r="654" spans="1:23" s="135" customFormat="1" ht="13.5" customHeight="1">
      <c r="A654" s="319"/>
      <c r="B654" s="299"/>
      <c r="C654" s="299"/>
      <c r="D654" s="183" t="s">
        <v>683</v>
      </c>
      <c r="E654" s="300" t="s">
        <v>165</v>
      </c>
      <c r="F654" s="305">
        <f>(40.15)*1.1</f>
        <v>44.164999999999999</v>
      </c>
      <c r="G654" s="446"/>
      <c r="H654" s="305">
        <f>F654*G654</f>
        <v>0</v>
      </c>
      <c r="I654" s="150"/>
      <c r="J654" s="2872"/>
      <c r="L654" s="2873"/>
      <c r="M654" s="447"/>
      <c r="N654" s="2874"/>
      <c r="Q654" s="283"/>
    </row>
    <row r="655" spans="1:23" s="135" customFormat="1" ht="13.5" customHeight="1">
      <c r="A655" s="319"/>
      <c r="B655" s="448"/>
      <c r="C655" s="300"/>
      <c r="D655" s="183" t="s">
        <v>684</v>
      </c>
      <c r="E655" s="300" t="s">
        <v>165</v>
      </c>
      <c r="F655" s="305">
        <f>(40.15)*1.1</f>
        <v>44.164999999999999</v>
      </c>
      <c r="G655" s="446"/>
      <c r="H655" s="305">
        <f>F655*G655</f>
        <v>0</v>
      </c>
      <c r="I655" s="225"/>
      <c r="J655" s="2822"/>
      <c r="K655" s="218"/>
      <c r="L655" s="442"/>
      <c r="M655" s="2840"/>
      <c r="N655" s="218"/>
      <c r="W655" s="449"/>
    </row>
    <row r="656" spans="1:23" s="135" customFormat="1" ht="27" customHeight="1">
      <c r="A656" s="319"/>
      <c r="B656" s="448"/>
      <c r="C656" s="300"/>
      <c r="D656" s="183" t="s">
        <v>685</v>
      </c>
      <c r="E656" s="300" t="s">
        <v>165</v>
      </c>
      <c r="F656" s="305">
        <f>(40.15)*1.1</f>
        <v>44.164999999999999</v>
      </c>
      <c r="G656" s="446"/>
      <c r="H656" s="305">
        <f>F656*G656</f>
        <v>0</v>
      </c>
      <c r="I656" s="225"/>
      <c r="J656" s="2822"/>
      <c r="K656" s="218"/>
      <c r="L656" s="2839"/>
      <c r="M656" s="2840"/>
      <c r="N656" s="2824"/>
      <c r="U656" s="325"/>
      <c r="W656" s="442"/>
    </row>
    <row r="657" spans="1:23" s="135" customFormat="1" ht="27" customHeight="1">
      <c r="A657" s="319"/>
      <c r="B657" s="299"/>
      <c r="C657" s="299"/>
      <c r="D657" s="183" t="s">
        <v>655</v>
      </c>
      <c r="E657" s="300" t="s">
        <v>165</v>
      </c>
      <c r="F657" s="305">
        <f>(63.85)*1.1</f>
        <v>70.235000000000014</v>
      </c>
      <c r="G657" s="446"/>
      <c r="H657" s="305">
        <f>F657*G657</f>
        <v>0</v>
      </c>
      <c r="I657" s="150"/>
      <c r="J657" s="2822"/>
      <c r="K657" s="218"/>
      <c r="L657" s="2839"/>
      <c r="M657" s="2840"/>
      <c r="N657" s="2824"/>
      <c r="W657" s="449"/>
    </row>
    <row r="658" spans="1:23" s="135" customFormat="1" ht="13.5" customHeight="1">
      <c r="A658" s="319"/>
      <c r="B658" s="299"/>
      <c r="C658" s="299"/>
      <c r="D658" s="183" t="s">
        <v>686</v>
      </c>
      <c r="E658" s="300" t="s">
        <v>165</v>
      </c>
      <c r="F658" s="305">
        <f>(40.15)*1.1</f>
        <v>44.164999999999999</v>
      </c>
      <c r="G658" s="446"/>
      <c r="H658" s="305">
        <f>F658*G658</f>
        <v>0</v>
      </c>
      <c r="I658" s="150"/>
      <c r="J658" s="2822"/>
      <c r="K658" s="218"/>
      <c r="L658" s="2839"/>
      <c r="M658" s="2840"/>
      <c r="N658" s="2824"/>
      <c r="W658" s="449"/>
    </row>
    <row r="659" spans="1:23" s="135" customFormat="1" ht="27" customHeight="1">
      <c r="A659" s="298"/>
      <c r="B659" s="299"/>
      <c r="C659" s="299"/>
      <c r="D659" s="183" t="s">
        <v>687</v>
      </c>
      <c r="E659" s="299"/>
      <c r="F659" s="305">
        <f>(2.79+6.72+5.8+1.64+5.96+4.86+3.76+2.72+2.17+3.73)</f>
        <v>40.15</v>
      </c>
      <c r="G659" s="309"/>
      <c r="H659" s="178"/>
      <c r="I659" s="150"/>
      <c r="J659" s="137"/>
      <c r="L659" s="449"/>
      <c r="R659" s="317"/>
    </row>
    <row r="660" spans="1:23" s="451" customFormat="1" ht="27" customHeight="1">
      <c r="A660" s="284"/>
      <c r="B660" s="303"/>
      <c r="C660" s="183"/>
      <c r="D660" s="183" t="s">
        <v>657</v>
      </c>
      <c r="E660" s="300"/>
      <c r="F660" s="305"/>
      <c r="G660" s="305"/>
      <c r="H660" s="305"/>
      <c r="I660" s="450"/>
      <c r="J660" s="325"/>
      <c r="K660" s="135"/>
      <c r="L660" s="2877"/>
      <c r="M660" s="2878"/>
      <c r="N660" s="2878"/>
    </row>
    <row r="661" spans="1:23" s="451" customFormat="1" ht="39" customHeight="1">
      <c r="A661" s="284"/>
      <c r="B661" s="303"/>
      <c r="C661" s="183"/>
      <c r="D661" s="183" t="s">
        <v>688</v>
      </c>
      <c r="E661" s="300"/>
      <c r="F661" s="305"/>
      <c r="G661" s="305"/>
      <c r="H661" s="305"/>
      <c r="I661" s="450"/>
      <c r="J661" s="325"/>
      <c r="K661" s="135"/>
      <c r="L661" s="2877"/>
      <c r="M661" s="2878"/>
      <c r="N661" s="2878"/>
    </row>
    <row r="662" spans="1:23" s="325" customFormat="1" ht="14.25" customHeight="1">
      <c r="A662" s="298"/>
      <c r="B662" s="308"/>
      <c r="C662" s="299"/>
      <c r="D662" s="183" t="s">
        <v>659</v>
      </c>
      <c r="E662" s="299"/>
      <c r="F662" s="309"/>
      <c r="G662" s="309"/>
      <c r="H662" s="178"/>
      <c r="I662" s="184"/>
    </row>
    <row r="663" spans="1:23" s="135" customFormat="1" ht="13.5" customHeight="1">
      <c r="A663" s="215">
        <v>118</v>
      </c>
      <c r="B663" s="177">
        <v>771</v>
      </c>
      <c r="C663" s="177">
        <v>998771202</v>
      </c>
      <c r="D663" s="177" t="s">
        <v>689</v>
      </c>
      <c r="E663" s="177" t="s">
        <v>10</v>
      </c>
      <c r="F663" s="178">
        <v>3.62</v>
      </c>
      <c r="G663" s="178"/>
      <c r="H663" s="178">
        <f>F663*G663</f>
        <v>0</v>
      </c>
      <c r="I663" s="216" t="s">
        <v>138</v>
      </c>
      <c r="J663" s="2879"/>
      <c r="K663" s="325"/>
    </row>
    <row r="664" spans="1:23" s="325" customFormat="1" ht="13.5" customHeight="1">
      <c r="A664" s="215">
        <v>119</v>
      </c>
      <c r="B664" s="177" t="s">
        <v>369</v>
      </c>
      <c r="C664" s="177" t="s">
        <v>690</v>
      </c>
      <c r="D664" s="177" t="s">
        <v>691</v>
      </c>
      <c r="E664" s="177" t="s">
        <v>69</v>
      </c>
      <c r="F664" s="178">
        <f>F665</f>
        <v>15</v>
      </c>
      <c r="G664" s="178"/>
      <c r="H664" s="178">
        <f>F664*G664</f>
        <v>0</v>
      </c>
      <c r="I664" s="216" t="s">
        <v>138</v>
      </c>
    </row>
    <row r="665" spans="1:23" s="135" customFormat="1" ht="13.5" customHeight="1">
      <c r="A665" s="298"/>
      <c r="B665" s="299"/>
      <c r="C665" s="299"/>
      <c r="D665" s="183" t="s">
        <v>692</v>
      </c>
      <c r="E665" s="299"/>
      <c r="F665" s="305">
        <v>15</v>
      </c>
      <c r="G665" s="309"/>
      <c r="H665" s="178"/>
      <c r="I665" s="453"/>
    </row>
    <row r="666" spans="1:23" s="135" customFormat="1" ht="27" customHeight="1">
      <c r="A666" s="298"/>
      <c r="B666" s="299"/>
      <c r="C666" s="299"/>
      <c r="D666" s="183" t="s">
        <v>693</v>
      </c>
      <c r="E666" s="299"/>
      <c r="F666" s="305"/>
      <c r="G666" s="309"/>
      <c r="H666" s="178"/>
      <c r="I666" s="150"/>
    </row>
    <row r="667" spans="1:23" s="238" customFormat="1" ht="13.5" customHeight="1">
      <c r="A667" s="454"/>
      <c r="B667" s="455"/>
      <c r="C667" s="455">
        <v>776</v>
      </c>
      <c r="D667" s="455" t="s">
        <v>694</v>
      </c>
      <c r="E667" s="455"/>
      <c r="F667" s="456"/>
      <c r="G667" s="456"/>
      <c r="H667" s="456">
        <f>SUM(H668:H670,H675:H680,H685:H690,H696:H701,H703:H708,H711:H716,H722:H727,H732:H737,H742:H748)</f>
        <v>0</v>
      </c>
      <c r="I667" s="457"/>
      <c r="J667" s="458"/>
      <c r="K667" s="2880"/>
      <c r="M667" s="2881"/>
    </row>
    <row r="668" spans="1:23" s="135" customFormat="1" ht="27" customHeight="1">
      <c r="A668" s="215">
        <v>120</v>
      </c>
      <c r="B668" s="177">
        <v>776</v>
      </c>
      <c r="C668" s="177" t="s">
        <v>695</v>
      </c>
      <c r="D668" s="177" t="s">
        <v>696</v>
      </c>
      <c r="E668" s="177" t="s">
        <v>165</v>
      </c>
      <c r="F668" s="178">
        <f>SUM(F675:F675)</f>
        <v>117.09</v>
      </c>
      <c r="G668" s="178">
        <f>SUM(H671:H674)/F668</f>
        <v>0</v>
      </c>
      <c r="H668" s="178">
        <f>F668*G668</f>
        <v>0</v>
      </c>
      <c r="I668" s="216" t="s">
        <v>112</v>
      </c>
      <c r="K668" s="444"/>
      <c r="L668" s="444"/>
    </row>
    <row r="669" spans="1:23" s="135" customFormat="1" ht="13.5" customHeight="1">
      <c r="A669" s="215"/>
      <c r="B669" s="177"/>
      <c r="C669" s="177"/>
      <c r="D669" s="183" t="s">
        <v>697</v>
      </c>
      <c r="E669" s="177"/>
      <c r="F669" s="178"/>
      <c r="G669" s="178"/>
      <c r="H669" s="178"/>
      <c r="I669" s="216"/>
      <c r="K669" s="444"/>
      <c r="L669" s="444"/>
    </row>
    <row r="670" spans="1:23" s="135" customFormat="1" ht="13.5" customHeight="1">
      <c r="A670" s="298"/>
      <c r="B670" s="299"/>
      <c r="C670" s="299"/>
      <c r="D670" s="183" t="s">
        <v>650</v>
      </c>
      <c r="E670" s="445"/>
      <c r="F670" s="305"/>
      <c r="G670" s="309"/>
      <c r="H670" s="178"/>
      <c r="I670" s="150"/>
      <c r="J670" s="2872"/>
      <c r="L670" s="2873"/>
      <c r="M670" s="447"/>
      <c r="N670" s="2874"/>
    </row>
    <row r="671" spans="1:23" s="135" customFormat="1" ht="13.5" customHeight="1">
      <c r="A671" s="319"/>
      <c r="B671" s="299"/>
      <c r="C671" s="299"/>
      <c r="D671" s="183" t="s">
        <v>698</v>
      </c>
      <c r="E671" s="300" t="s">
        <v>165</v>
      </c>
      <c r="F671" s="305">
        <f>(117.09)*1.1</f>
        <v>128.79900000000001</v>
      </c>
      <c r="G671" s="446"/>
      <c r="H671" s="305">
        <f>F671*G671</f>
        <v>0</v>
      </c>
      <c r="I671" s="150"/>
      <c r="J671" s="2872"/>
      <c r="L671" s="2873"/>
      <c r="M671" s="447"/>
      <c r="N671" s="2874"/>
      <c r="Q671" s="283"/>
    </row>
    <row r="672" spans="1:23" s="135" customFormat="1" ht="27" customHeight="1">
      <c r="A672" s="319"/>
      <c r="B672" s="448"/>
      <c r="C672" s="300"/>
      <c r="D672" s="183" t="s">
        <v>699</v>
      </c>
      <c r="E672" s="300" t="s">
        <v>165</v>
      </c>
      <c r="F672" s="305">
        <f>(117.09)*1.05</f>
        <v>122.94450000000001</v>
      </c>
      <c r="G672" s="446"/>
      <c r="H672" s="305">
        <f>F672*G672</f>
        <v>0</v>
      </c>
      <c r="I672" s="225"/>
      <c r="J672" s="2822"/>
      <c r="K672" s="218"/>
      <c r="L672" s="2839"/>
      <c r="M672" s="2840"/>
      <c r="N672" s="2824"/>
      <c r="U672" s="325"/>
      <c r="W672" s="442"/>
    </row>
    <row r="673" spans="1:23" s="135" customFormat="1" ht="13.5" customHeight="1">
      <c r="A673" s="319"/>
      <c r="B673" s="448"/>
      <c r="C673" s="300"/>
      <c r="D673" s="183" t="s">
        <v>700</v>
      </c>
      <c r="E673" s="300" t="s">
        <v>165</v>
      </c>
      <c r="F673" s="305">
        <f>(117.09)*1.15</f>
        <v>134.65349999999998</v>
      </c>
      <c r="G673" s="446"/>
      <c r="H673" s="305">
        <f>F673*G673</f>
        <v>0</v>
      </c>
      <c r="I673" s="225"/>
      <c r="J673" s="2822"/>
      <c r="K673" s="218"/>
      <c r="L673" s="449"/>
      <c r="W673" s="449"/>
    </row>
    <row r="674" spans="1:23" s="135" customFormat="1" ht="27" customHeight="1">
      <c r="A674" s="319"/>
      <c r="B674" s="299"/>
      <c r="C674" s="299"/>
      <c r="D674" s="183" t="s">
        <v>701</v>
      </c>
      <c r="E674" s="300" t="s">
        <v>165</v>
      </c>
      <c r="F674" s="305">
        <f>(117.09)*1.1</f>
        <v>128.79900000000001</v>
      </c>
      <c r="G674" s="446"/>
      <c r="H674" s="305">
        <f>F674*G674</f>
        <v>0</v>
      </c>
      <c r="I674" s="150"/>
      <c r="J674" s="2822"/>
      <c r="K674" s="218"/>
      <c r="L674" s="2839"/>
      <c r="M674" s="2823"/>
      <c r="N674" s="2824"/>
      <c r="W674" s="449"/>
    </row>
    <row r="675" spans="1:23" s="135" customFormat="1" ht="13.5" customHeight="1">
      <c r="A675" s="298"/>
      <c r="B675" s="299"/>
      <c r="C675" s="299"/>
      <c r="D675" s="183" t="s">
        <v>702</v>
      </c>
      <c r="E675" s="299"/>
      <c r="F675" s="305">
        <f>(43.03+33.89+7.6+9.22+23.35)</f>
        <v>117.09</v>
      </c>
      <c r="G675" s="309"/>
      <c r="H675" s="178"/>
      <c r="I675" s="150"/>
      <c r="J675" s="137"/>
      <c r="L675" s="449"/>
      <c r="R675" s="317"/>
    </row>
    <row r="676" spans="1:23" s="451" customFormat="1" ht="27" customHeight="1">
      <c r="A676" s="284"/>
      <c r="B676" s="303"/>
      <c r="C676" s="183"/>
      <c r="D676" s="183" t="s">
        <v>703</v>
      </c>
      <c r="E676" s="300"/>
      <c r="F676" s="305"/>
      <c r="G676" s="305"/>
      <c r="H676" s="305"/>
      <c r="I676" s="450"/>
      <c r="J676" s="325"/>
      <c r="K676" s="135"/>
      <c r="L676" s="2877"/>
      <c r="M676" s="2878"/>
      <c r="N676" s="2878"/>
    </row>
    <row r="677" spans="1:23" s="451" customFormat="1" ht="40.5" customHeight="1">
      <c r="A677" s="284"/>
      <c r="B677" s="303"/>
      <c r="C677" s="183"/>
      <c r="D677" s="183" t="s">
        <v>704</v>
      </c>
      <c r="E677" s="300"/>
      <c r="F677" s="305"/>
      <c r="G677" s="305"/>
      <c r="H677" s="305"/>
      <c r="I677" s="450"/>
      <c r="J677" s="452"/>
      <c r="K677" s="2878"/>
      <c r="L677" s="2877"/>
      <c r="M677" s="2878"/>
      <c r="N677" s="2878"/>
    </row>
    <row r="678" spans="1:23" s="135" customFormat="1" ht="27" customHeight="1">
      <c r="A678" s="215">
        <v>121</v>
      </c>
      <c r="B678" s="177">
        <v>776</v>
      </c>
      <c r="C678" s="177" t="s">
        <v>705</v>
      </c>
      <c r="D678" s="177" t="s">
        <v>706</v>
      </c>
      <c r="E678" s="177" t="s">
        <v>165</v>
      </c>
      <c r="F678" s="178">
        <f>SUM(F685:F685)</f>
        <v>277.86</v>
      </c>
      <c r="G678" s="178">
        <f>SUM(H681:H684)/F678</f>
        <v>0</v>
      </c>
      <c r="H678" s="178">
        <f>F678*G678</f>
        <v>0</v>
      </c>
      <c r="I678" s="216" t="s">
        <v>112</v>
      </c>
      <c r="K678" s="444"/>
      <c r="L678" s="444"/>
    </row>
    <row r="679" spans="1:23" s="135" customFormat="1" ht="13.5" customHeight="1">
      <c r="A679" s="215"/>
      <c r="B679" s="177"/>
      <c r="C679" s="177"/>
      <c r="D679" s="183" t="s">
        <v>707</v>
      </c>
      <c r="E679" s="177"/>
      <c r="F679" s="178"/>
      <c r="G679" s="178"/>
      <c r="H679" s="178"/>
      <c r="I679" s="216"/>
      <c r="K679" s="444"/>
      <c r="L679" s="444"/>
    </row>
    <row r="680" spans="1:23" s="135" customFormat="1" ht="13.5" customHeight="1">
      <c r="A680" s="298"/>
      <c r="B680" s="299"/>
      <c r="C680" s="299"/>
      <c r="D680" s="183" t="s">
        <v>650</v>
      </c>
      <c r="E680" s="445"/>
      <c r="F680" s="305"/>
      <c r="G680" s="309"/>
      <c r="H680" s="178"/>
      <c r="I680" s="150"/>
      <c r="J680" s="2872"/>
      <c r="L680" s="2873"/>
      <c r="M680" s="447"/>
      <c r="N680" s="2874"/>
    </row>
    <row r="681" spans="1:23" s="135" customFormat="1" ht="13.5" customHeight="1">
      <c r="A681" s="319"/>
      <c r="B681" s="299"/>
      <c r="C681" s="299"/>
      <c r="D681" s="183" t="s">
        <v>708</v>
      </c>
      <c r="E681" s="300" t="s">
        <v>165</v>
      </c>
      <c r="F681" s="305">
        <f>(277.86)*1.1</f>
        <v>305.64600000000002</v>
      </c>
      <c r="G681" s="446"/>
      <c r="H681" s="305">
        <f>F681*G681</f>
        <v>0</v>
      </c>
      <c r="I681" s="150"/>
      <c r="J681" s="2872"/>
      <c r="L681" s="2873"/>
      <c r="M681" s="447"/>
      <c r="N681" s="2874"/>
      <c r="Q681" s="283"/>
    </row>
    <row r="682" spans="1:23" s="135" customFormat="1" ht="27" customHeight="1">
      <c r="A682" s="319"/>
      <c r="B682" s="448"/>
      <c r="C682" s="300"/>
      <c r="D682" s="183" t="s">
        <v>709</v>
      </c>
      <c r="E682" s="300" t="s">
        <v>165</v>
      </c>
      <c r="F682" s="305">
        <f>(277.86)*1.05</f>
        <v>291.75300000000004</v>
      </c>
      <c r="G682" s="446"/>
      <c r="H682" s="305">
        <f>F682*G682</f>
        <v>0</v>
      </c>
      <c r="I682" s="225"/>
      <c r="J682" s="2822"/>
      <c r="K682" s="218"/>
      <c r="L682" s="2839"/>
      <c r="M682" s="2840"/>
      <c r="N682" s="2824"/>
      <c r="U682" s="325"/>
      <c r="W682" s="442"/>
    </row>
    <row r="683" spans="1:23" s="135" customFormat="1" ht="13.5" customHeight="1">
      <c r="A683" s="319"/>
      <c r="B683" s="448"/>
      <c r="C683" s="300"/>
      <c r="D683" s="183" t="s">
        <v>710</v>
      </c>
      <c r="E683" s="300" t="s">
        <v>165</v>
      </c>
      <c r="F683" s="305">
        <f>(277.86)*1.15</f>
        <v>319.53899999999999</v>
      </c>
      <c r="G683" s="446"/>
      <c r="H683" s="305">
        <f>F683*G683</f>
        <v>0</v>
      </c>
      <c r="I683" s="225"/>
      <c r="J683" s="2822"/>
      <c r="K683" s="218"/>
      <c r="L683" s="449"/>
      <c r="W683" s="449"/>
    </row>
    <row r="684" spans="1:23" s="135" customFormat="1" ht="27" customHeight="1">
      <c r="A684" s="319"/>
      <c r="B684" s="299"/>
      <c r="C684" s="299"/>
      <c r="D684" s="183" t="s">
        <v>711</v>
      </c>
      <c r="E684" s="300" t="s">
        <v>165</v>
      </c>
      <c r="F684" s="305">
        <f>(277.86)*1.1</f>
        <v>305.64600000000002</v>
      </c>
      <c r="G684" s="446"/>
      <c r="H684" s="305">
        <f>F684*G684</f>
        <v>0</v>
      </c>
      <c r="I684" s="150"/>
      <c r="J684" s="2822"/>
      <c r="K684" s="218"/>
      <c r="L684" s="2839"/>
      <c r="M684" s="2840"/>
      <c r="N684" s="2824"/>
      <c r="W684" s="449"/>
    </row>
    <row r="685" spans="1:23" s="135" customFormat="1" ht="13.5" customHeight="1">
      <c r="A685" s="298"/>
      <c r="B685" s="299"/>
      <c r="C685" s="299"/>
      <c r="D685" s="183" t="s">
        <v>712</v>
      </c>
      <c r="E685" s="299"/>
      <c r="F685" s="305">
        <f>(4.25+12.8+12.86+3.12+190.95+53.88)</f>
        <v>277.86</v>
      </c>
      <c r="G685" s="309"/>
      <c r="H685" s="178"/>
      <c r="I685" s="150"/>
      <c r="J685" s="137"/>
      <c r="L685" s="449"/>
      <c r="R685" s="317"/>
    </row>
    <row r="686" spans="1:23" s="451" customFormat="1" ht="27" customHeight="1">
      <c r="A686" s="284"/>
      <c r="B686" s="303"/>
      <c r="C686" s="183"/>
      <c r="D686" s="183" t="s">
        <v>703</v>
      </c>
      <c r="E686" s="300"/>
      <c r="F686" s="305"/>
      <c r="G686" s="305"/>
      <c r="H686" s="305"/>
      <c r="I686" s="450"/>
      <c r="J686" s="325"/>
      <c r="K686" s="135"/>
      <c r="L686" s="2877"/>
      <c r="M686" s="2878"/>
      <c r="N686" s="2878"/>
    </row>
    <row r="687" spans="1:23" s="451" customFormat="1" ht="40.5" customHeight="1">
      <c r="A687" s="284"/>
      <c r="B687" s="303"/>
      <c r="C687" s="183"/>
      <c r="D687" s="183" t="s">
        <v>704</v>
      </c>
      <c r="E687" s="300"/>
      <c r="F687" s="305"/>
      <c r="G687" s="305"/>
      <c r="H687" s="305"/>
      <c r="I687" s="450"/>
      <c r="J687" s="452"/>
      <c r="K687" s="2878"/>
      <c r="L687" s="2877"/>
      <c r="M687" s="2878"/>
      <c r="N687" s="2878"/>
    </row>
    <row r="688" spans="1:23" s="135" customFormat="1" ht="27" customHeight="1">
      <c r="A688" s="215">
        <v>122</v>
      </c>
      <c r="B688" s="177">
        <v>776</v>
      </c>
      <c r="C688" s="177" t="s">
        <v>713</v>
      </c>
      <c r="D688" s="177" t="s">
        <v>714</v>
      </c>
      <c r="E688" s="177" t="s">
        <v>165</v>
      </c>
      <c r="F688" s="178">
        <f>SUM(F696:F696)</f>
        <v>12.33</v>
      </c>
      <c r="G688" s="178">
        <f>SUM(H691:H695)/F688</f>
        <v>0</v>
      </c>
      <c r="H688" s="178">
        <f>F688*G688</f>
        <v>0</v>
      </c>
      <c r="I688" s="216" t="s">
        <v>112</v>
      </c>
      <c r="K688" s="444"/>
      <c r="L688" s="444"/>
    </row>
    <row r="689" spans="1:23" s="135" customFormat="1" ht="13.5" customHeight="1">
      <c r="A689" s="215"/>
      <c r="B689" s="177"/>
      <c r="C689" s="177"/>
      <c r="D689" s="183" t="s">
        <v>707</v>
      </c>
      <c r="E689" s="177"/>
      <c r="F689" s="178"/>
      <c r="G689" s="178"/>
      <c r="H689" s="178"/>
      <c r="I689" s="216"/>
      <c r="K689" s="444"/>
      <c r="L689" s="444"/>
    </row>
    <row r="690" spans="1:23" s="135" customFormat="1" ht="13.5" customHeight="1">
      <c r="A690" s="298"/>
      <c r="B690" s="299"/>
      <c r="C690" s="299"/>
      <c r="D690" s="183" t="s">
        <v>650</v>
      </c>
      <c r="E690" s="445"/>
      <c r="F690" s="305"/>
      <c r="G690" s="309"/>
      <c r="H690" s="178"/>
      <c r="I690" s="150"/>
      <c r="J690" s="2872"/>
      <c r="L690" s="2873"/>
      <c r="M690" s="447"/>
      <c r="N690" s="2874"/>
    </row>
    <row r="691" spans="1:23" s="135" customFormat="1" ht="13.5" customHeight="1">
      <c r="A691" s="319"/>
      <c r="B691" s="299"/>
      <c r="C691" s="299"/>
      <c r="D691" s="183" t="s">
        <v>715</v>
      </c>
      <c r="E691" s="300" t="s">
        <v>165</v>
      </c>
      <c r="F691" s="305">
        <f>(12.33)*1.1</f>
        <v>13.563000000000001</v>
      </c>
      <c r="G691" s="446"/>
      <c r="H691" s="305">
        <f>F691*G691</f>
        <v>0</v>
      </c>
      <c r="I691" s="150"/>
      <c r="J691" s="2872"/>
      <c r="L691" s="2873"/>
      <c r="M691" s="447"/>
      <c r="N691" s="2874"/>
      <c r="Q691" s="283"/>
    </row>
    <row r="692" spans="1:23" s="135" customFormat="1" ht="13.5" customHeight="1">
      <c r="A692" s="319"/>
      <c r="B692" s="448"/>
      <c r="C692" s="300"/>
      <c r="D692" s="183" t="s">
        <v>716</v>
      </c>
      <c r="E692" s="300" t="s">
        <v>165</v>
      </c>
      <c r="F692" s="305">
        <f>(12.33)*1.1</f>
        <v>13.563000000000001</v>
      </c>
      <c r="G692" s="446"/>
      <c r="H692" s="305">
        <f>F692*G692</f>
        <v>0</v>
      </c>
      <c r="I692" s="225"/>
      <c r="J692" s="2822"/>
      <c r="K692" s="218"/>
      <c r="L692" s="442"/>
      <c r="M692" s="218"/>
      <c r="N692" s="218"/>
      <c r="W692" s="449"/>
    </row>
    <row r="693" spans="1:23" s="135" customFormat="1" ht="27" customHeight="1">
      <c r="A693" s="319"/>
      <c r="B693" s="448"/>
      <c r="C693" s="300"/>
      <c r="D693" s="183" t="s">
        <v>717</v>
      </c>
      <c r="E693" s="300" t="s">
        <v>147</v>
      </c>
      <c r="F693" s="305">
        <f>(12.33*0.11)*1.1</f>
        <v>1.4919300000000002</v>
      </c>
      <c r="G693" s="446"/>
      <c r="H693" s="305">
        <f>F693*G693</f>
        <v>0</v>
      </c>
      <c r="I693" s="225"/>
      <c r="J693" s="2822"/>
      <c r="K693" s="218"/>
      <c r="L693" s="2839"/>
      <c r="M693" s="2840"/>
      <c r="N693" s="2824"/>
      <c r="U693" s="325"/>
      <c r="W693" s="442"/>
    </row>
    <row r="694" spans="1:23" s="135" customFormat="1" ht="13.5" customHeight="1">
      <c r="A694" s="319"/>
      <c r="B694" s="448"/>
      <c r="C694" s="300"/>
      <c r="D694" s="183" t="s">
        <v>718</v>
      </c>
      <c r="E694" s="300" t="s">
        <v>165</v>
      </c>
      <c r="F694" s="305">
        <f>(12.33)*1.15</f>
        <v>14.179499999999999</v>
      </c>
      <c r="G694" s="446"/>
      <c r="H694" s="305">
        <f>F694*G694</f>
        <v>0</v>
      </c>
      <c r="I694" s="225"/>
      <c r="J694" s="2822"/>
      <c r="K694" s="218"/>
      <c r="L694" s="449"/>
      <c r="W694" s="449"/>
    </row>
    <row r="695" spans="1:23" s="135" customFormat="1" ht="27" customHeight="1">
      <c r="A695" s="319"/>
      <c r="B695" s="299"/>
      <c r="C695" s="299"/>
      <c r="D695" s="183" t="s">
        <v>719</v>
      </c>
      <c r="E695" s="300" t="s">
        <v>165</v>
      </c>
      <c r="F695" s="305">
        <f>(12.33)*1.1</f>
        <v>13.563000000000001</v>
      </c>
      <c r="G695" s="446"/>
      <c r="H695" s="305">
        <f>F695*G695</f>
        <v>0</v>
      </c>
      <c r="I695" s="150"/>
      <c r="J695" s="2822"/>
      <c r="K695" s="218"/>
      <c r="L695" s="2839"/>
      <c r="M695" s="2840"/>
      <c r="N695" s="2824"/>
      <c r="W695" s="449"/>
    </row>
    <row r="696" spans="1:23" s="135" customFormat="1" ht="13.5" customHeight="1">
      <c r="A696" s="298"/>
      <c r="B696" s="299"/>
      <c r="C696" s="299"/>
      <c r="D696" s="183" t="s">
        <v>720</v>
      </c>
      <c r="E696" s="299"/>
      <c r="F696" s="305">
        <v>12.33</v>
      </c>
      <c r="G696" s="309"/>
      <c r="H696" s="178"/>
      <c r="I696" s="150"/>
      <c r="J696" s="137"/>
      <c r="L696" s="449"/>
      <c r="R696" s="317"/>
    </row>
    <row r="697" spans="1:23" s="451" customFormat="1" ht="27" customHeight="1">
      <c r="A697" s="284"/>
      <c r="B697" s="303"/>
      <c r="C697" s="183"/>
      <c r="D697" s="183" t="s">
        <v>703</v>
      </c>
      <c r="E697" s="300"/>
      <c r="F697" s="305"/>
      <c r="G697" s="305"/>
      <c r="H697" s="305"/>
      <c r="I697" s="450"/>
      <c r="J697" s="325"/>
      <c r="K697" s="135"/>
      <c r="L697" s="2877"/>
      <c r="M697" s="2878"/>
      <c r="N697" s="2878"/>
    </row>
    <row r="698" spans="1:23" s="451" customFormat="1" ht="40.5" customHeight="1">
      <c r="A698" s="284"/>
      <c r="B698" s="303"/>
      <c r="C698" s="183"/>
      <c r="D698" s="183" t="s">
        <v>704</v>
      </c>
      <c r="E698" s="300"/>
      <c r="F698" s="305"/>
      <c r="G698" s="305"/>
      <c r="H698" s="305"/>
      <c r="I698" s="450"/>
      <c r="J698" s="452"/>
      <c r="K698" s="2878"/>
      <c r="L698" s="2877"/>
      <c r="M698" s="2878"/>
      <c r="N698" s="2878"/>
    </row>
    <row r="699" spans="1:23" s="135" customFormat="1" ht="27" customHeight="1">
      <c r="A699" s="215">
        <v>123</v>
      </c>
      <c r="B699" s="177">
        <v>776</v>
      </c>
      <c r="C699" s="177" t="s">
        <v>721</v>
      </c>
      <c r="D699" s="177" t="s">
        <v>722</v>
      </c>
      <c r="E699" s="177" t="s">
        <v>165</v>
      </c>
      <c r="F699" s="178">
        <f>SUM(F703:F703)</f>
        <v>55.930000000000007</v>
      </c>
      <c r="G699" s="178">
        <f>SUM(H702:H702)/F699</f>
        <v>0</v>
      </c>
      <c r="H699" s="178">
        <f>F699*G699</f>
        <v>0</v>
      </c>
      <c r="I699" s="216" t="s">
        <v>112</v>
      </c>
      <c r="K699" s="444"/>
      <c r="L699" s="444"/>
    </row>
    <row r="700" spans="1:23" s="135" customFormat="1" ht="13.5" customHeight="1">
      <c r="A700" s="215"/>
      <c r="B700" s="177"/>
      <c r="C700" s="177"/>
      <c r="D700" s="183" t="s">
        <v>723</v>
      </c>
      <c r="E700" s="177"/>
      <c r="F700" s="178"/>
      <c r="G700" s="178"/>
      <c r="H700" s="178"/>
      <c r="I700" s="216"/>
      <c r="K700" s="444"/>
      <c r="L700" s="444"/>
    </row>
    <row r="701" spans="1:23" s="135" customFormat="1" ht="13.5" customHeight="1">
      <c r="A701" s="298"/>
      <c r="B701" s="299"/>
      <c r="C701" s="299"/>
      <c r="D701" s="183" t="s">
        <v>650</v>
      </c>
      <c r="E701" s="445"/>
      <c r="F701" s="305"/>
      <c r="G701" s="309"/>
      <c r="H701" s="178"/>
      <c r="I701" s="150"/>
      <c r="J701" s="2872"/>
      <c r="L701" s="2873"/>
      <c r="M701" s="447"/>
      <c r="N701" s="2874"/>
    </row>
    <row r="702" spans="1:23" s="135" customFormat="1" ht="13.5" customHeight="1">
      <c r="A702" s="319"/>
      <c r="B702" s="299"/>
      <c r="C702" s="299"/>
      <c r="D702" s="183" t="s">
        <v>724</v>
      </c>
      <c r="E702" s="300" t="s">
        <v>165</v>
      </c>
      <c r="F702" s="305">
        <f xml:space="preserve"> (55.93)*1.1</f>
        <v>61.523000000000003</v>
      </c>
      <c r="G702" s="446"/>
      <c r="H702" s="305">
        <f>F702*G702</f>
        <v>0</v>
      </c>
      <c r="I702" s="150"/>
      <c r="J702" s="2872"/>
      <c r="L702" s="2873"/>
      <c r="M702" s="447"/>
      <c r="N702" s="2874"/>
      <c r="Q702" s="283"/>
    </row>
    <row r="703" spans="1:23" s="135" customFormat="1" ht="13.5" customHeight="1">
      <c r="A703" s="298"/>
      <c r="B703" s="299"/>
      <c r="C703" s="299"/>
      <c r="D703" s="183" t="s">
        <v>725</v>
      </c>
      <c r="E703" s="299"/>
      <c r="F703" s="305">
        <f>(3.78+23.35+5.86+22.94)</f>
        <v>55.930000000000007</v>
      </c>
      <c r="G703" s="309"/>
      <c r="H703" s="178"/>
      <c r="I703" s="150"/>
      <c r="J703" s="137"/>
      <c r="L703" s="449"/>
      <c r="R703" s="317"/>
    </row>
    <row r="704" spans="1:23" s="451" customFormat="1" ht="27" customHeight="1">
      <c r="A704" s="284"/>
      <c r="B704" s="303"/>
      <c r="C704" s="183"/>
      <c r="D704" s="183" t="s">
        <v>703</v>
      </c>
      <c r="E704" s="300"/>
      <c r="F704" s="305"/>
      <c r="G704" s="305"/>
      <c r="H704" s="305"/>
      <c r="I704" s="450"/>
      <c r="J704" s="325"/>
      <c r="K704" s="135"/>
      <c r="L704" s="2877"/>
      <c r="M704" s="2878"/>
      <c r="N704" s="2878"/>
    </row>
    <row r="705" spans="1:23" s="451" customFormat="1" ht="40.5" customHeight="1">
      <c r="A705" s="284"/>
      <c r="B705" s="303"/>
      <c r="C705" s="183"/>
      <c r="D705" s="183" t="s">
        <v>704</v>
      </c>
      <c r="E705" s="300"/>
      <c r="F705" s="305"/>
      <c r="G705" s="305"/>
      <c r="H705" s="305"/>
      <c r="I705" s="450"/>
      <c r="J705" s="452"/>
      <c r="K705" s="2878"/>
      <c r="L705" s="2877"/>
      <c r="M705" s="2878"/>
      <c r="N705" s="2878"/>
    </row>
    <row r="706" spans="1:23" s="135" customFormat="1" ht="27" customHeight="1">
      <c r="A706" s="215">
        <v>124</v>
      </c>
      <c r="B706" s="177">
        <v>776</v>
      </c>
      <c r="C706" s="177" t="s">
        <v>726</v>
      </c>
      <c r="D706" s="177" t="s">
        <v>727</v>
      </c>
      <c r="E706" s="177" t="s">
        <v>165</v>
      </c>
      <c r="F706" s="178">
        <f>SUM(F711:F711)</f>
        <v>645.95999999999992</v>
      </c>
      <c r="G706" s="178">
        <f>SUM(H709:H710)/F706</f>
        <v>0</v>
      </c>
      <c r="H706" s="178">
        <f>F706*G706</f>
        <v>0</v>
      </c>
      <c r="I706" s="216" t="s">
        <v>112</v>
      </c>
      <c r="K706" s="444"/>
      <c r="L706" s="444"/>
    </row>
    <row r="707" spans="1:23" s="135" customFormat="1" ht="13.5" customHeight="1">
      <c r="A707" s="215"/>
      <c r="B707" s="177"/>
      <c r="C707" s="177"/>
      <c r="D707" s="183" t="s">
        <v>723</v>
      </c>
      <c r="E707" s="177"/>
      <c r="F707" s="178"/>
      <c r="G707" s="178"/>
      <c r="H707" s="178"/>
      <c r="I707" s="216"/>
      <c r="K707" s="444"/>
      <c r="L707" s="444"/>
    </row>
    <row r="708" spans="1:23" s="135" customFormat="1" ht="13.5" customHeight="1">
      <c r="A708" s="298"/>
      <c r="B708" s="299"/>
      <c r="C708" s="299"/>
      <c r="D708" s="183" t="s">
        <v>650</v>
      </c>
      <c r="E708" s="445"/>
      <c r="F708" s="305"/>
      <c r="G708" s="309"/>
      <c r="H708" s="178"/>
      <c r="I708" s="150"/>
      <c r="J708" s="2872"/>
      <c r="L708" s="2873"/>
      <c r="M708" s="447"/>
      <c r="N708" s="2874"/>
    </row>
    <row r="709" spans="1:23" s="135" customFormat="1" ht="13.5" customHeight="1">
      <c r="A709" s="319"/>
      <c r="B709" s="299"/>
      <c r="C709" s="299"/>
      <c r="D709" s="183" t="s">
        <v>728</v>
      </c>
      <c r="E709" s="300" t="s">
        <v>165</v>
      </c>
      <c r="F709" s="305">
        <f>(645.96)*1.1</f>
        <v>710.55600000000015</v>
      </c>
      <c r="G709" s="446"/>
      <c r="H709" s="305">
        <f>F709*G709</f>
        <v>0</v>
      </c>
      <c r="I709" s="150"/>
      <c r="J709" s="2872"/>
      <c r="L709" s="2873"/>
      <c r="M709" s="447"/>
      <c r="N709" s="2874"/>
      <c r="Q709" s="283"/>
    </row>
    <row r="710" spans="1:23" s="135" customFormat="1" ht="13.5" customHeight="1">
      <c r="A710" s="319"/>
      <c r="B710" s="448"/>
      <c r="C710" s="300"/>
      <c r="D710" s="183" t="s">
        <v>729</v>
      </c>
      <c r="E710" s="300" t="s">
        <v>165</v>
      </c>
      <c r="F710" s="305">
        <f>(645.96)*1.1</f>
        <v>710.55600000000015</v>
      </c>
      <c r="G710" s="446"/>
      <c r="H710" s="305">
        <f>F710*G710</f>
        <v>0</v>
      </c>
      <c r="I710" s="225"/>
      <c r="J710" s="2822"/>
      <c r="K710" s="218"/>
      <c r="L710" s="442"/>
      <c r="M710" s="218"/>
      <c r="N710" s="218"/>
      <c r="W710" s="449"/>
    </row>
    <row r="711" spans="1:23" s="135" customFormat="1" ht="27" customHeight="1">
      <c r="A711" s="298"/>
      <c r="B711" s="299"/>
      <c r="C711" s="299"/>
      <c r="D711" s="183" t="s">
        <v>730</v>
      </c>
      <c r="E711" s="299"/>
      <c r="F711" s="305">
        <f>(87.71+22.35+64.22+77.07+22.94+29.24+66.71+12.71+10.2+58.71+66.71+57.04+70.35)</f>
        <v>645.95999999999992</v>
      </c>
      <c r="G711" s="309"/>
      <c r="H711" s="178"/>
      <c r="I711" s="150"/>
      <c r="J711" s="137"/>
      <c r="L711" s="449"/>
      <c r="R711" s="317"/>
    </row>
    <row r="712" spans="1:23" s="451" customFormat="1" ht="27" customHeight="1">
      <c r="A712" s="284"/>
      <c r="B712" s="303"/>
      <c r="C712" s="183"/>
      <c r="D712" s="183" t="s">
        <v>703</v>
      </c>
      <c r="E712" s="300"/>
      <c r="F712" s="305"/>
      <c r="G712" s="305"/>
      <c r="H712" s="305"/>
      <c r="I712" s="450"/>
      <c r="J712" s="325"/>
      <c r="K712" s="135"/>
      <c r="L712" s="2877"/>
      <c r="M712" s="2878"/>
      <c r="N712" s="2878"/>
    </row>
    <row r="713" spans="1:23" s="451" customFormat="1" ht="40.5" customHeight="1">
      <c r="A713" s="284"/>
      <c r="B713" s="303"/>
      <c r="C713" s="183"/>
      <c r="D713" s="183" t="s">
        <v>704</v>
      </c>
      <c r="E713" s="300"/>
      <c r="F713" s="305"/>
      <c r="G713" s="305"/>
      <c r="H713" s="305"/>
      <c r="I713" s="450"/>
      <c r="J713" s="452"/>
      <c r="K713" s="2878"/>
      <c r="L713" s="2877"/>
      <c r="M713" s="2878"/>
      <c r="N713" s="2878"/>
    </row>
    <row r="714" spans="1:23" s="135" customFormat="1" ht="27" customHeight="1">
      <c r="A714" s="215">
        <v>125</v>
      </c>
      <c r="B714" s="177">
        <v>776</v>
      </c>
      <c r="C714" s="177" t="s">
        <v>731</v>
      </c>
      <c r="D714" s="177" t="s">
        <v>732</v>
      </c>
      <c r="E714" s="177" t="s">
        <v>165</v>
      </c>
      <c r="F714" s="178">
        <f>SUM(F722:F722)</f>
        <v>14.52</v>
      </c>
      <c r="G714" s="178">
        <f>SUM(H717:H721)/F714</f>
        <v>0</v>
      </c>
      <c r="H714" s="178">
        <f>F714*G714</f>
        <v>0</v>
      </c>
      <c r="I714" s="216" t="s">
        <v>112</v>
      </c>
      <c r="K714" s="444"/>
      <c r="L714" s="444"/>
    </row>
    <row r="715" spans="1:23" s="135" customFormat="1" ht="13.5" customHeight="1">
      <c r="A715" s="215"/>
      <c r="B715" s="177"/>
      <c r="C715" s="177"/>
      <c r="D715" s="183" t="s">
        <v>723</v>
      </c>
      <c r="E715" s="177"/>
      <c r="F715" s="178"/>
      <c r="G715" s="178"/>
      <c r="H715" s="178"/>
      <c r="I715" s="216"/>
      <c r="K715" s="444"/>
      <c r="L715" s="444"/>
    </row>
    <row r="716" spans="1:23" s="135" customFormat="1" ht="13.5" customHeight="1">
      <c r="A716" s="298"/>
      <c r="B716" s="299"/>
      <c r="C716" s="299"/>
      <c r="D716" s="183" t="s">
        <v>650</v>
      </c>
      <c r="E716" s="445"/>
      <c r="F716" s="305"/>
      <c r="G716" s="309"/>
      <c r="H716" s="178"/>
      <c r="I716" s="150"/>
      <c r="J716" s="2872"/>
      <c r="L716" s="2873"/>
      <c r="M716" s="447"/>
      <c r="N716" s="2874"/>
    </row>
    <row r="717" spans="1:23" s="135" customFormat="1" ht="13.5" customHeight="1">
      <c r="A717" s="319"/>
      <c r="B717" s="299"/>
      <c r="C717" s="299"/>
      <c r="D717" s="183" t="s">
        <v>733</v>
      </c>
      <c r="E717" s="300" t="s">
        <v>165</v>
      </c>
      <c r="F717" s="305">
        <f>(14.52)*1.1</f>
        <v>15.972000000000001</v>
      </c>
      <c r="G717" s="446"/>
      <c r="H717" s="305">
        <f>F717*G717</f>
        <v>0</v>
      </c>
      <c r="I717" s="150"/>
      <c r="J717" s="2872"/>
      <c r="L717" s="2873"/>
      <c r="M717" s="447"/>
      <c r="N717" s="2874"/>
      <c r="Q717" s="283"/>
    </row>
    <row r="718" spans="1:23" s="135" customFormat="1" ht="13.5" customHeight="1">
      <c r="A718" s="319"/>
      <c r="B718" s="448"/>
      <c r="C718" s="300"/>
      <c r="D718" s="183" t="s">
        <v>734</v>
      </c>
      <c r="E718" s="300" t="s">
        <v>165</v>
      </c>
      <c r="F718" s="305">
        <f>(14.52)*1.1</f>
        <v>15.972000000000001</v>
      </c>
      <c r="G718" s="446"/>
      <c r="H718" s="305">
        <f>F718*G718</f>
        <v>0</v>
      </c>
      <c r="I718" s="225"/>
      <c r="J718" s="2822"/>
      <c r="K718" s="218"/>
      <c r="L718" s="442"/>
      <c r="M718" s="2840"/>
      <c r="N718" s="218"/>
      <c r="W718" s="449"/>
    </row>
    <row r="719" spans="1:23" s="135" customFormat="1" ht="27" customHeight="1">
      <c r="A719" s="319"/>
      <c r="B719" s="448"/>
      <c r="C719" s="300"/>
      <c r="D719" s="183" t="s">
        <v>735</v>
      </c>
      <c r="E719" s="300" t="s">
        <v>165</v>
      </c>
      <c r="F719" s="305">
        <f xml:space="preserve"> (14.52)*1.1</f>
        <v>15.972000000000001</v>
      </c>
      <c r="G719" s="446"/>
      <c r="H719" s="305">
        <f>F719*G719</f>
        <v>0</v>
      </c>
      <c r="I719" s="225"/>
      <c r="J719" s="2822"/>
      <c r="K719" s="218"/>
      <c r="L719" s="2839"/>
      <c r="M719" s="2840"/>
      <c r="N719" s="2824"/>
      <c r="U719" s="325"/>
      <c r="W719" s="442"/>
    </row>
    <row r="720" spans="1:23" s="135" customFormat="1" ht="27" customHeight="1">
      <c r="A720" s="319"/>
      <c r="B720" s="299"/>
      <c r="C720" s="299"/>
      <c r="D720" s="183" t="s">
        <v>736</v>
      </c>
      <c r="E720" s="300" t="s">
        <v>165</v>
      </c>
      <c r="F720" s="305">
        <f>(14.52)*1.1</f>
        <v>15.972000000000001</v>
      </c>
      <c r="G720" s="446"/>
      <c r="H720" s="305">
        <f>F720*G720</f>
        <v>0</v>
      </c>
      <c r="I720" s="150"/>
      <c r="J720" s="2822"/>
      <c r="K720" s="218"/>
      <c r="L720" s="2839"/>
      <c r="M720" s="2840"/>
      <c r="N720" s="2824"/>
      <c r="W720" s="449"/>
    </row>
    <row r="721" spans="1:23" s="135" customFormat="1" ht="13.5" customHeight="1">
      <c r="A721" s="319"/>
      <c r="B721" s="299"/>
      <c r="C721" s="299"/>
      <c r="D721" s="183" t="s">
        <v>737</v>
      </c>
      <c r="E721" s="300" t="s">
        <v>165</v>
      </c>
      <c r="F721" s="305">
        <f>(14.52)*1.1</f>
        <v>15.972000000000001</v>
      </c>
      <c r="G721" s="446"/>
      <c r="H721" s="305">
        <f>F721*G721</f>
        <v>0</v>
      </c>
      <c r="I721" s="150"/>
      <c r="J721" s="2822"/>
      <c r="K721" s="218"/>
      <c r="L721" s="2839"/>
      <c r="M721" s="2840"/>
      <c r="N721" s="2824"/>
      <c r="W721" s="449"/>
    </row>
    <row r="722" spans="1:23" s="135" customFormat="1" ht="13.5" customHeight="1">
      <c r="A722" s="298"/>
      <c r="B722" s="299"/>
      <c r="C722" s="299"/>
      <c r="D722" s="183" t="s">
        <v>738</v>
      </c>
      <c r="E722" s="299"/>
      <c r="F722" s="305">
        <f xml:space="preserve"> (11.73+2.79)</f>
        <v>14.52</v>
      </c>
      <c r="G722" s="309"/>
      <c r="H722" s="178"/>
      <c r="I722" s="150"/>
      <c r="J722" s="137"/>
      <c r="L722" s="449"/>
      <c r="R722" s="317"/>
    </row>
    <row r="723" spans="1:23" s="451" customFormat="1" ht="27" customHeight="1">
      <c r="A723" s="284"/>
      <c r="B723" s="303"/>
      <c r="C723" s="183"/>
      <c r="D723" s="183" t="s">
        <v>703</v>
      </c>
      <c r="E723" s="300"/>
      <c r="F723" s="305"/>
      <c r="G723" s="305"/>
      <c r="H723" s="305"/>
      <c r="I723" s="450"/>
      <c r="J723" s="325"/>
      <c r="K723" s="135"/>
      <c r="L723" s="2877"/>
      <c r="M723" s="2878"/>
      <c r="N723" s="2878"/>
    </row>
    <row r="724" spans="1:23" s="451" customFormat="1" ht="40.5" customHeight="1">
      <c r="A724" s="284"/>
      <c r="B724" s="303"/>
      <c r="C724" s="183"/>
      <c r="D724" s="183" t="s">
        <v>704</v>
      </c>
      <c r="E724" s="300"/>
      <c r="F724" s="305"/>
      <c r="G724" s="305"/>
      <c r="H724" s="305"/>
      <c r="I724" s="450"/>
      <c r="J724" s="452"/>
      <c r="K724" s="2878"/>
      <c r="L724" s="2877"/>
      <c r="M724" s="2878"/>
      <c r="N724" s="2878"/>
    </row>
    <row r="725" spans="1:23" s="135" customFormat="1" ht="27" customHeight="1">
      <c r="A725" s="215">
        <v>126</v>
      </c>
      <c r="B725" s="177">
        <v>776</v>
      </c>
      <c r="C725" s="177" t="s">
        <v>739</v>
      </c>
      <c r="D725" s="177" t="s">
        <v>740</v>
      </c>
      <c r="E725" s="177" t="s">
        <v>165</v>
      </c>
      <c r="F725" s="178">
        <f>SUM(F732:F732)</f>
        <v>17.059999999999999</v>
      </c>
      <c r="G725" s="178">
        <f>SUM(H729:H731)/F725</f>
        <v>0</v>
      </c>
      <c r="H725" s="178">
        <f>F725*G725</f>
        <v>0</v>
      </c>
      <c r="I725" s="216" t="s">
        <v>112</v>
      </c>
      <c r="K725" s="444"/>
      <c r="L725" s="444"/>
      <c r="M725" s="2735"/>
    </row>
    <row r="726" spans="1:23" s="135" customFormat="1" ht="13.5" customHeight="1">
      <c r="A726" s="215"/>
      <c r="B726" s="177"/>
      <c r="C726" s="177"/>
      <c r="D726" s="183" t="s">
        <v>741</v>
      </c>
      <c r="E726" s="177"/>
      <c r="F726" s="178"/>
      <c r="G726" s="178"/>
      <c r="H726" s="178"/>
      <c r="I726" s="216"/>
      <c r="J726" s="347"/>
      <c r="K726" s="444"/>
      <c r="L726" s="444"/>
    </row>
    <row r="727" spans="1:23" s="135" customFormat="1" ht="13.5" customHeight="1">
      <c r="A727" s="298"/>
      <c r="B727" s="299"/>
      <c r="C727" s="299"/>
      <c r="D727" s="183" t="s">
        <v>650</v>
      </c>
      <c r="E727" s="445"/>
      <c r="F727" s="305"/>
      <c r="G727" s="309"/>
      <c r="H727" s="178"/>
      <c r="I727" s="150"/>
    </row>
    <row r="728" spans="1:23" s="135" customFormat="1" ht="27" customHeight="1">
      <c r="A728" s="319"/>
      <c r="B728" s="299"/>
      <c r="C728" s="299"/>
      <c r="D728" s="183" t="s">
        <v>742</v>
      </c>
      <c r="E728" s="300"/>
      <c r="F728" s="305"/>
      <c r="G728" s="3051" t="s">
        <v>743</v>
      </c>
      <c r="H728" s="3052"/>
      <c r="I728" s="150"/>
      <c r="J728" s="317"/>
      <c r="M728" s="218"/>
      <c r="Q728" s="283"/>
    </row>
    <row r="729" spans="1:23" s="135" customFormat="1" ht="27" customHeight="1">
      <c r="A729" s="319"/>
      <c r="B729" s="448"/>
      <c r="C729" s="300"/>
      <c r="D729" s="183" t="s">
        <v>744</v>
      </c>
      <c r="E729" s="300" t="s">
        <v>165</v>
      </c>
      <c r="F729" s="305">
        <f>(17.06)*1.05</f>
        <v>17.913</v>
      </c>
      <c r="G729" s="446"/>
      <c r="H729" s="305">
        <f>F729*G729</f>
        <v>0</v>
      </c>
      <c r="I729" s="225"/>
      <c r="J729" s="2822"/>
      <c r="K729" s="218"/>
      <c r="L729" s="2839"/>
      <c r="M729" s="2840"/>
      <c r="N729" s="2824"/>
      <c r="U729" s="325"/>
      <c r="W729" s="442"/>
    </row>
    <row r="730" spans="1:23" s="135" customFormat="1" ht="13.5" customHeight="1">
      <c r="A730" s="319"/>
      <c r="B730" s="448"/>
      <c r="C730" s="300"/>
      <c r="D730" s="183" t="s">
        <v>745</v>
      </c>
      <c r="E730" s="300" t="s">
        <v>165</v>
      </c>
      <c r="F730" s="305">
        <f xml:space="preserve"> (17.06)*1.15</f>
        <v>19.618999999999996</v>
      </c>
      <c r="G730" s="446"/>
      <c r="H730" s="305">
        <f>F730*G730</f>
        <v>0</v>
      </c>
      <c r="I730" s="225"/>
      <c r="J730" s="2822"/>
      <c r="K730" s="218"/>
      <c r="L730" s="449"/>
      <c r="W730" s="449"/>
    </row>
    <row r="731" spans="1:23" s="135" customFormat="1" ht="27" customHeight="1">
      <c r="A731" s="319"/>
      <c r="B731" s="299"/>
      <c r="C731" s="299"/>
      <c r="D731" s="183" t="s">
        <v>746</v>
      </c>
      <c r="E731" s="300" t="s">
        <v>165</v>
      </c>
      <c r="F731" s="305">
        <f>(17.06)*1.1</f>
        <v>18.766000000000002</v>
      </c>
      <c r="G731" s="446"/>
      <c r="H731" s="305">
        <f>F731*G731</f>
        <v>0</v>
      </c>
      <c r="I731" s="150"/>
      <c r="J731" s="2822"/>
      <c r="K731" s="218"/>
      <c r="L731" s="2839"/>
      <c r="M731" s="2823"/>
      <c r="N731" s="2824"/>
      <c r="W731" s="449"/>
    </row>
    <row r="732" spans="1:23" s="135" customFormat="1" ht="13.5" customHeight="1">
      <c r="A732" s="298"/>
      <c r="B732" s="299"/>
      <c r="C732" s="299"/>
      <c r="D732" s="183" t="s">
        <v>747</v>
      </c>
      <c r="E732" s="299"/>
      <c r="F732" s="305">
        <f>(17.06)</f>
        <v>17.059999999999999</v>
      </c>
      <c r="G732" s="309"/>
      <c r="H732" s="178"/>
      <c r="I732" s="150"/>
      <c r="J732" s="137"/>
      <c r="L732" s="449"/>
      <c r="R732" s="317"/>
    </row>
    <row r="733" spans="1:23" s="451" customFormat="1" ht="27" customHeight="1">
      <c r="A733" s="284"/>
      <c r="B733" s="303"/>
      <c r="C733" s="183"/>
      <c r="D733" s="183" t="s">
        <v>748</v>
      </c>
      <c r="E733" s="300"/>
      <c r="F733" s="305"/>
      <c r="G733" s="305"/>
      <c r="H733" s="305"/>
      <c r="I733" s="450"/>
      <c r="J733" s="325"/>
      <c r="K733" s="135"/>
      <c r="L733" s="2877"/>
      <c r="M733" s="2878"/>
      <c r="N733" s="2878"/>
    </row>
    <row r="734" spans="1:23" s="451" customFormat="1" ht="40.5" customHeight="1">
      <c r="A734" s="284"/>
      <c r="B734" s="303"/>
      <c r="C734" s="183"/>
      <c r="D734" s="183" t="s">
        <v>658</v>
      </c>
      <c r="E734" s="300"/>
      <c r="F734" s="305"/>
      <c r="G734" s="305"/>
      <c r="H734" s="305"/>
      <c r="I734" s="450"/>
      <c r="J734" s="452"/>
      <c r="K734" s="2878"/>
      <c r="L734" s="2877"/>
      <c r="M734" s="2878"/>
      <c r="N734" s="2878"/>
    </row>
    <row r="735" spans="1:23" s="135" customFormat="1" ht="27" customHeight="1">
      <c r="A735" s="215">
        <v>127</v>
      </c>
      <c r="B735" s="177">
        <v>776</v>
      </c>
      <c r="C735" s="177" t="s">
        <v>749</v>
      </c>
      <c r="D735" s="177" t="s">
        <v>750</v>
      </c>
      <c r="E735" s="177" t="s">
        <v>165</v>
      </c>
      <c r="F735" s="178">
        <f>SUM(F742:F742)</f>
        <v>2.31</v>
      </c>
      <c r="G735" s="178">
        <f>SUM(H739:H741)/F735</f>
        <v>0</v>
      </c>
      <c r="H735" s="178">
        <f>F735*G735</f>
        <v>0</v>
      </c>
      <c r="I735" s="216" t="s">
        <v>112</v>
      </c>
      <c r="K735" s="444"/>
      <c r="L735" s="444"/>
      <c r="M735" s="2735"/>
    </row>
    <row r="736" spans="1:23" s="135" customFormat="1" ht="13.5" customHeight="1">
      <c r="A736" s="215"/>
      <c r="B736" s="177"/>
      <c r="C736" s="177"/>
      <c r="D736" s="183" t="s">
        <v>751</v>
      </c>
      <c r="E736" s="177"/>
      <c r="F736" s="178"/>
      <c r="G736" s="178"/>
      <c r="H736" s="178"/>
      <c r="I736" s="216"/>
      <c r="J736" s="347"/>
      <c r="K736" s="444"/>
      <c r="L736" s="444"/>
    </row>
    <row r="737" spans="1:23" s="135" customFormat="1" ht="13.5" customHeight="1">
      <c r="A737" s="298"/>
      <c r="B737" s="299"/>
      <c r="C737" s="299"/>
      <c r="D737" s="183" t="s">
        <v>650</v>
      </c>
      <c r="E737" s="445"/>
      <c r="F737" s="305"/>
      <c r="G737" s="309"/>
      <c r="H737" s="178"/>
      <c r="I737" s="150"/>
    </row>
    <row r="738" spans="1:23" s="135" customFormat="1" ht="27" customHeight="1">
      <c r="A738" s="319"/>
      <c r="B738" s="299"/>
      <c r="C738" s="299"/>
      <c r="D738" s="183" t="s">
        <v>742</v>
      </c>
      <c r="E738" s="300"/>
      <c r="F738" s="305"/>
      <c r="G738" s="3051" t="s">
        <v>743</v>
      </c>
      <c r="H738" s="3052"/>
      <c r="I738" s="150"/>
      <c r="J738" s="317"/>
      <c r="M738" s="218"/>
      <c r="Q738" s="283"/>
    </row>
    <row r="739" spans="1:23" s="135" customFormat="1" ht="27" customHeight="1">
      <c r="A739" s="319"/>
      <c r="B739" s="448"/>
      <c r="C739" s="300"/>
      <c r="D739" s="183" t="s">
        <v>752</v>
      </c>
      <c r="E739" s="300" t="s">
        <v>165</v>
      </c>
      <c r="F739" s="305">
        <f>(2.31)*1.05</f>
        <v>2.4255</v>
      </c>
      <c r="G739" s="446"/>
      <c r="H739" s="305">
        <f>F739*G739</f>
        <v>0</v>
      </c>
      <c r="I739" s="225"/>
      <c r="J739" s="2822"/>
      <c r="K739" s="218"/>
      <c r="L739" s="2839"/>
      <c r="M739" s="2840"/>
      <c r="N739" s="2824"/>
      <c r="U739" s="325"/>
      <c r="W739" s="442"/>
    </row>
    <row r="740" spans="1:23" s="135" customFormat="1" ht="13.5" customHeight="1">
      <c r="A740" s="319"/>
      <c r="B740" s="448"/>
      <c r="C740" s="300"/>
      <c r="D740" s="183" t="s">
        <v>753</v>
      </c>
      <c r="E740" s="300" t="s">
        <v>165</v>
      </c>
      <c r="F740" s="305">
        <f>(2.31)*1.15</f>
        <v>2.6564999999999999</v>
      </c>
      <c r="G740" s="446"/>
      <c r="H740" s="305">
        <f>F740*G740</f>
        <v>0</v>
      </c>
      <c r="I740" s="225"/>
      <c r="J740" s="2822"/>
      <c r="K740" s="218"/>
      <c r="L740" s="449"/>
      <c r="W740" s="449"/>
    </row>
    <row r="741" spans="1:23" s="135" customFormat="1" ht="27" customHeight="1">
      <c r="A741" s="319"/>
      <c r="B741" s="299"/>
      <c r="C741" s="299"/>
      <c r="D741" s="183" t="s">
        <v>754</v>
      </c>
      <c r="E741" s="300" t="s">
        <v>165</v>
      </c>
      <c r="F741" s="305">
        <f>(2.31)*1.1</f>
        <v>2.5410000000000004</v>
      </c>
      <c r="G741" s="446"/>
      <c r="H741" s="305">
        <f>F741*G741</f>
        <v>0</v>
      </c>
      <c r="I741" s="150"/>
      <c r="J741" s="2822"/>
      <c r="K741" s="218"/>
      <c r="L741" s="2839"/>
      <c r="M741" s="2823"/>
      <c r="N741" s="2824"/>
      <c r="W741" s="449"/>
    </row>
    <row r="742" spans="1:23" s="135" customFormat="1" ht="13.5" customHeight="1">
      <c r="A742" s="298"/>
      <c r="B742" s="299"/>
      <c r="C742" s="299"/>
      <c r="D742" s="183" t="s">
        <v>755</v>
      </c>
      <c r="E742" s="299"/>
      <c r="F742" s="305">
        <f>(2.31)</f>
        <v>2.31</v>
      </c>
      <c r="G742" s="309"/>
      <c r="H742" s="178"/>
      <c r="I742" s="150"/>
      <c r="J742" s="137"/>
      <c r="L742" s="449"/>
      <c r="R742" s="317"/>
    </row>
    <row r="743" spans="1:23" s="451" customFormat="1" ht="27" customHeight="1">
      <c r="A743" s="284"/>
      <c r="B743" s="303"/>
      <c r="C743" s="183"/>
      <c r="D743" s="183" t="s">
        <v>748</v>
      </c>
      <c r="E743" s="300"/>
      <c r="F743" s="305"/>
      <c r="G743" s="305"/>
      <c r="H743" s="305"/>
      <c r="I743" s="450"/>
      <c r="J743" s="325"/>
      <c r="K743" s="135"/>
      <c r="L743" s="2877"/>
      <c r="M743" s="2878"/>
      <c r="N743" s="2878"/>
    </row>
    <row r="744" spans="1:23" s="451" customFormat="1" ht="40.5" customHeight="1">
      <c r="A744" s="284"/>
      <c r="B744" s="303"/>
      <c r="C744" s="183"/>
      <c r="D744" s="183" t="s">
        <v>704</v>
      </c>
      <c r="E744" s="300"/>
      <c r="F744" s="305"/>
      <c r="G744" s="305"/>
      <c r="H744" s="305"/>
      <c r="I744" s="450"/>
      <c r="J744" s="452"/>
      <c r="K744" s="2878"/>
      <c r="L744" s="2877"/>
      <c r="M744" s="2878"/>
      <c r="N744" s="2878"/>
    </row>
    <row r="745" spans="1:23" s="238" customFormat="1" ht="13.5" customHeight="1">
      <c r="A745" s="459">
        <v>128</v>
      </c>
      <c r="B745" s="460">
        <v>776</v>
      </c>
      <c r="C745" s="460">
        <v>998776203</v>
      </c>
      <c r="D745" s="460" t="s">
        <v>756</v>
      </c>
      <c r="E745" s="460" t="s">
        <v>10</v>
      </c>
      <c r="F745" s="461">
        <v>0.4</v>
      </c>
      <c r="G745" s="461"/>
      <c r="H745" s="461">
        <f>F745*G745</f>
        <v>0</v>
      </c>
      <c r="I745" s="462" t="s">
        <v>138</v>
      </c>
      <c r="J745" s="2882"/>
      <c r="K745" s="2883"/>
      <c r="L745" s="2883"/>
    </row>
    <row r="746" spans="1:23" s="463" customFormat="1" ht="13.5" customHeight="1">
      <c r="A746" s="459">
        <v>129</v>
      </c>
      <c r="B746" s="460" t="s">
        <v>369</v>
      </c>
      <c r="C746" s="460" t="s">
        <v>690</v>
      </c>
      <c r="D746" s="460" t="s">
        <v>691</v>
      </c>
      <c r="E746" s="460" t="s">
        <v>69</v>
      </c>
      <c r="F746" s="461">
        <f>F747</f>
        <v>50</v>
      </c>
      <c r="G746" s="461"/>
      <c r="H746" s="461">
        <f>F746*G746</f>
        <v>0</v>
      </c>
      <c r="I746" s="462" t="s">
        <v>138</v>
      </c>
    </row>
    <row r="747" spans="1:23" s="238" customFormat="1" ht="13.5" customHeight="1">
      <c r="A747" s="464"/>
      <c r="B747" s="465"/>
      <c r="C747" s="465"/>
      <c r="D747" s="466" t="s">
        <v>757</v>
      </c>
      <c r="E747" s="465"/>
      <c r="F747" s="467">
        <v>50</v>
      </c>
      <c r="G747" s="468"/>
      <c r="H747" s="461"/>
      <c r="I747" s="457"/>
    </row>
    <row r="748" spans="1:23" s="238" customFormat="1" ht="27" customHeight="1">
      <c r="A748" s="464"/>
      <c r="B748" s="465"/>
      <c r="C748" s="465"/>
      <c r="D748" s="466" t="s">
        <v>758</v>
      </c>
      <c r="E748" s="465"/>
      <c r="F748" s="467"/>
      <c r="G748" s="468"/>
      <c r="H748" s="461"/>
      <c r="I748" s="457"/>
      <c r="J748" s="2884"/>
      <c r="K748" s="2885"/>
      <c r="L748" s="2885"/>
      <c r="M748" s="2885"/>
    </row>
    <row r="749" spans="1:23" s="238" customFormat="1" ht="13.5" customHeight="1">
      <c r="A749" s="454"/>
      <c r="B749" s="455"/>
      <c r="C749" s="455">
        <v>777</v>
      </c>
      <c r="D749" s="455" t="s">
        <v>759</v>
      </c>
      <c r="E749" s="455"/>
      <c r="F749" s="456"/>
      <c r="G749" s="456"/>
      <c r="H749" s="456">
        <f>SUM(H750:H752,H755:H760,H763:H768,H775:H780,H782:H787,H794:H800)</f>
        <v>0</v>
      </c>
      <c r="I749" s="457"/>
      <c r="J749" s="458"/>
      <c r="K749" s="2880"/>
      <c r="M749" s="2881"/>
    </row>
    <row r="750" spans="1:23" s="135" customFormat="1" ht="27" customHeight="1">
      <c r="A750" s="215">
        <v>130</v>
      </c>
      <c r="B750" s="460">
        <v>777</v>
      </c>
      <c r="C750" s="460" t="s">
        <v>760</v>
      </c>
      <c r="D750" s="177" t="s">
        <v>761</v>
      </c>
      <c r="E750" s="177" t="s">
        <v>165</v>
      </c>
      <c r="F750" s="178">
        <f>SUM(F755:F755)</f>
        <v>180.66</v>
      </c>
      <c r="G750" s="178">
        <f>SUM(H753:H754)/F750</f>
        <v>0</v>
      </c>
      <c r="H750" s="178">
        <f>F750*G750</f>
        <v>0</v>
      </c>
      <c r="I750" s="216" t="s">
        <v>112</v>
      </c>
      <c r="K750" s="444"/>
      <c r="L750" s="444"/>
    </row>
    <row r="751" spans="1:23" s="135" customFormat="1" ht="13.5" customHeight="1">
      <c r="A751" s="215"/>
      <c r="B751" s="177"/>
      <c r="C751" s="177"/>
      <c r="D751" s="183" t="s">
        <v>762</v>
      </c>
      <c r="E751" s="177"/>
      <c r="F751" s="178"/>
      <c r="G751" s="178"/>
      <c r="H751" s="178"/>
      <c r="I751" s="216"/>
      <c r="J751" s="2763"/>
      <c r="K751" s="2763"/>
      <c r="L751" s="2763"/>
      <c r="M751" s="2763"/>
      <c r="N751" s="2886"/>
    </row>
    <row r="752" spans="1:23" s="135" customFormat="1" ht="13.5" customHeight="1">
      <c r="A752" s="298"/>
      <c r="B752" s="299"/>
      <c r="C752" s="299"/>
      <c r="D752" s="183" t="s">
        <v>650</v>
      </c>
      <c r="E752" s="445"/>
      <c r="F752" s="305"/>
      <c r="G752" s="309"/>
      <c r="H752" s="178"/>
      <c r="I752" s="150"/>
      <c r="J752" s="2763"/>
      <c r="K752" s="2763"/>
      <c r="L752" s="2763"/>
      <c r="M752" s="2763"/>
      <c r="N752" s="2886"/>
    </row>
    <row r="753" spans="1:18" s="325" customFormat="1" ht="13.5" customHeight="1">
      <c r="A753" s="469"/>
      <c r="B753" s="180"/>
      <c r="C753" s="300"/>
      <c r="D753" s="300" t="s">
        <v>763</v>
      </c>
      <c r="E753" s="300" t="s">
        <v>165</v>
      </c>
      <c r="F753" s="305">
        <f>(180.66)*1.05</f>
        <v>189.69300000000001</v>
      </c>
      <c r="G753" s="446"/>
      <c r="H753" s="305">
        <f>F753*G753</f>
        <v>0</v>
      </c>
      <c r="I753" s="225"/>
      <c r="J753" s="2822"/>
      <c r="K753" s="218"/>
      <c r="L753" s="2839"/>
      <c r="M753" s="2840"/>
      <c r="N753" s="2824"/>
      <c r="O753" s="2763"/>
    </row>
    <row r="754" spans="1:18" s="325" customFormat="1" ht="13.5" customHeight="1">
      <c r="A754" s="469"/>
      <c r="B754" s="180"/>
      <c r="C754" s="300"/>
      <c r="D754" s="300" t="s">
        <v>764</v>
      </c>
      <c r="E754" s="300" t="s">
        <v>165</v>
      </c>
      <c r="F754" s="305">
        <f>(180.66)*1.05</f>
        <v>189.69300000000001</v>
      </c>
      <c r="G754" s="446"/>
      <c r="H754" s="305">
        <f>F754*G754</f>
        <v>0</v>
      </c>
      <c r="I754" s="225"/>
      <c r="J754" s="2822"/>
      <c r="K754" s="218"/>
      <c r="L754" s="2839"/>
      <c r="M754" s="2823"/>
      <c r="N754" s="2824"/>
      <c r="O754" s="2763"/>
      <c r="Q754" s="449"/>
    </row>
    <row r="755" spans="1:18" s="135" customFormat="1" ht="27" customHeight="1">
      <c r="A755" s="298"/>
      <c r="B755" s="299"/>
      <c r="C755" s="299"/>
      <c r="D755" s="183" t="s">
        <v>765</v>
      </c>
      <c r="E755" s="299"/>
      <c r="F755" s="305">
        <f>(16.7+7.98+11.82+1.08+2.17+3.93+5.21+15.55+6.25+20.91+89.06)</f>
        <v>180.66</v>
      </c>
      <c r="G755" s="309"/>
      <c r="H755" s="178"/>
      <c r="I755" s="150"/>
      <c r="J755" s="137"/>
      <c r="L755" s="449"/>
      <c r="R755" s="317"/>
    </row>
    <row r="756" spans="1:18" s="451" customFormat="1" ht="27" customHeight="1">
      <c r="A756" s="284"/>
      <c r="B756" s="303"/>
      <c r="C756" s="183"/>
      <c r="D756" s="183" t="s">
        <v>748</v>
      </c>
      <c r="E756" s="300"/>
      <c r="F756" s="305"/>
      <c r="G756" s="305"/>
      <c r="H756" s="305"/>
      <c r="I756" s="450"/>
      <c r="J756" s="325"/>
      <c r="K756" s="135"/>
      <c r="L756" s="2877"/>
      <c r="M756" s="2878"/>
      <c r="N756" s="2878"/>
    </row>
    <row r="757" spans="1:18" s="451" customFormat="1" ht="40.5" customHeight="1">
      <c r="A757" s="284"/>
      <c r="B757" s="303"/>
      <c r="C757" s="183"/>
      <c r="D757" s="183" t="s">
        <v>766</v>
      </c>
      <c r="E757" s="300"/>
      <c r="F757" s="305"/>
      <c r="G757" s="305"/>
      <c r="H757" s="305"/>
      <c r="I757" s="450"/>
      <c r="J757" s="452"/>
      <c r="K757" s="2878"/>
      <c r="L757" s="2877"/>
      <c r="M757" s="2878"/>
      <c r="N757" s="2878"/>
    </row>
    <row r="758" spans="1:18" s="135" customFormat="1" ht="27" customHeight="1">
      <c r="A758" s="215">
        <v>131</v>
      </c>
      <c r="B758" s="460">
        <v>777</v>
      </c>
      <c r="C758" s="460" t="s">
        <v>767</v>
      </c>
      <c r="D758" s="177" t="s">
        <v>768</v>
      </c>
      <c r="E758" s="177" t="s">
        <v>165</v>
      </c>
      <c r="F758" s="178">
        <f>SUM(F763:F763)</f>
        <v>7.38</v>
      </c>
      <c r="G758" s="178">
        <f>SUM(H761:H762)/F758</f>
        <v>0</v>
      </c>
      <c r="H758" s="178">
        <f>F758*G758</f>
        <v>0</v>
      </c>
      <c r="I758" s="216" t="s">
        <v>112</v>
      </c>
      <c r="K758" s="444"/>
      <c r="L758" s="444"/>
    </row>
    <row r="759" spans="1:18" s="135" customFormat="1" ht="13.5" customHeight="1">
      <c r="A759" s="215"/>
      <c r="B759" s="177"/>
      <c r="C759" s="177"/>
      <c r="D759" s="183" t="s">
        <v>762</v>
      </c>
      <c r="E759" s="177"/>
      <c r="F759" s="178"/>
      <c r="G759" s="178"/>
      <c r="H759" s="178"/>
      <c r="I759" s="216"/>
      <c r="J759" s="2763"/>
      <c r="K759" s="2763"/>
      <c r="L759" s="2763"/>
      <c r="M759" s="2763"/>
      <c r="N759" s="2886"/>
    </row>
    <row r="760" spans="1:18" s="135" customFormat="1" ht="13.5" customHeight="1">
      <c r="A760" s="298"/>
      <c r="B760" s="299"/>
      <c r="C760" s="299"/>
      <c r="D760" s="183" t="s">
        <v>650</v>
      </c>
      <c r="E760" s="445"/>
      <c r="F760" s="305"/>
      <c r="G760" s="309"/>
      <c r="H760" s="178"/>
      <c r="I760" s="150"/>
      <c r="J760" s="2763"/>
      <c r="K760" s="2763"/>
      <c r="L760" s="2763"/>
      <c r="M760" s="2763"/>
      <c r="N760" s="2886"/>
    </row>
    <row r="761" spans="1:18" s="325" customFormat="1" ht="13.5" customHeight="1">
      <c r="A761" s="469"/>
      <c r="B761" s="180"/>
      <c r="C761" s="300"/>
      <c r="D761" s="300" t="s">
        <v>769</v>
      </c>
      <c r="E761" s="300" t="s">
        <v>165</v>
      </c>
      <c r="F761" s="305">
        <f xml:space="preserve"> (7.38)*1.05</f>
        <v>7.7490000000000006</v>
      </c>
      <c r="G761" s="446"/>
      <c r="H761" s="305">
        <f>F761*G761</f>
        <v>0</v>
      </c>
      <c r="I761" s="225"/>
      <c r="J761" s="2822"/>
      <c r="K761" s="218"/>
      <c r="L761" s="2839"/>
      <c r="M761" s="2840"/>
      <c r="N761" s="2824"/>
      <c r="O761" s="2763"/>
    </row>
    <row r="762" spans="1:18" s="325" customFormat="1" ht="13.5" customHeight="1">
      <c r="A762" s="469"/>
      <c r="B762" s="180"/>
      <c r="C762" s="300"/>
      <c r="D762" s="300" t="s">
        <v>770</v>
      </c>
      <c r="E762" s="300" t="s">
        <v>165</v>
      </c>
      <c r="F762" s="305">
        <f>(7.38)*1.05</f>
        <v>7.7490000000000006</v>
      </c>
      <c r="G762" s="446"/>
      <c r="H762" s="305">
        <f>F762*G762</f>
        <v>0</v>
      </c>
      <c r="I762" s="225"/>
      <c r="J762" s="2822"/>
      <c r="K762" s="218"/>
      <c r="L762" s="2839"/>
      <c r="M762" s="2823"/>
      <c r="N762" s="2824"/>
      <c r="O762" s="2763"/>
      <c r="Q762" s="449"/>
    </row>
    <row r="763" spans="1:18" s="135" customFormat="1" ht="13.5" customHeight="1">
      <c r="A763" s="298"/>
      <c r="B763" s="299"/>
      <c r="C763" s="299"/>
      <c r="D763" s="183" t="s">
        <v>771</v>
      </c>
      <c r="E763" s="299"/>
      <c r="F763" s="305">
        <f>(2.17+5.21)</f>
        <v>7.38</v>
      </c>
      <c r="G763" s="309"/>
      <c r="H763" s="178"/>
      <c r="I763" s="150"/>
      <c r="J763" s="137"/>
      <c r="L763" s="449"/>
      <c r="R763" s="317"/>
    </row>
    <row r="764" spans="1:18" s="451" customFormat="1" ht="27" customHeight="1">
      <c r="A764" s="284"/>
      <c r="B764" s="303"/>
      <c r="C764" s="183"/>
      <c r="D764" s="183" t="s">
        <v>748</v>
      </c>
      <c r="E764" s="300"/>
      <c r="F764" s="305"/>
      <c r="G764" s="305"/>
      <c r="H764" s="305"/>
      <c r="I764" s="450"/>
      <c r="J764" s="325"/>
      <c r="K764" s="135"/>
      <c r="L764" s="2877"/>
      <c r="M764" s="2878"/>
      <c r="N764" s="2878"/>
    </row>
    <row r="765" spans="1:18" s="451" customFormat="1" ht="40.5" customHeight="1">
      <c r="A765" s="284"/>
      <c r="B765" s="303"/>
      <c r="C765" s="183"/>
      <c r="D765" s="183" t="s">
        <v>766</v>
      </c>
      <c r="E765" s="300"/>
      <c r="F765" s="305"/>
      <c r="G765" s="305"/>
      <c r="H765" s="305"/>
      <c r="I765" s="450"/>
      <c r="J765" s="452"/>
      <c r="K765" s="2878"/>
      <c r="L765" s="2877"/>
      <c r="M765" s="2878"/>
      <c r="N765" s="2878"/>
    </row>
    <row r="766" spans="1:18" s="135" customFormat="1" ht="27" customHeight="1">
      <c r="A766" s="215">
        <v>132</v>
      </c>
      <c r="B766" s="460">
        <v>777</v>
      </c>
      <c r="C766" s="460" t="s">
        <v>772</v>
      </c>
      <c r="D766" s="177" t="s">
        <v>773</v>
      </c>
      <c r="E766" s="177" t="s">
        <v>165</v>
      </c>
      <c r="F766" s="178">
        <f>SUM(F775:F775)</f>
        <v>16.100000000000001</v>
      </c>
      <c r="G766" s="178">
        <f>SUM(H769:H774)/F766</f>
        <v>0</v>
      </c>
      <c r="H766" s="178">
        <f>F766*G766</f>
        <v>0</v>
      </c>
      <c r="I766" s="216" t="s">
        <v>112</v>
      </c>
      <c r="K766" s="444"/>
      <c r="L766" s="444"/>
    </row>
    <row r="767" spans="1:18" s="135" customFormat="1" ht="13.5" customHeight="1">
      <c r="A767" s="215"/>
      <c r="B767" s="177"/>
      <c r="C767" s="177"/>
      <c r="D767" s="183" t="s">
        <v>774</v>
      </c>
      <c r="E767" s="177"/>
      <c r="F767" s="178"/>
      <c r="G767" s="178"/>
      <c r="H767" s="178"/>
      <c r="I767" s="216"/>
      <c r="J767" s="2763"/>
      <c r="K767" s="2763"/>
      <c r="L767" s="2763"/>
      <c r="M767" s="2763"/>
      <c r="N767" s="2886"/>
    </row>
    <row r="768" spans="1:18" s="135" customFormat="1" ht="13.5" customHeight="1">
      <c r="A768" s="298"/>
      <c r="B768" s="299"/>
      <c r="C768" s="299"/>
      <c r="D768" s="183" t="s">
        <v>650</v>
      </c>
      <c r="E768" s="445"/>
      <c r="F768" s="305"/>
      <c r="G768" s="309"/>
      <c r="H768" s="178"/>
      <c r="I768" s="150"/>
      <c r="J768" s="2763"/>
      <c r="K768" s="2763"/>
      <c r="L768" s="2763"/>
      <c r="M768" s="2763"/>
      <c r="N768" s="2886"/>
    </row>
    <row r="769" spans="1:23" s="325" customFormat="1" ht="13.5" customHeight="1">
      <c r="A769" s="469"/>
      <c r="B769" s="180"/>
      <c r="C769" s="300"/>
      <c r="D769" s="300" t="s">
        <v>775</v>
      </c>
      <c r="E769" s="300" t="s">
        <v>165</v>
      </c>
      <c r="F769" s="305">
        <f>(16.1)*1.05</f>
        <v>16.905000000000001</v>
      </c>
      <c r="G769" s="446"/>
      <c r="H769" s="305">
        <f t="shared" ref="H769:H774" si="14">F769*G769</f>
        <v>0</v>
      </c>
      <c r="I769" s="225"/>
      <c r="J769" s="2822"/>
      <c r="K769" s="218"/>
      <c r="L769" s="2839"/>
      <c r="M769" s="2840"/>
      <c r="N769" s="2824"/>
      <c r="O769" s="2763"/>
    </row>
    <row r="770" spans="1:23" s="325" customFormat="1" ht="13.5" customHeight="1">
      <c r="A770" s="469"/>
      <c r="B770" s="180"/>
      <c r="C770" s="300"/>
      <c r="D770" s="300" t="s">
        <v>776</v>
      </c>
      <c r="E770" s="300" t="s">
        <v>165</v>
      </c>
      <c r="F770" s="305">
        <f>(16.1)*1.05</f>
        <v>16.905000000000001</v>
      </c>
      <c r="G770" s="446"/>
      <c r="H770" s="305">
        <f t="shared" si="14"/>
        <v>0</v>
      </c>
      <c r="I770" s="225"/>
      <c r="J770" s="2822"/>
      <c r="K770" s="218"/>
      <c r="L770" s="2839"/>
      <c r="M770" s="2823"/>
      <c r="N770" s="2824"/>
      <c r="O770" s="2763"/>
      <c r="Q770" s="449"/>
    </row>
    <row r="771" spans="1:23" s="135" customFormat="1" ht="13.5" customHeight="1">
      <c r="A771" s="319"/>
      <c r="B771" s="448"/>
      <c r="C771" s="300"/>
      <c r="D771" s="183" t="s">
        <v>777</v>
      </c>
      <c r="E771" s="300" t="s">
        <v>165</v>
      </c>
      <c r="F771" s="305">
        <f>(16.1)*1.1</f>
        <v>17.710000000000004</v>
      </c>
      <c r="G771" s="446"/>
      <c r="H771" s="305">
        <f t="shared" si="14"/>
        <v>0</v>
      </c>
      <c r="I771" s="225"/>
      <c r="J771" s="2822"/>
      <c r="K771" s="218"/>
      <c r="L771" s="442"/>
      <c r="M771" s="218"/>
      <c r="N771" s="218"/>
      <c r="W771" s="449"/>
    </row>
    <row r="772" spans="1:23" s="135" customFormat="1" ht="27" customHeight="1">
      <c r="A772" s="319"/>
      <c r="B772" s="448"/>
      <c r="C772" s="300"/>
      <c r="D772" s="183" t="s">
        <v>778</v>
      </c>
      <c r="E772" s="300" t="s">
        <v>147</v>
      </c>
      <c r="F772" s="305">
        <f>(16.1*0.11)*1.1</f>
        <v>1.9481000000000004</v>
      </c>
      <c r="G772" s="446"/>
      <c r="H772" s="305">
        <f t="shared" si="14"/>
        <v>0</v>
      </c>
      <c r="I772" s="225"/>
      <c r="J772" s="2822"/>
      <c r="K772" s="218"/>
      <c r="L772" s="2839"/>
      <c r="M772" s="2840"/>
      <c r="N772" s="2824"/>
      <c r="U772" s="325"/>
      <c r="W772" s="442"/>
    </row>
    <row r="773" spans="1:23" s="135" customFormat="1" ht="13.5" customHeight="1">
      <c r="A773" s="319"/>
      <c r="B773" s="448"/>
      <c r="C773" s="300"/>
      <c r="D773" s="183" t="s">
        <v>779</v>
      </c>
      <c r="E773" s="300" t="s">
        <v>165</v>
      </c>
      <c r="F773" s="305">
        <f xml:space="preserve"> (16.1)*1.15</f>
        <v>18.515000000000001</v>
      </c>
      <c r="G773" s="446"/>
      <c r="H773" s="305">
        <f t="shared" si="14"/>
        <v>0</v>
      </c>
      <c r="I773" s="225"/>
      <c r="J773" s="2822"/>
      <c r="K773" s="218"/>
      <c r="L773" s="449"/>
      <c r="W773" s="449"/>
    </row>
    <row r="774" spans="1:23" s="135" customFormat="1" ht="27" customHeight="1">
      <c r="A774" s="319"/>
      <c r="B774" s="299"/>
      <c r="C774" s="299"/>
      <c r="D774" s="183" t="s">
        <v>780</v>
      </c>
      <c r="E774" s="300" t="s">
        <v>165</v>
      </c>
      <c r="F774" s="305">
        <f xml:space="preserve"> (16.1)*1.1</f>
        <v>17.710000000000004</v>
      </c>
      <c r="G774" s="446"/>
      <c r="H774" s="305">
        <f t="shared" si="14"/>
        <v>0</v>
      </c>
      <c r="I774" s="150"/>
      <c r="J774" s="2822"/>
      <c r="K774" s="218"/>
      <c r="L774" s="2839"/>
      <c r="M774" s="2840"/>
      <c r="N774" s="2824"/>
      <c r="W774" s="449"/>
    </row>
    <row r="775" spans="1:23" s="135" customFormat="1" ht="13.5" customHeight="1">
      <c r="A775" s="298"/>
      <c r="B775" s="299"/>
      <c r="C775" s="299"/>
      <c r="D775" s="183" t="s">
        <v>781</v>
      </c>
      <c r="E775" s="299"/>
      <c r="F775" s="305">
        <v>16.100000000000001</v>
      </c>
      <c r="G775" s="309"/>
      <c r="H775" s="178"/>
      <c r="I775" s="150"/>
      <c r="J775" s="137"/>
      <c r="L775" s="449"/>
      <c r="R775" s="317"/>
    </row>
    <row r="776" spans="1:23" s="451" customFormat="1" ht="27" customHeight="1">
      <c r="A776" s="284"/>
      <c r="B776" s="303"/>
      <c r="C776" s="183"/>
      <c r="D776" s="183" t="s">
        <v>748</v>
      </c>
      <c r="E776" s="300"/>
      <c r="F776" s="305"/>
      <c r="G776" s="305"/>
      <c r="H776" s="305"/>
      <c r="I776" s="450"/>
      <c r="J776" s="325"/>
      <c r="K776" s="135"/>
      <c r="L776" s="2877"/>
      <c r="M776" s="2878"/>
      <c r="N776" s="2878"/>
    </row>
    <row r="777" spans="1:23" s="451" customFormat="1" ht="40.5" customHeight="1">
      <c r="A777" s="284"/>
      <c r="B777" s="303"/>
      <c r="C777" s="183"/>
      <c r="D777" s="183" t="s">
        <v>766</v>
      </c>
      <c r="E777" s="300"/>
      <c r="F777" s="305"/>
      <c r="G777" s="305"/>
      <c r="H777" s="305"/>
      <c r="I777" s="450"/>
      <c r="J777" s="452"/>
      <c r="K777" s="2878"/>
      <c r="L777" s="2877"/>
      <c r="M777" s="2878"/>
      <c r="N777" s="2878"/>
    </row>
    <row r="778" spans="1:23" s="135" customFormat="1" ht="27" customHeight="1">
      <c r="A778" s="215">
        <v>133</v>
      </c>
      <c r="B778" s="460">
        <v>777</v>
      </c>
      <c r="C778" s="460" t="s">
        <v>782</v>
      </c>
      <c r="D778" s="177" t="s">
        <v>783</v>
      </c>
      <c r="E778" s="177" t="s">
        <v>165</v>
      </c>
      <c r="F778" s="178">
        <f>SUM(F782:F782)</f>
        <v>9.4700000000000006</v>
      </c>
      <c r="G778" s="178">
        <f>SUM(H781:H781)/F778</f>
        <v>0</v>
      </c>
      <c r="H778" s="178">
        <f>F778*G778</f>
        <v>0</v>
      </c>
      <c r="I778" s="216" t="s">
        <v>112</v>
      </c>
      <c r="K778" s="444"/>
      <c r="L778" s="444"/>
    </row>
    <row r="779" spans="1:23" s="135" customFormat="1" ht="13.5" customHeight="1">
      <c r="A779" s="215"/>
      <c r="B779" s="177"/>
      <c r="C779" s="177"/>
      <c r="D779" s="183" t="s">
        <v>762</v>
      </c>
      <c r="E779" s="177"/>
      <c r="F779" s="178"/>
      <c r="G779" s="178"/>
      <c r="H779" s="178"/>
      <c r="I779" s="216"/>
      <c r="J779" s="2763"/>
      <c r="K779" s="2763"/>
      <c r="L779" s="2763"/>
      <c r="M779" s="2763"/>
      <c r="N779" s="2886"/>
    </row>
    <row r="780" spans="1:23" s="135" customFormat="1" ht="13.5" customHeight="1">
      <c r="A780" s="298"/>
      <c r="B780" s="299"/>
      <c r="C780" s="299"/>
      <c r="D780" s="183" t="s">
        <v>650</v>
      </c>
      <c r="E780" s="445"/>
      <c r="F780" s="305"/>
      <c r="G780" s="309"/>
      <c r="H780" s="178"/>
      <c r="I780" s="150"/>
      <c r="J780" s="2763"/>
      <c r="K780" s="2763"/>
      <c r="L780" s="2763"/>
      <c r="M780" s="2763"/>
      <c r="N780" s="2886"/>
    </row>
    <row r="781" spans="1:23" s="135" customFormat="1" ht="27" customHeight="1">
      <c r="A781" s="319"/>
      <c r="B781" s="448"/>
      <c r="C781" s="300"/>
      <c r="D781" s="183" t="s">
        <v>784</v>
      </c>
      <c r="E781" s="300" t="s">
        <v>147</v>
      </c>
      <c r="F781" s="305">
        <f>(9.47*0.12)*1.1</f>
        <v>1.2500400000000003</v>
      </c>
      <c r="G781" s="446"/>
      <c r="H781" s="305">
        <f>F781*G781</f>
        <v>0</v>
      </c>
      <c r="I781" s="225"/>
      <c r="J781" s="2822"/>
      <c r="K781" s="218"/>
      <c r="L781" s="2839"/>
      <c r="M781" s="2840"/>
      <c r="N781" s="2824"/>
      <c r="U781" s="325"/>
      <c r="W781" s="442"/>
    </row>
    <row r="782" spans="1:23" s="135" customFormat="1" ht="13.5" customHeight="1">
      <c r="A782" s="298"/>
      <c r="B782" s="299"/>
      <c r="C782" s="299"/>
      <c r="D782" s="183" t="s">
        <v>785</v>
      </c>
      <c r="E782" s="299"/>
      <c r="F782" s="305">
        <v>9.4700000000000006</v>
      </c>
      <c r="G782" s="309"/>
      <c r="H782" s="178"/>
      <c r="I782" s="150"/>
      <c r="J782" s="2822"/>
      <c r="K782" s="218"/>
      <c r="L782" s="449"/>
      <c r="R782" s="317"/>
    </row>
    <row r="783" spans="1:23" s="451" customFormat="1" ht="27" customHeight="1">
      <c r="A783" s="284"/>
      <c r="B783" s="303"/>
      <c r="C783" s="183"/>
      <c r="D783" s="183" t="s">
        <v>748</v>
      </c>
      <c r="E783" s="300"/>
      <c r="F783" s="305"/>
      <c r="G783" s="305"/>
      <c r="H783" s="305"/>
      <c r="I783" s="450"/>
      <c r="J783" s="325"/>
      <c r="K783" s="135"/>
      <c r="L783" s="2877"/>
      <c r="M783" s="2878"/>
      <c r="N783" s="2878"/>
    </row>
    <row r="784" spans="1:23" s="451" customFormat="1" ht="40.5" customHeight="1">
      <c r="A784" s="284"/>
      <c r="B784" s="303"/>
      <c r="C784" s="183"/>
      <c r="D784" s="183" t="s">
        <v>766</v>
      </c>
      <c r="E784" s="300"/>
      <c r="F784" s="305"/>
      <c r="G784" s="305"/>
      <c r="H784" s="305"/>
      <c r="I784" s="450"/>
      <c r="J784" s="452"/>
      <c r="K784" s="2878"/>
      <c r="L784" s="2877"/>
      <c r="M784" s="2878"/>
      <c r="N784" s="2878"/>
    </row>
    <row r="785" spans="1:23" s="135" customFormat="1" ht="27" customHeight="1">
      <c r="A785" s="215">
        <v>134</v>
      </c>
      <c r="B785" s="460">
        <v>777</v>
      </c>
      <c r="C785" s="460" t="s">
        <v>786</v>
      </c>
      <c r="D785" s="177" t="s">
        <v>787</v>
      </c>
      <c r="E785" s="177" t="s">
        <v>165</v>
      </c>
      <c r="F785" s="178">
        <f>SUM(F794:F794)</f>
        <v>7.19</v>
      </c>
      <c r="G785" s="178">
        <f>SUM(H788:H793)/F785</f>
        <v>0</v>
      </c>
      <c r="H785" s="178">
        <f>F785*G785</f>
        <v>0</v>
      </c>
      <c r="I785" s="216" t="s">
        <v>112</v>
      </c>
      <c r="K785" s="444"/>
      <c r="L785" s="444"/>
    </row>
    <row r="786" spans="1:23" s="135" customFormat="1" ht="13.5" customHeight="1">
      <c r="A786" s="215"/>
      <c r="B786" s="177"/>
      <c r="C786" s="177"/>
      <c r="D786" s="183" t="s">
        <v>762</v>
      </c>
      <c r="E786" s="177"/>
      <c r="F786" s="178"/>
      <c r="G786" s="178"/>
      <c r="H786" s="178"/>
      <c r="I786" s="216"/>
      <c r="J786" s="2763"/>
      <c r="K786" s="2763"/>
      <c r="L786" s="2763"/>
      <c r="M786" s="2763"/>
      <c r="N786" s="2886"/>
    </row>
    <row r="787" spans="1:23" s="135" customFormat="1" ht="13.5" customHeight="1">
      <c r="A787" s="298"/>
      <c r="B787" s="299"/>
      <c r="C787" s="299"/>
      <c r="D787" s="183" t="s">
        <v>650</v>
      </c>
      <c r="E787" s="445"/>
      <c r="F787" s="305"/>
      <c r="G787" s="309"/>
      <c r="H787" s="178"/>
      <c r="I787" s="150"/>
      <c r="J787" s="2763"/>
      <c r="K787" s="2763"/>
      <c r="L787" s="2763"/>
      <c r="M787" s="2763"/>
      <c r="N787" s="2886"/>
    </row>
    <row r="788" spans="1:23" s="325" customFormat="1" ht="27" customHeight="1">
      <c r="A788" s="469"/>
      <c r="B788" s="180"/>
      <c r="C788" s="300"/>
      <c r="D788" s="300" t="s">
        <v>788</v>
      </c>
      <c r="E788" s="300" t="s">
        <v>165</v>
      </c>
      <c r="F788" s="305">
        <f>(7.19)*1.05</f>
        <v>7.549500000000001</v>
      </c>
      <c r="G788" s="446"/>
      <c r="H788" s="305">
        <f t="shared" ref="H788:H793" si="15">F788*G788</f>
        <v>0</v>
      </c>
      <c r="I788" s="225"/>
      <c r="J788" s="2822"/>
      <c r="K788" s="218"/>
      <c r="L788" s="2839"/>
      <c r="M788" s="2840"/>
      <c r="N788" s="2824"/>
      <c r="O788" s="2763"/>
    </row>
    <row r="789" spans="1:23" s="325" customFormat="1" ht="13.5" customHeight="1">
      <c r="A789" s="469"/>
      <c r="B789" s="180"/>
      <c r="C789" s="300"/>
      <c r="D789" s="300" t="s">
        <v>789</v>
      </c>
      <c r="E789" s="300" t="s">
        <v>165</v>
      </c>
      <c r="F789" s="305">
        <f>(7.19)*1.05</f>
        <v>7.549500000000001</v>
      </c>
      <c r="G789" s="446"/>
      <c r="H789" s="305">
        <f t="shared" si="15"/>
        <v>0</v>
      </c>
      <c r="I789" s="225"/>
      <c r="J789" s="2822"/>
      <c r="K789" s="218"/>
      <c r="L789" s="2839"/>
      <c r="M789" s="2823"/>
      <c r="N789" s="2824"/>
      <c r="O789" s="2763"/>
      <c r="Q789" s="449"/>
    </row>
    <row r="790" spans="1:23" s="135" customFormat="1" ht="13.5" customHeight="1">
      <c r="A790" s="319"/>
      <c r="B790" s="448"/>
      <c r="C790" s="300"/>
      <c r="D790" s="183" t="s">
        <v>790</v>
      </c>
      <c r="E790" s="300" t="s">
        <v>165</v>
      </c>
      <c r="F790" s="305">
        <f>(7.19)*1.1</f>
        <v>7.9090000000000007</v>
      </c>
      <c r="G790" s="446"/>
      <c r="H790" s="305">
        <f t="shared" si="15"/>
        <v>0</v>
      </c>
      <c r="I790" s="225"/>
      <c r="J790" s="2822"/>
      <c r="K790" s="218"/>
      <c r="L790" s="442"/>
      <c r="M790" s="218"/>
      <c r="N790" s="218"/>
      <c r="W790" s="449"/>
    </row>
    <row r="791" spans="1:23" s="135" customFormat="1" ht="27" customHeight="1">
      <c r="A791" s="319"/>
      <c r="B791" s="448"/>
      <c r="C791" s="300"/>
      <c r="D791" s="183" t="s">
        <v>791</v>
      </c>
      <c r="E791" s="300" t="s">
        <v>147</v>
      </c>
      <c r="F791" s="305">
        <f>(7.19*0.11)*1.1</f>
        <v>0.86999000000000015</v>
      </c>
      <c r="G791" s="446"/>
      <c r="H791" s="305">
        <f t="shared" si="15"/>
        <v>0</v>
      </c>
      <c r="I791" s="225"/>
      <c r="J791" s="2822"/>
      <c r="K791" s="218"/>
      <c r="L791" s="2839"/>
      <c r="M791" s="2840"/>
      <c r="N791" s="2824"/>
      <c r="U791" s="325"/>
      <c r="W791" s="442"/>
    </row>
    <row r="792" spans="1:23" s="135" customFormat="1" ht="13.5" customHeight="1">
      <c r="A792" s="319"/>
      <c r="B792" s="448"/>
      <c r="C792" s="300"/>
      <c r="D792" s="183" t="s">
        <v>792</v>
      </c>
      <c r="E792" s="300" t="s">
        <v>165</v>
      </c>
      <c r="F792" s="305">
        <f xml:space="preserve"> (7.19)*1.15</f>
        <v>8.2684999999999995</v>
      </c>
      <c r="G792" s="446"/>
      <c r="H792" s="305">
        <f t="shared" si="15"/>
        <v>0</v>
      </c>
      <c r="I792" s="225"/>
      <c r="J792" s="2822"/>
      <c r="K792" s="218"/>
      <c r="L792" s="449"/>
      <c r="W792" s="449"/>
    </row>
    <row r="793" spans="1:23" s="135" customFormat="1" ht="27" customHeight="1">
      <c r="A793" s="319"/>
      <c r="B793" s="299"/>
      <c r="C793" s="299"/>
      <c r="D793" s="183" t="s">
        <v>793</v>
      </c>
      <c r="E793" s="300" t="s">
        <v>165</v>
      </c>
      <c r="F793" s="305">
        <f xml:space="preserve"> (7.19)*1.1</f>
        <v>7.9090000000000007</v>
      </c>
      <c r="G793" s="446"/>
      <c r="H793" s="305">
        <f t="shared" si="15"/>
        <v>0</v>
      </c>
      <c r="I793" s="150"/>
      <c r="J793" s="2822"/>
      <c r="K793" s="218"/>
      <c r="L793" s="2839"/>
      <c r="M793" s="2840"/>
      <c r="N793" s="2824"/>
      <c r="W793" s="449"/>
    </row>
    <row r="794" spans="1:23" s="135" customFormat="1" ht="13.5" customHeight="1">
      <c r="A794" s="298"/>
      <c r="B794" s="299"/>
      <c r="C794" s="299"/>
      <c r="D794" s="183" t="s">
        <v>794</v>
      </c>
      <c r="E794" s="299"/>
      <c r="F794" s="305">
        <v>7.19</v>
      </c>
      <c r="G794" s="309"/>
      <c r="H794" s="178"/>
      <c r="I794" s="150"/>
      <c r="J794" s="137"/>
      <c r="L794" s="449"/>
      <c r="R794" s="317"/>
    </row>
    <row r="795" spans="1:23" s="451" customFormat="1" ht="27" customHeight="1">
      <c r="A795" s="284"/>
      <c r="B795" s="303"/>
      <c r="C795" s="183"/>
      <c r="D795" s="183" t="s">
        <v>748</v>
      </c>
      <c r="E795" s="300"/>
      <c r="F795" s="305"/>
      <c r="G795" s="305"/>
      <c r="H795" s="305"/>
      <c r="I795" s="450"/>
      <c r="J795" s="325"/>
      <c r="K795" s="135"/>
      <c r="L795" s="2877"/>
      <c r="M795" s="2878"/>
      <c r="N795" s="2878"/>
    </row>
    <row r="796" spans="1:23" s="451" customFormat="1" ht="40.5" customHeight="1">
      <c r="A796" s="284"/>
      <c r="B796" s="303"/>
      <c r="C796" s="183"/>
      <c r="D796" s="183" t="s">
        <v>766</v>
      </c>
      <c r="E796" s="300"/>
      <c r="F796" s="305"/>
      <c r="G796" s="305"/>
      <c r="H796" s="305"/>
      <c r="I796" s="450"/>
      <c r="J796" s="452"/>
      <c r="K796" s="2878"/>
      <c r="L796" s="2877"/>
      <c r="M796" s="2878"/>
      <c r="N796" s="2878"/>
    </row>
    <row r="797" spans="1:23" s="238" customFormat="1" ht="13.5" customHeight="1">
      <c r="A797" s="470">
        <v>135</v>
      </c>
      <c r="B797" s="460">
        <v>777</v>
      </c>
      <c r="C797" s="460">
        <v>998777203</v>
      </c>
      <c r="D797" s="460" t="s">
        <v>795</v>
      </c>
      <c r="E797" s="460" t="s">
        <v>10</v>
      </c>
      <c r="F797" s="461">
        <v>0.84</v>
      </c>
      <c r="G797" s="461"/>
      <c r="H797" s="461">
        <f>F797*G797</f>
        <v>0</v>
      </c>
      <c r="I797" s="462" t="s">
        <v>138</v>
      </c>
      <c r="J797" s="2887"/>
    </row>
    <row r="798" spans="1:23" s="463" customFormat="1" ht="13.5" customHeight="1">
      <c r="A798" s="470">
        <v>136</v>
      </c>
      <c r="B798" s="471" t="s">
        <v>369</v>
      </c>
      <c r="C798" s="460" t="s">
        <v>690</v>
      </c>
      <c r="D798" s="460" t="s">
        <v>691</v>
      </c>
      <c r="E798" s="460" t="s">
        <v>69</v>
      </c>
      <c r="F798" s="461">
        <f>F799</f>
        <v>20</v>
      </c>
      <c r="G798" s="461"/>
      <c r="H798" s="461">
        <f>F798*G798</f>
        <v>0</v>
      </c>
      <c r="I798" s="462" t="s">
        <v>138</v>
      </c>
    </row>
    <row r="799" spans="1:23" s="238" customFormat="1" ht="13.5" customHeight="1">
      <c r="A799" s="472"/>
      <c r="B799" s="465"/>
      <c r="C799" s="465"/>
      <c r="D799" s="466" t="s">
        <v>796</v>
      </c>
      <c r="E799" s="465"/>
      <c r="F799" s="467">
        <v>20</v>
      </c>
      <c r="G799" s="468"/>
      <c r="H799" s="461"/>
      <c r="I799" s="457"/>
    </row>
    <row r="800" spans="1:23" s="238" customFormat="1" ht="24.75" customHeight="1">
      <c r="A800" s="472"/>
      <c r="B800" s="465"/>
      <c r="C800" s="465"/>
      <c r="D800" s="466" t="s">
        <v>758</v>
      </c>
      <c r="E800" s="465"/>
      <c r="F800" s="467"/>
      <c r="G800" s="468"/>
      <c r="H800" s="461"/>
      <c r="I800" s="457"/>
    </row>
    <row r="801" spans="1:17" s="214" customFormat="1" ht="13.5" customHeight="1">
      <c r="A801" s="253"/>
      <c r="B801" s="254"/>
      <c r="C801" s="255" t="s">
        <v>797</v>
      </c>
      <c r="D801" s="255" t="s">
        <v>798</v>
      </c>
      <c r="E801" s="255"/>
      <c r="F801" s="256"/>
      <c r="G801" s="256"/>
      <c r="H801" s="256">
        <f>SUM(H802:H805,H808:H814)</f>
        <v>0</v>
      </c>
      <c r="I801" s="360"/>
      <c r="J801" s="2749"/>
    </row>
    <row r="802" spans="1:17" s="214" customFormat="1" ht="13.5" customHeight="1">
      <c r="A802" s="271">
        <v>137</v>
      </c>
      <c r="B802" s="272" t="s">
        <v>797</v>
      </c>
      <c r="C802" s="152" t="s">
        <v>799</v>
      </c>
      <c r="D802" s="152" t="s">
        <v>800</v>
      </c>
      <c r="E802" s="152" t="s">
        <v>165</v>
      </c>
      <c r="F802" s="273">
        <f>SUM(F803:F803)</f>
        <v>194.23499999999999</v>
      </c>
      <c r="G802" s="273"/>
      <c r="H802" s="273">
        <f>F802*G802</f>
        <v>0</v>
      </c>
      <c r="I802" s="213" t="s">
        <v>111</v>
      </c>
      <c r="J802" s="2749"/>
    </row>
    <row r="803" spans="1:17" s="214" customFormat="1" ht="13.5" customHeight="1">
      <c r="A803" s="361"/>
      <c r="B803" s="362"/>
      <c r="C803" s="363"/>
      <c r="D803" s="212" t="s">
        <v>801</v>
      </c>
      <c r="E803" s="363"/>
      <c r="F803" s="280">
        <f>(168.9)*1.15</f>
        <v>194.23499999999999</v>
      </c>
      <c r="G803" s="364"/>
      <c r="H803" s="273"/>
      <c r="I803" s="360"/>
      <c r="J803" s="2749"/>
    </row>
    <row r="804" spans="1:17" s="473" customFormat="1" ht="13.5" customHeight="1">
      <c r="A804" s="391">
        <v>138</v>
      </c>
      <c r="B804" s="260" t="s">
        <v>797</v>
      </c>
      <c r="C804" s="260" t="s">
        <v>802</v>
      </c>
      <c r="D804" s="260" t="s">
        <v>803</v>
      </c>
      <c r="E804" s="260" t="s">
        <v>165</v>
      </c>
      <c r="F804" s="365">
        <f>SUM(F808:F808)</f>
        <v>168.9</v>
      </c>
      <c r="G804" s="365">
        <f>SUM(H806:H807)/F804</f>
        <v>0</v>
      </c>
      <c r="H804" s="273">
        <f>F804*G804</f>
        <v>0</v>
      </c>
      <c r="I804" s="213" t="s">
        <v>111</v>
      </c>
      <c r="J804" s="2888"/>
      <c r="K804" s="2818"/>
      <c r="L804" s="2818"/>
      <c r="Q804" s="474"/>
    </row>
    <row r="805" spans="1:17" s="214" customFormat="1" ht="13.5" customHeight="1">
      <c r="A805" s="271"/>
      <c r="B805" s="272"/>
      <c r="C805" s="475"/>
      <c r="D805" s="279" t="s">
        <v>804</v>
      </c>
      <c r="E805" s="152"/>
      <c r="F805" s="273"/>
      <c r="G805" s="273"/>
      <c r="H805" s="273"/>
      <c r="I805" s="274"/>
      <c r="J805" s="2749"/>
    </row>
    <row r="806" spans="1:17" s="398" customFormat="1" ht="13.5" customHeight="1">
      <c r="A806" s="384"/>
      <c r="B806" s="259"/>
      <c r="C806" s="386"/>
      <c r="D806" s="262" t="s">
        <v>805</v>
      </c>
      <c r="E806" s="388" t="s">
        <v>165</v>
      </c>
      <c r="F806" s="476">
        <f>F804</f>
        <v>168.9</v>
      </c>
      <c r="G806" s="399"/>
      <c r="H806" s="476">
        <f>F806*G806</f>
        <v>0</v>
      </c>
      <c r="I806" s="369"/>
      <c r="J806" s="2889"/>
      <c r="K806" s="2890"/>
      <c r="L806" s="2836"/>
      <c r="M806" s="214"/>
    </row>
    <row r="807" spans="1:17" s="398" customFormat="1" ht="13.5" customHeight="1">
      <c r="A807" s="477"/>
      <c r="B807" s="267"/>
      <c r="C807" s="478"/>
      <c r="D807" s="269" t="s">
        <v>806</v>
      </c>
      <c r="E807" s="385" t="s">
        <v>165</v>
      </c>
      <c r="F807" s="480">
        <f>(168.9)*1.1</f>
        <v>185.79000000000002</v>
      </c>
      <c r="G807" s="479"/>
      <c r="H807" s="480">
        <f>F807*G807</f>
        <v>0</v>
      </c>
      <c r="I807" s="369"/>
      <c r="J807" s="2889"/>
      <c r="K807" s="2890"/>
      <c r="L807" s="2836"/>
      <c r="M807" s="214"/>
    </row>
    <row r="808" spans="1:17" s="214" customFormat="1" ht="13.5" customHeight="1">
      <c r="A808" s="271"/>
      <c r="B808" s="272"/>
      <c r="C808" s="152"/>
      <c r="D808" s="212" t="s">
        <v>807</v>
      </c>
      <c r="E808" s="152"/>
      <c r="F808" s="290">
        <f>(168.9)</f>
        <v>168.9</v>
      </c>
      <c r="G808" s="273"/>
      <c r="H808" s="273"/>
      <c r="I808" s="257"/>
      <c r="J808" s="2749"/>
    </row>
    <row r="809" spans="1:17" s="214" customFormat="1" ht="40.5" customHeight="1">
      <c r="A809" s="271"/>
      <c r="B809" s="272"/>
      <c r="C809" s="152"/>
      <c r="D809" s="212" t="s">
        <v>808</v>
      </c>
      <c r="E809" s="152"/>
      <c r="F809" s="364"/>
      <c r="G809" s="273"/>
      <c r="H809" s="273"/>
      <c r="I809" s="257"/>
      <c r="J809" s="2749"/>
      <c r="K809" s="3053"/>
      <c r="L809" s="3054"/>
      <c r="M809" s="3054"/>
      <c r="N809" s="3054"/>
      <c r="O809" s="3054"/>
    </row>
    <row r="810" spans="1:17" s="214" customFormat="1" ht="27" customHeight="1">
      <c r="A810" s="271">
        <v>139</v>
      </c>
      <c r="B810" s="272" t="s">
        <v>797</v>
      </c>
      <c r="C810" s="152">
        <v>781477114</v>
      </c>
      <c r="D810" s="152" t="s">
        <v>809</v>
      </c>
      <c r="E810" s="152" t="s">
        <v>165</v>
      </c>
      <c r="F810" s="273">
        <f>F808</f>
        <v>168.9</v>
      </c>
      <c r="G810" s="273"/>
      <c r="H810" s="273">
        <f>F810*G810</f>
        <v>0</v>
      </c>
      <c r="I810" s="213" t="s">
        <v>394</v>
      </c>
      <c r="J810" s="2749"/>
    </row>
    <row r="811" spans="1:17" s="214" customFormat="1" ht="13.5" customHeight="1">
      <c r="A811" s="271">
        <v>140</v>
      </c>
      <c r="B811" s="272" t="s">
        <v>797</v>
      </c>
      <c r="C811" s="152">
        <v>998781202</v>
      </c>
      <c r="D811" s="152" t="s">
        <v>810</v>
      </c>
      <c r="E811" s="152" t="s">
        <v>10</v>
      </c>
      <c r="F811" s="273">
        <v>1.85</v>
      </c>
      <c r="G811" s="273"/>
      <c r="H811" s="273">
        <f>F811*G811</f>
        <v>0</v>
      </c>
      <c r="I811" s="213" t="s">
        <v>138</v>
      </c>
      <c r="J811" s="2887"/>
    </row>
    <row r="812" spans="1:17" s="214" customFormat="1" ht="13.5" customHeight="1">
      <c r="A812" s="271">
        <v>141</v>
      </c>
      <c r="B812" s="272" t="s">
        <v>369</v>
      </c>
      <c r="C812" s="152" t="s">
        <v>548</v>
      </c>
      <c r="D812" s="152" t="s">
        <v>549</v>
      </c>
      <c r="E812" s="152" t="s">
        <v>69</v>
      </c>
      <c r="F812" s="273">
        <f>F813</f>
        <v>10</v>
      </c>
      <c r="G812" s="273"/>
      <c r="H812" s="273">
        <f>F812*G812</f>
        <v>0</v>
      </c>
      <c r="I812" s="213" t="s">
        <v>138</v>
      </c>
      <c r="J812" s="2749"/>
    </row>
    <row r="813" spans="1:17" s="214" customFormat="1" ht="13.5" customHeight="1">
      <c r="A813" s="361"/>
      <c r="B813" s="362"/>
      <c r="C813" s="363"/>
      <c r="D813" s="212" t="s">
        <v>811</v>
      </c>
      <c r="E813" s="363"/>
      <c r="F813" s="290">
        <v>10</v>
      </c>
      <c r="G813" s="364"/>
      <c r="H813" s="273"/>
      <c r="I813" s="360"/>
      <c r="J813" s="2891"/>
    </row>
    <row r="814" spans="1:17" s="214" customFormat="1" ht="13.5" customHeight="1">
      <c r="A814" s="361"/>
      <c r="B814" s="362"/>
      <c r="C814" s="363"/>
      <c r="D814" s="212" t="s">
        <v>540</v>
      </c>
      <c r="E814" s="363"/>
      <c r="F814" s="290"/>
      <c r="G814" s="364"/>
      <c r="H814" s="273"/>
      <c r="I814" s="360"/>
      <c r="J814" s="2749"/>
    </row>
    <row r="815" spans="1:17" s="214" customFormat="1" ht="13.5" customHeight="1">
      <c r="A815" s="253"/>
      <c r="B815" s="254"/>
      <c r="C815" s="255">
        <v>783</v>
      </c>
      <c r="D815" s="255" t="s">
        <v>812</v>
      </c>
      <c r="E815" s="255"/>
      <c r="F815" s="256"/>
      <c r="G815" s="256"/>
      <c r="H815" s="256">
        <f>SUM(H816:H824)</f>
        <v>0</v>
      </c>
      <c r="I815" s="360"/>
      <c r="J815" s="2749"/>
    </row>
    <row r="816" spans="1:17" s="214" customFormat="1" ht="26.25" customHeight="1">
      <c r="A816" s="2730">
        <v>142</v>
      </c>
      <c r="B816" s="272">
        <v>783</v>
      </c>
      <c r="C816" s="152" t="s">
        <v>813</v>
      </c>
      <c r="D816" s="152" t="s">
        <v>814</v>
      </c>
      <c r="E816" s="152" t="s">
        <v>49</v>
      </c>
      <c r="F816" s="273">
        <f>F818</f>
        <v>1</v>
      </c>
      <c r="G816" s="273"/>
      <c r="H816" s="273">
        <f>F816*G816</f>
        <v>0</v>
      </c>
      <c r="I816" s="274" t="s">
        <v>112</v>
      </c>
      <c r="J816" s="2749"/>
    </row>
    <row r="817" spans="1:13" s="398" customFormat="1" ht="40.5" customHeight="1">
      <c r="A817" s="271"/>
      <c r="B817" s="272"/>
      <c r="C817" s="152"/>
      <c r="D817" s="212" t="s">
        <v>815</v>
      </c>
      <c r="E817" s="152"/>
      <c r="F817" s="290"/>
      <c r="G817" s="273"/>
      <c r="H817" s="273"/>
      <c r="I817" s="257"/>
      <c r="J817" s="2810"/>
      <c r="M817" s="214"/>
    </row>
    <row r="818" spans="1:13" s="398" customFormat="1" ht="13.5" customHeight="1">
      <c r="A818" s="271"/>
      <c r="B818" s="272"/>
      <c r="C818" s="152"/>
      <c r="D818" s="212" t="s">
        <v>816</v>
      </c>
      <c r="E818" s="152"/>
      <c r="F818" s="290">
        <v>1</v>
      </c>
      <c r="G818" s="273"/>
      <c r="H818" s="273"/>
      <c r="I818" s="213"/>
      <c r="J818" s="2810"/>
      <c r="M818" s="214"/>
    </row>
    <row r="819" spans="1:13" s="398" customFormat="1" ht="40.5" customHeight="1">
      <c r="A819" s="271"/>
      <c r="B819" s="272"/>
      <c r="C819" s="152"/>
      <c r="D819" s="212" t="s">
        <v>817</v>
      </c>
      <c r="E819" s="152"/>
      <c r="F819" s="290"/>
      <c r="G819" s="273"/>
      <c r="H819" s="273"/>
      <c r="I819" s="257"/>
      <c r="J819" s="2810"/>
      <c r="M819" s="214"/>
    </row>
    <row r="820" spans="1:13" s="398" customFormat="1" ht="40.5" customHeight="1">
      <c r="A820" s="2910"/>
      <c r="B820" s="2911"/>
      <c r="C820" s="2528"/>
      <c r="D820" s="2912" t="s">
        <v>3831</v>
      </c>
      <c r="E820" s="2528"/>
      <c r="F820" s="2913"/>
      <c r="G820" s="2914"/>
      <c r="H820" s="2914"/>
      <c r="I820" s="2915"/>
      <c r="J820" s="2892"/>
      <c r="M820" s="214"/>
    </row>
    <row r="821" spans="1:13" s="398" customFormat="1" ht="40.5" customHeight="1">
      <c r="A821" s="2910"/>
      <c r="B821" s="2911"/>
      <c r="C821" s="2528"/>
      <c r="D821" s="2912" t="s">
        <v>3832</v>
      </c>
      <c r="E821" s="2528"/>
      <c r="F821" s="2913"/>
      <c r="G821" s="2914"/>
      <c r="H821" s="2914"/>
      <c r="I821" s="2915"/>
      <c r="J821" s="2810"/>
      <c r="M821" s="214"/>
    </row>
    <row r="822" spans="1:13" s="214" customFormat="1" ht="13.5" customHeight="1">
      <c r="A822" s="271">
        <v>143</v>
      </c>
      <c r="B822" s="272" t="s">
        <v>369</v>
      </c>
      <c r="C822" s="152" t="s">
        <v>818</v>
      </c>
      <c r="D822" s="152" t="s">
        <v>819</v>
      </c>
      <c r="E822" s="152" t="s">
        <v>69</v>
      </c>
      <c r="F822" s="273">
        <f>F823</f>
        <v>10</v>
      </c>
      <c r="G822" s="273"/>
      <c r="H822" s="273">
        <f>F822*G822</f>
        <v>0</v>
      </c>
      <c r="I822" s="213" t="s">
        <v>138</v>
      </c>
      <c r="J822" s="2749"/>
    </row>
    <row r="823" spans="1:13" s="214" customFormat="1" ht="13.5" customHeight="1">
      <c r="A823" s="361"/>
      <c r="B823" s="362"/>
      <c r="C823" s="363"/>
      <c r="D823" s="212" t="s">
        <v>820</v>
      </c>
      <c r="E823" s="363"/>
      <c r="F823" s="290">
        <v>10</v>
      </c>
      <c r="G823" s="364"/>
      <c r="H823" s="273"/>
      <c r="I823" s="360"/>
      <c r="J823" s="2749"/>
    </row>
    <row r="824" spans="1:13" s="214" customFormat="1" ht="13.5" customHeight="1">
      <c r="A824" s="361"/>
      <c r="B824" s="362"/>
      <c r="C824" s="363"/>
      <c r="D824" s="212" t="s">
        <v>540</v>
      </c>
      <c r="E824" s="363"/>
      <c r="F824" s="290"/>
      <c r="G824" s="364"/>
      <c r="H824" s="273"/>
      <c r="I824" s="360"/>
      <c r="J824" s="2749"/>
    </row>
    <row r="825" spans="1:13" s="214" customFormat="1" ht="13.5" customHeight="1">
      <c r="A825" s="253"/>
      <c r="B825" s="254"/>
      <c r="C825" s="255">
        <v>784</v>
      </c>
      <c r="D825" s="255" t="s">
        <v>821</v>
      </c>
      <c r="E825" s="255"/>
      <c r="F825" s="256"/>
      <c r="G825" s="256"/>
      <c r="H825" s="256">
        <f>SUM(H826:H857)</f>
        <v>0</v>
      </c>
      <c r="I825" s="360"/>
      <c r="J825" s="2893"/>
      <c r="K825" s="2894"/>
      <c r="L825" s="2894"/>
      <c r="M825" s="2895"/>
    </row>
    <row r="826" spans="1:13" s="355" customFormat="1" ht="13.5" customHeight="1">
      <c r="A826" s="271">
        <v>144</v>
      </c>
      <c r="B826" s="152">
        <v>784</v>
      </c>
      <c r="C826" s="152" t="s">
        <v>822</v>
      </c>
      <c r="D826" s="152" t="s">
        <v>823</v>
      </c>
      <c r="E826" s="152" t="s">
        <v>142</v>
      </c>
      <c r="F826" s="273">
        <f>SUM(F828:F829)</f>
        <v>1600</v>
      </c>
      <c r="G826" s="273"/>
      <c r="H826" s="273">
        <f>F826*G826</f>
        <v>0</v>
      </c>
      <c r="I826" s="274" t="s">
        <v>112</v>
      </c>
      <c r="J826" s="2896"/>
      <c r="M826" s="214"/>
    </row>
    <row r="827" spans="1:13" s="355" customFormat="1" ht="13.5" customHeight="1">
      <c r="A827" s="271"/>
      <c r="B827" s="152"/>
      <c r="C827" s="152"/>
      <c r="D827" s="279" t="s">
        <v>824</v>
      </c>
      <c r="E827" s="152"/>
      <c r="F827" s="569"/>
      <c r="G827" s="273"/>
      <c r="H827" s="273"/>
      <c r="I827" s="213"/>
      <c r="J827" s="2897"/>
      <c r="M827" s="214"/>
    </row>
    <row r="828" spans="1:13" s="355" customFormat="1" ht="13.5" customHeight="1">
      <c r="A828" s="271"/>
      <c r="B828" s="152"/>
      <c r="C828" s="152"/>
      <c r="D828" s="279" t="s">
        <v>825</v>
      </c>
      <c r="E828" s="152"/>
      <c r="F828" s="280">
        <v>1000</v>
      </c>
      <c r="G828" s="273"/>
      <c r="H828" s="273"/>
      <c r="I828" s="213"/>
      <c r="J828" s="2898"/>
      <c r="M828" s="214"/>
    </row>
    <row r="829" spans="1:13" s="355" customFormat="1" ht="13.5" customHeight="1">
      <c r="A829" s="271"/>
      <c r="B829" s="152"/>
      <c r="C829" s="152"/>
      <c r="D829" s="279" t="s">
        <v>826</v>
      </c>
      <c r="E829" s="152"/>
      <c r="F829" s="280">
        <v>600</v>
      </c>
      <c r="G829" s="273"/>
      <c r="H829" s="273"/>
      <c r="I829" s="213"/>
      <c r="J829" s="2897"/>
      <c r="M829" s="214"/>
    </row>
    <row r="830" spans="1:13" s="355" customFormat="1" ht="13.5" customHeight="1">
      <c r="A830" s="271"/>
      <c r="B830" s="152"/>
      <c r="C830" s="152"/>
      <c r="D830" s="279" t="s">
        <v>827</v>
      </c>
      <c r="E830" s="152"/>
      <c r="F830" s="280"/>
      <c r="G830" s="273"/>
      <c r="H830" s="273"/>
      <c r="I830" s="213"/>
      <c r="J830" s="2897"/>
      <c r="M830" s="214"/>
    </row>
    <row r="831" spans="1:13" s="355" customFormat="1" ht="13.5" customHeight="1">
      <c r="A831" s="271">
        <v>145</v>
      </c>
      <c r="B831" s="152">
        <v>784</v>
      </c>
      <c r="C831" s="152" t="s">
        <v>828</v>
      </c>
      <c r="D831" s="152" t="s">
        <v>829</v>
      </c>
      <c r="E831" s="152" t="s">
        <v>165</v>
      </c>
      <c r="F831" s="273">
        <f>SUM(F833:F833)</f>
        <v>500</v>
      </c>
      <c r="G831" s="273"/>
      <c r="H831" s="273">
        <f>F831*G831</f>
        <v>0</v>
      </c>
      <c r="I831" s="213" t="s">
        <v>138</v>
      </c>
      <c r="J831" s="2897"/>
      <c r="M831" s="214"/>
    </row>
    <row r="832" spans="1:13" s="355" customFormat="1" ht="13.5" customHeight="1">
      <c r="A832" s="271"/>
      <c r="B832" s="152"/>
      <c r="C832" s="152"/>
      <c r="D832" s="279" t="s">
        <v>830</v>
      </c>
      <c r="E832" s="152"/>
      <c r="F832" s="569"/>
      <c r="G832" s="273"/>
      <c r="H832" s="273"/>
      <c r="I832" s="213"/>
      <c r="J832" s="2897"/>
      <c r="M832" s="214"/>
    </row>
    <row r="833" spans="1:13" s="355" customFormat="1" ht="13.5" customHeight="1">
      <c r="A833" s="271"/>
      <c r="B833" s="152"/>
      <c r="C833" s="152"/>
      <c r="D833" s="279" t="s">
        <v>831</v>
      </c>
      <c r="E833" s="152"/>
      <c r="F833" s="290">
        <v>500</v>
      </c>
      <c r="G833" s="273"/>
      <c r="H833" s="273"/>
      <c r="I833" s="213"/>
      <c r="J833" s="2897"/>
      <c r="M833" s="214"/>
    </row>
    <row r="834" spans="1:13" s="355" customFormat="1" ht="13.5" customHeight="1">
      <c r="A834" s="271"/>
      <c r="B834" s="152"/>
      <c r="C834" s="152"/>
      <c r="D834" s="279" t="s">
        <v>827</v>
      </c>
      <c r="E834" s="152"/>
      <c r="F834" s="280"/>
      <c r="G834" s="273"/>
      <c r="H834" s="273"/>
      <c r="I834" s="213"/>
      <c r="J834" s="2897"/>
      <c r="M834" s="214"/>
    </row>
    <row r="835" spans="1:13" s="355" customFormat="1" ht="13.5" customHeight="1">
      <c r="A835" s="271">
        <v>146</v>
      </c>
      <c r="B835" s="152">
        <v>784</v>
      </c>
      <c r="C835" s="152" t="s">
        <v>832</v>
      </c>
      <c r="D835" s="152" t="s">
        <v>833</v>
      </c>
      <c r="E835" s="152" t="s">
        <v>165</v>
      </c>
      <c r="F835" s="273">
        <f>SUM(F837:F837)</f>
        <v>1000</v>
      </c>
      <c r="G835" s="273"/>
      <c r="H835" s="273">
        <f>F835*G835</f>
        <v>0</v>
      </c>
      <c r="I835" s="274" t="s">
        <v>112</v>
      </c>
      <c r="J835" s="2899"/>
      <c r="M835" s="214"/>
    </row>
    <row r="836" spans="1:13" s="355" customFormat="1" ht="13.5" customHeight="1">
      <c r="A836" s="271"/>
      <c r="B836" s="152"/>
      <c r="C836" s="152"/>
      <c r="D836" s="279" t="s">
        <v>834</v>
      </c>
      <c r="E836" s="152"/>
      <c r="F836" s="569"/>
      <c r="G836" s="273"/>
      <c r="H836" s="273"/>
      <c r="I836" s="213"/>
      <c r="J836" s="2897"/>
      <c r="M836" s="214"/>
    </row>
    <row r="837" spans="1:13" s="355" customFormat="1" ht="13.5" customHeight="1">
      <c r="A837" s="271"/>
      <c r="B837" s="152"/>
      <c r="C837" s="152"/>
      <c r="D837" s="279" t="s">
        <v>835</v>
      </c>
      <c r="E837" s="152"/>
      <c r="F837" s="290">
        <v>1000</v>
      </c>
      <c r="G837" s="273"/>
      <c r="H837" s="273"/>
      <c r="I837" s="213"/>
      <c r="J837" s="2900"/>
      <c r="M837" s="214"/>
    </row>
    <row r="838" spans="1:13" s="355" customFormat="1" ht="13.5" customHeight="1">
      <c r="A838" s="271"/>
      <c r="B838" s="152"/>
      <c r="C838" s="152"/>
      <c r="D838" s="279" t="s">
        <v>827</v>
      </c>
      <c r="E838" s="152"/>
      <c r="F838" s="280"/>
      <c r="G838" s="273"/>
      <c r="H838" s="273"/>
      <c r="I838" s="213"/>
      <c r="J838" s="2897"/>
      <c r="M838" s="214"/>
    </row>
    <row r="839" spans="1:13" s="355" customFormat="1" ht="27" customHeight="1">
      <c r="A839" s="2730">
        <v>147</v>
      </c>
      <c r="B839" s="272" t="s">
        <v>836</v>
      </c>
      <c r="C839" s="152" t="s">
        <v>837</v>
      </c>
      <c r="D839" s="152" t="s">
        <v>838</v>
      </c>
      <c r="E839" s="152" t="s">
        <v>165</v>
      </c>
      <c r="F839" s="2933">
        <f>SUM(F841:F847)</f>
        <v>2631.7709000000004</v>
      </c>
      <c r="G839" s="273"/>
      <c r="H839" s="273">
        <f>F839*G839</f>
        <v>0</v>
      </c>
      <c r="I839" s="213" t="s">
        <v>112</v>
      </c>
      <c r="J839" s="2901"/>
      <c r="M839" s="214"/>
    </row>
    <row r="840" spans="1:13" s="333" customFormat="1" ht="13.5" customHeight="1">
      <c r="A840" s="337"/>
      <c r="B840" s="481"/>
      <c r="C840" s="331"/>
      <c r="D840" s="242" t="s">
        <v>3837</v>
      </c>
      <c r="E840" s="331"/>
      <c r="F840" s="558"/>
      <c r="G840" s="338"/>
      <c r="H840" s="482"/>
      <c r="I840" s="360"/>
      <c r="J840" s="2902"/>
      <c r="M840" s="214"/>
    </row>
    <row r="841" spans="1:13" s="333" customFormat="1" ht="13.5" customHeight="1">
      <c r="A841" s="337"/>
      <c r="B841" s="481"/>
      <c r="C841" s="331"/>
      <c r="D841" s="242" t="s">
        <v>839</v>
      </c>
      <c r="E841" s="331"/>
      <c r="F841" s="558">
        <f>(407.52)*1.1</f>
        <v>448.27199999999999</v>
      </c>
      <c r="G841" s="338"/>
      <c r="H841" s="482"/>
      <c r="I841" s="360"/>
      <c r="J841" s="2902"/>
      <c r="M841" s="214"/>
    </row>
    <row r="842" spans="1:13" s="333" customFormat="1" ht="13.5" customHeight="1">
      <c r="A842" s="337"/>
      <c r="B842" s="481"/>
      <c r="C842" s="331"/>
      <c r="D842" s="242" t="s">
        <v>840</v>
      </c>
      <c r="E842" s="331"/>
      <c r="F842" s="558">
        <f>(924.199)*1.1</f>
        <v>1016.6189000000001</v>
      </c>
      <c r="G842" s="338"/>
      <c r="H842" s="482"/>
      <c r="I842" s="360"/>
      <c r="J842" s="2903"/>
      <c r="M842" s="214"/>
    </row>
    <row r="843" spans="1:13" s="333" customFormat="1" ht="13.5" customHeight="1">
      <c r="A843" s="337"/>
      <c r="B843" s="481"/>
      <c r="C843" s="331"/>
      <c r="D843" s="242" t="s">
        <v>841</v>
      </c>
      <c r="E843" s="331"/>
      <c r="F843" s="558">
        <f>(812)*1.1</f>
        <v>893.2</v>
      </c>
      <c r="G843" s="338"/>
      <c r="H843" s="482"/>
      <c r="I843" s="360"/>
      <c r="J843" s="398"/>
      <c r="M843" s="214"/>
    </row>
    <row r="844" spans="1:13" s="333" customFormat="1" ht="13.5" customHeight="1">
      <c r="A844" s="337"/>
      <c r="B844" s="481"/>
      <c r="C844" s="331"/>
      <c r="D844" s="2943" t="s">
        <v>3838</v>
      </c>
      <c r="E844" s="2943"/>
      <c r="F844" s="2944"/>
      <c r="G844" s="338"/>
      <c r="H844" s="482"/>
      <c r="I844" s="360"/>
      <c r="J844" s="2902"/>
      <c r="M844" s="214"/>
    </row>
    <row r="845" spans="1:13" s="333" customFormat="1" ht="13.5" customHeight="1">
      <c r="A845" s="337"/>
      <c r="B845" s="481"/>
      <c r="C845" s="331"/>
      <c r="D845" s="2943" t="s">
        <v>3839</v>
      </c>
      <c r="E845" s="2943"/>
      <c r="F845" s="2944">
        <f>(179.3)*1.1</f>
        <v>197.23000000000002</v>
      </c>
      <c r="G845" s="338"/>
      <c r="H845" s="482"/>
      <c r="I845" s="360"/>
      <c r="J845" s="2902"/>
      <c r="M845" s="214"/>
    </row>
    <row r="846" spans="1:13" s="333" customFormat="1" ht="13.5" customHeight="1">
      <c r="A846" s="337"/>
      <c r="B846" s="481"/>
      <c r="C846" s="331"/>
      <c r="D846" s="2943" t="s">
        <v>3840</v>
      </c>
      <c r="E846" s="2943"/>
      <c r="F846" s="2944">
        <f>(67.9)*1.1</f>
        <v>74.690000000000012</v>
      </c>
      <c r="G846" s="338"/>
      <c r="H846" s="482"/>
      <c r="I846" s="360"/>
      <c r="J846" s="2903"/>
      <c r="M846" s="214"/>
    </row>
    <row r="847" spans="1:13" s="333" customFormat="1" ht="13.5" customHeight="1">
      <c r="A847" s="337"/>
      <c r="B847" s="481"/>
      <c r="C847" s="331"/>
      <c r="D847" s="2943" t="s">
        <v>3841</v>
      </c>
      <c r="E847" s="2943"/>
      <c r="F847" s="2944">
        <f>(1.6)*1.1</f>
        <v>1.7600000000000002</v>
      </c>
      <c r="G847" s="338"/>
      <c r="H847" s="482"/>
      <c r="I847" s="360"/>
      <c r="J847" s="398"/>
      <c r="M847" s="214"/>
    </row>
    <row r="848" spans="1:13" s="333" customFormat="1" ht="13.5" customHeight="1">
      <c r="A848" s="337"/>
      <c r="B848" s="481"/>
      <c r="C848" s="331"/>
      <c r="D848" s="242" t="s">
        <v>842</v>
      </c>
      <c r="E848" s="331"/>
      <c r="F848" s="558"/>
      <c r="G848" s="338"/>
      <c r="H848" s="482"/>
      <c r="I848" s="360"/>
      <c r="J848" s="398"/>
      <c r="M848" s="214"/>
    </row>
    <row r="849" spans="1:13" s="355" customFormat="1" ht="27" customHeight="1">
      <c r="A849" s="271">
        <v>148</v>
      </c>
      <c r="B849" s="272" t="s">
        <v>836</v>
      </c>
      <c r="C849" s="152" t="s">
        <v>843</v>
      </c>
      <c r="D849" s="152" t="s">
        <v>844</v>
      </c>
      <c r="E849" s="152" t="s">
        <v>165</v>
      </c>
      <c r="F849" s="273">
        <f>SUM(F850:F851)</f>
        <v>1064.3941</v>
      </c>
      <c r="G849" s="273"/>
      <c r="H849" s="273">
        <f>F849*G849</f>
        <v>0</v>
      </c>
      <c r="I849" s="213" t="s">
        <v>112</v>
      </c>
      <c r="J849" s="2901"/>
      <c r="M849" s="214"/>
    </row>
    <row r="850" spans="1:13" s="333" customFormat="1" ht="13.5" customHeight="1">
      <c r="A850" s="337"/>
      <c r="B850" s="481"/>
      <c r="C850" s="331"/>
      <c r="D850" s="242" t="s">
        <v>845</v>
      </c>
      <c r="E850" s="331"/>
      <c r="F850" s="558">
        <f>(388.802)*1.1</f>
        <v>427.68220000000008</v>
      </c>
      <c r="G850" s="338"/>
      <c r="H850" s="482"/>
      <c r="I850" s="360"/>
      <c r="J850" s="2902"/>
      <c r="M850" s="214"/>
    </row>
    <row r="851" spans="1:13" s="333" customFormat="1" ht="13.5" customHeight="1">
      <c r="A851" s="337"/>
      <c r="B851" s="481"/>
      <c r="C851" s="331"/>
      <c r="D851" s="242" t="s">
        <v>846</v>
      </c>
      <c r="E851" s="331"/>
      <c r="F851" s="558">
        <f xml:space="preserve"> (578.829)*1.1</f>
        <v>636.71190000000001</v>
      </c>
      <c r="G851" s="338"/>
      <c r="H851" s="482"/>
      <c r="I851" s="360"/>
      <c r="J851" s="2904"/>
      <c r="M851" s="214"/>
    </row>
    <row r="852" spans="1:13" s="333" customFormat="1" ht="13.5" customHeight="1">
      <c r="A852" s="337"/>
      <c r="B852" s="481"/>
      <c r="C852" s="331"/>
      <c r="D852" s="242" t="s">
        <v>842</v>
      </c>
      <c r="E852" s="331"/>
      <c r="F852" s="558"/>
      <c r="G852" s="338"/>
      <c r="H852" s="482"/>
      <c r="I852" s="360"/>
      <c r="J852" s="2892"/>
      <c r="M852" s="214"/>
    </row>
    <row r="853" spans="1:13" s="355" customFormat="1" ht="13.5" customHeight="1">
      <c r="A853" s="2730" t="s">
        <v>3868</v>
      </c>
      <c r="B853" s="2931" t="s">
        <v>836</v>
      </c>
      <c r="C853" s="2932" t="s">
        <v>3881</v>
      </c>
      <c r="D853" s="2932" t="s">
        <v>3882</v>
      </c>
      <c r="E853" s="2932" t="s">
        <v>165</v>
      </c>
      <c r="F853" s="2933">
        <f>SUM(F854:F854)</f>
        <v>2631.77</v>
      </c>
      <c r="G853" s="2933"/>
      <c r="H853" s="2933">
        <f>F853*G853</f>
        <v>0</v>
      </c>
      <c r="I853" s="2955" t="s">
        <v>112</v>
      </c>
      <c r="J853" s="2901"/>
      <c r="M853" s="214"/>
    </row>
    <row r="854" spans="1:13" s="333" customFormat="1" ht="13.5" customHeight="1">
      <c r="A854" s="2983"/>
      <c r="B854" s="2984"/>
      <c r="C854" s="2943"/>
      <c r="D854" s="2943" t="s">
        <v>3869</v>
      </c>
      <c r="E854" s="2943"/>
      <c r="F854" s="2944">
        <f>(2631.77)</f>
        <v>2631.77</v>
      </c>
      <c r="G854" s="2944"/>
      <c r="H854" s="2985"/>
      <c r="I854" s="2986"/>
      <c r="J854" s="2902"/>
      <c r="M854" s="214"/>
    </row>
    <row r="855" spans="1:13" s="214" customFormat="1" ht="13.5" customHeight="1">
      <c r="A855" s="271">
        <v>149</v>
      </c>
      <c r="B855" s="272" t="s">
        <v>369</v>
      </c>
      <c r="C855" s="152" t="s">
        <v>818</v>
      </c>
      <c r="D855" s="152" t="s">
        <v>819</v>
      </c>
      <c r="E855" s="152" t="s">
        <v>69</v>
      </c>
      <c r="F855" s="273">
        <f>F856</f>
        <v>35</v>
      </c>
      <c r="G855" s="273"/>
      <c r="H855" s="273">
        <f>F855*G855</f>
        <v>0</v>
      </c>
      <c r="I855" s="274" t="s">
        <v>138</v>
      </c>
      <c r="J855" s="2749"/>
    </row>
    <row r="856" spans="1:13" s="214" customFormat="1" ht="13.5" customHeight="1">
      <c r="A856" s="361"/>
      <c r="B856" s="362"/>
      <c r="C856" s="363"/>
      <c r="D856" s="212" t="s">
        <v>847</v>
      </c>
      <c r="E856" s="363"/>
      <c r="F856" s="290">
        <v>35</v>
      </c>
      <c r="G856" s="364"/>
      <c r="H856" s="273"/>
      <c r="I856" s="360"/>
      <c r="J856" s="2749"/>
    </row>
    <row r="857" spans="1:13" s="214" customFormat="1" ht="25.5" customHeight="1">
      <c r="A857" s="361"/>
      <c r="B857" s="362"/>
      <c r="C857" s="363"/>
      <c r="D857" s="212" t="s">
        <v>848</v>
      </c>
      <c r="E857" s="363"/>
      <c r="F857" s="290"/>
      <c r="G857" s="364"/>
      <c r="H857" s="273"/>
      <c r="I857" s="360"/>
      <c r="J857" s="2749"/>
    </row>
    <row r="858" spans="1:13" s="158" customFormat="1" ht="13.5" customHeight="1">
      <c r="A858" s="343"/>
      <c r="B858" s="149"/>
      <c r="C858" s="149">
        <v>790</v>
      </c>
      <c r="D858" s="149" t="s">
        <v>849</v>
      </c>
      <c r="E858" s="149"/>
      <c r="F858" s="345"/>
      <c r="G858" s="345"/>
      <c r="H858" s="345">
        <f>SUM(H859:H869)</f>
        <v>0</v>
      </c>
      <c r="I858" s="216"/>
      <c r="J858" s="2905"/>
      <c r="K858" s="2867"/>
      <c r="L858" s="2867"/>
      <c r="M858" s="135"/>
    </row>
    <row r="859" spans="1:13" s="135" customFormat="1" ht="13.5" customHeight="1">
      <c r="A859" s="2968">
        <v>150</v>
      </c>
      <c r="B859" s="180" t="s">
        <v>850</v>
      </c>
      <c r="C859" s="177" t="s">
        <v>851</v>
      </c>
      <c r="D859" s="177" t="s">
        <v>852</v>
      </c>
      <c r="E859" s="357" t="s">
        <v>49</v>
      </c>
      <c r="F859" s="560">
        <f>SUM(F860)</f>
        <v>1</v>
      </c>
      <c r="G859" s="3094" t="s">
        <v>3828</v>
      </c>
      <c r="H859" s="3095"/>
      <c r="I859" s="213" t="s">
        <v>112</v>
      </c>
      <c r="J859" s="283"/>
    </row>
    <row r="860" spans="1:13" s="135" customFormat="1" ht="13.5" customHeight="1">
      <c r="A860" s="356"/>
      <c r="B860" s="180"/>
      <c r="C860" s="177"/>
      <c r="D860" s="183" t="s">
        <v>853</v>
      </c>
      <c r="E860" s="357"/>
      <c r="F860" s="305">
        <v>1</v>
      </c>
      <c r="G860" s="178"/>
      <c r="H860" s="560"/>
      <c r="I860" s="216"/>
    </row>
    <row r="861" spans="1:13" s="135" customFormat="1" ht="135">
      <c r="A861" s="356"/>
      <c r="B861" s="180"/>
      <c r="C861" s="177"/>
      <c r="D861" s="483" t="s">
        <v>3880</v>
      </c>
      <c r="E861" s="357"/>
      <c r="F861" s="305"/>
      <c r="G861" s="178"/>
      <c r="H861" s="560"/>
      <c r="I861" s="216"/>
      <c r="J861" s="452"/>
    </row>
    <row r="862" spans="1:13" s="1191" customFormat="1" ht="27" customHeight="1">
      <c r="A862" s="2974" t="s">
        <v>3867</v>
      </c>
      <c r="B862" s="2975">
        <v>790</v>
      </c>
      <c r="C862" s="2976" t="s">
        <v>1128</v>
      </c>
      <c r="D862" s="2976" t="s">
        <v>3863</v>
      </c>
      <c r="E862" s="2976" t="s">
        <v>142</v>
      </c>
      <c r="F862" s="2977">
        <f>ROUND(SUM(F863:F864),3)</f>
        <v>5.6</v>
      </c>
      <c r="G862" s="2978"/>
      <c r="H862" s="2979">
        <f t="shared" ref="H862" si="16">ROUND(F862*G862,2)</f>
        <v>0</v>
      </c>
      <c r="I862" s="2980" t="s">
        <v>112</v>
      </c>
      <c r="J862" s="2973"/>
    </row>
    <row r="863" spans="1:13" s="1191" customFormat="1" ht="13.5" customHeight="1">
      <c r="A863" s="2974"/>
      <c r="B863" s="2975"/>
      <c r="C863" s="2976"/>
      <c r="D863" s="2976" t="s">
        <v>3865</v>
      </c>
      <c r="E863" s="2976"/>
      <c r="F863" s="2981">
        <f>(2+2+2+2+2+2+2+2)*0.2</f>
        <v>3.2</v>
      </c>
      <c r="G863" s="2978"/>
      <c r="H863" s="2978"/>
      <c r="I863" s="2982"/>
      <c r="J863" s="1224"/>
    </row>
    <row r="864" spans="1:13" s="1191" customFormat="1" ht="13.5" customHeight="1">
      <c r="A864" s="2974"/>
      <c r="B864" s="2975"/>
      <c r="C864" s="2976"/>
      <c r="D864" s="2976" t="s">
        <v>3866</v>
      </c>
      <c r="E864" s="2976"/>
      <c r="F864" s="2981">
        <f>(2+2+2+2+2+2)*0.2</f>
        <v>2.4000000000000004</v>
      </c>
      <c r="G864" s="2978"/>
      <c r="H864" s="2978"/>
      <c r="I864" s="2982"/>
      <c r="J864" s="1224"/>
    </row>
    <row r="865" spans="1:21" s="1191" customFormat="1" ht="13.5" customHeight="1">
      <c r="A865" s="2974"/>
      <c r="B865" s="2975"/>
      <c r="C865" s="2976"/>
      <c r="D865" s="2976" t="s">
        <v>3864</v>
      </c>
      <c r="E865" s="2976"/>
      <c r="F865" s="2981"/>
      <c r="G865" s="2978"/>
      <c r="H865" s="2978"/>
      <c r="I865" s="2982"/>
      <c r="J865" s="1224"/>
    </row>
    <row r="866" spans="1:21" s="487" customFormat="1" ht="13.5" customHeight="1">
      <c r="A866" s="484">
        <v>151</v>
      </c>
      <c r="B866" s="485" t="s">
        <v>850</v>
      </c>
      <c r="C866" s="485" t="s">
        <v>854</v>
      </c>
      <c r="D866" s="485" t="s">
        <v>855</v>
      </c>
      <c r="E866" s="485" t="s">
        <v>10</v>
      </c>
      <c r="F866" s="486">
        <v>1.2</v>
      </c>
      <c r="G866" s="486"/>
      <c r="H866" s="178">
        <f>F866*G866</f>
        <v>0</v>
      </c>
      <c r="I866" s="213" t="s">
        <v>112</v>
      </c>
      <c r="J866" s="2906"/>
      <c r="K866" s="2906"/>
      <c r="L866" s="2769"/>
      <c r="M866" s="2823"/>
      <c r="N866" s="2823"/>
      <c r="O866" s="2823"/>
      <c r="P866" s="2823"/>
      <c r="Q866" s="2823"/>
      <c r="R866" s="2823"/>
      <c r="S866" s="2823"/>
      <c r="T866" s="2823"/>
      <c r="U866" s="2823"/>
    </row>
    <row r="867" spans="1:21" s="487" customFormat="1" ht="13.5" customHeight="1">
      <c r="A867" s="484">
        <v>152</v>
      </c>
      <c r="B867" s="485" t="s">
        <v>369</v>
      </c>
      <c r="C867" s="485" t="s">
        <v>856</v>
      </c>
      <c r="D867" s="485" t="s">
        <v>857</v>
      </c>
      <c r="E867" s="485" t="s">
        <v>69</v>
      </c>
      <c r="F867" s="486">
        <f>F868</f>
        <v>15</v>
      </c>
      <c r="G867" s="486"/>
      <c r="H867" s="178">
        <f>F867*G867</f>
        <v>0</v>
      </c>
      <c r="I867" s="274" t="s">
        <v>138</v>
      </c>
      <c r="J867" s="2907"/>
      <c r="K867" s="2770"/>
      <c r="L867" s="2770"/>
    </row>
    <row r="868" spans="1:21" s="135" customFormat="1" ht="13.5" customHeight="1">
      <c r="A868" s="488"/>
      <c r="B868" s="489"/>
      <c r="C868" s="489"/>
      <c r="D868" s="490" t="s">
        <v>858</v>
      </c>
      <c r="E868" s="489"/>
      <c r="F868" s="570">
        <v>15</v>
      </c>
      <c r="G868" s="178"/>
      <c r="H868" s="178"/>
      <c r="I868" s="491"/>
      <c r="J868" s="2889"/>
      <c r="K868" s="2770"/>
      <c r="L868" s="2770"/>
    </row>
    <row r="869" spans="1:21" s="135" customFormat="1" ht="13.5" customHeight="1">
      <c r="A869" s="488"/>
      <c r="B869" s="489"/>
      <c r="C869" s="489"/>
      <c r="D869" s="490" t="s">
        <v>540</v>
      </c>
      <c r="E869" s="489"/>
      <c r="F869" s="571"/>
      <c r="G869" s="178"/>
      <c r="H869" s="178"/>
      <c r="I869" s="491"/>
      <c r="J869" s="2889"/>
      <c r="K869" s="2770"/>
      <c r="L869" s="2770"/>
    </row>
    <row r="870" spans="1:21" s="135" customFormat="1" ht="21" customHeight="1">
      <c r="A870" s="343"/>
      <c r="B870" s="344"/>
      <c r="C870" s="149" t="s">
        <v>859</v>
      </c>
      <c r="D870" s="149" t="s">
        <v>860</v>
      </c>
      <c r="E870" s="149"/>
      <c r="F870" s="345"/>
      <c r="G870" s="345"/>
      <c r="H870" s="345">
        <f>SUM(H871)</f>
        <v>0</v>
      </c>
      <c r="I870" s="150"/>
      <c r="J870" s="2758"/>
    </row>
    <row r="871" spans="1:21" s="158" customFormat="1" ht="13.5" customHeight="1">
      <c r="A871" s="343"/>
      <c r="B871" s="344"/>
      <c r="C871" s="149" t="s">
        <v>861</v>
      </c>
      <c r="D871" s="149" t="s">
        <v>862</v>
      </c>
      <c r="E871" s="149"/>
      <c r="F871" s="345"/>
      <c r="G871" s="345"/>
      <c r="H871" s="345">
        <f>SUM(H872:H883)</f>
        <v>0</v>
      </c>
      <c r="I871" s="150"/>
      <c r="J871" s="2867"/>
      <c r="M871" s="135"/>
    </row>
    <row r="872" spans="1:21" s="158" customFormat="1" ht="13.5" customHeight="1">
      <c r="A872" s="176">
        <v>153</v>
      </c>
      <c r="B872" s="180" t="s">
        <v>863</v>
      </c>
      <c r="C872" s="177" t="s">
        <v>864</v>
      </c>
      <c r="D872" s="177" t="s">
        <v>865</v>
      </c>
      <c r="E872" s="177" t="s">
        <v>866</v>
      </c>
      <c r="F872" s="556">
        <f>SUM(F873:F875)</f>
        <v>3050</v>
      </c>
      <c r="G872" s="178"/>
      <c r="H872" s="315">
        <f t="shared" ref="H872" si="17">ROUND(F872*G872,2)</f>
        <v>0</v>
      </c>
      <c r="I872" s="216" t="s">
        <v>111</v>
      </c>
      <c r="J872" s="2867"/>
      <c r="M872" s="135"/>
    </row>
    <row r="873" spans="1:21" s="135" customFormat="1" ht="13.5" customHeight="1">
      <c r="A873" s="488"/>
      <c r="B873" s="489"/>
      <c r="C873" s="489"/>
      <c r="D873" s="490" t="s">
        <v>1920</v>
      </c>
      <c r="E873" s="489"/>
      <c r="F873" s="570">
        <v>1250</v>
      </c>
      <c r="G873" s="178"/>
      <c r="H873" s="178"/>
      <c r="I873" s="491"/>
      <c r="J873" s="2889"/>
      <c r="K873" s="2770"/>
      <c r="L873" s="2770"/>
    </row>
    <row r="874" spans="1:21" s="135" customFormat="1" ht="13.5" customHeight="1">
      <c r="A874" s="488"/>
      <c r="B874" s="489"/>
      <c r="C874" s="489"/>
      <c r="D874" s="490" t="s">
        <v>1921</v>
      </c>
      <c r="E874" s="489"/>
      <c r="F874" s="570">
        <v>400</v>
      </c>
      <c r="G874" s="178"/>
      <c r="H874" s="178"/>
      <c r="I874" s="491"/>
      <c r="J874" s="2889"/>
      <c r="K874" s="2770"/>
      <c r="L874" s="2770"/>
    </row>
    <row r="875" spans="1:21" s="135" customFormat="1" ht="13.5" customHeight="1">
      <c r="A875" s="488"/>
      <c r="B875" s="489"/>
      <c r="C875" s="489"/>
      <c r="D875" s="490" t="s">
        <v>1922</v>
      </c>
      <c r="E875" s="489"/>
      <c r="F875" s="570">
        <v>1400</v>
      </c>
      <c r="G875" s="178"/>
      <c r="H875" s="178"/>
      <c r="I875" s="491"/>
      <c r="J875" s="2889"/>
      <c r="K875" s="2770"/>
      <c r="L875" s="2770"/>
    </row>
    <row r="876" spans="1:21" s="158" customFormat="1" ht="42.75" customHeight="1">
      <c r="A876" s="176"/>
      <c r="B876" s="180"/>
      <c r="C876" s="177"/>
      <c r="D876" s="183" t="s">
        <v>867</v>
      </c>
      <c r="E876" s="177"/>
      <c r="F876" s="305"/>
      <c r="G876" s="178"/>
      <c r="H876" s="178"/>
      <c r="I876" s="184"/>
      <c r="J876" s="2867"/>
      <c r="M876" s="135"/>
    </row>
    <row r="877" spans="1:21" s="158" customFormat="1" ht="27" customHeight="1">
      <c r="A877" s="176"/>
      <c r="B877" s="180"/>
      <c r="C877" s="177"/>
      <c r="D877" s="183" t="s">
        <v>868</v>
      </c>
      <c r="E877" s="177"/>
      <c r="F877" s="305"/>
      <c r="G877" s="178"/>
      <c r="H877" s="178"/>
      <c r="I877" s="184"/>
      <c r="J877" s="2867"/>
      <c r="M877" s="135"/>
    </row>
    <row r="878" spans="1:21" s="158" customFormat="1" ht="27" customHeight="1">
      <c r="A878" s="176"/>
      <c r="B878" s="180"/>
      <c r="C878" s="177"/>
      <c r="D878" s="183" t="s">
        <v>869</v>
      </c>
      <c r="E878" s="177"/>
      <c r="F878" s="305"/>
      <c r="G878" s="178"/>
      <c r="H878" s="178"/>
      <c r="I878" s="184"/>
      <c r="J878" s="2867"/>
      <c r="M878" s="135"/>
    </row>
    <row r="879" spans="1:21" s="158" customFormat="1" ht="27" customHeight="1">
      <c r="A879" s="176"/>
      <c r="B879" s="180"/>
      <c r="C879" s="177"/>
      <c r="D879" s="183" t="s">
        <v>870</v>
      </c>
      <c r="E879" s="177"/>
      <c r="F879" s="305"/>
      <c r="G879" s="178"/>
      <c r="H879" s="178"/>
      <c r="I879" s="184"/>
      <c r="J879" s="2908"/>
      <c r="K879" s="2909"/>
      <c r="L879" s="2909"/>
      <c r="M879" s="2909"/>
    </row>
    <row r="880" spans="1:21" s="158" customFormat="1" ht="26.25" customHeight="1">
      <c r="A880" s="176"/>
      <c r="B880" s="180"/>
      <c r="C880" s="177"/>
      <c r="D880" s="183" t="s">
        <v>871</v>
      </c>
      <c r="E880" s="177"/>
      <c r="F880" s="305"/>
      <c r="G880" s="178"/>
      <c r="H880" s="178"/>
      <c r="I880" s="184"/>
      <c r="J880" s="2867"/>
      <c r="M880" s="135"/>
    </row>
    <row r="881" spans="1:13" s="158" customFormat="1" ht="13.5" customHeight="1">
      <c r="A881" s="176">
        <v>154</v>
      </c>
      <c r="B881" s="180" t="s">
        <v>369</v>
      </c>
      <c r="C881" s="177" t="s">
        <v>872</v>
      </c>
      <c r="D881" s="177" t="s">
        <v>873</v>
      </c>
      <c r="E881" s="177" t="s">
        <v>69</v>
      </c>
      <c r="F881" s="556">
        <f>ROUND(SUM(F882),3)</f>
        <v>10</v>
      </c>
      <c r="G881" s="178"/>
      <c r="H881" s="315">
        <f t="shared" ref="H881" si="18">ROUND(F881*G881,2)</f>
        <v>0</v>
      </c>
      <c r="I881" s="274" t="s">
        <v>138</v>
      </c>
      <c r="J881" s="2867"/>
      <c r="M881" s="135"/>
    </row>
    <row r="882" spans="1:13" s="158" customFormat="1" ht="13.5" customHeight="1">
      <c r="A882" s="469"/>
      <c r="B882" s="492"/>
      <c r="C882" s="300"/>
      <c r="D882" s="300" t="s">
        <v>874</v>
      </c>
      <c r="E882" s="300"/>
      <c r="F882" s="493">
        <v>10</v>
      </c>
      <c r="G882" s="493"/>
      <c r="H882" s="493"/>
      <c r="I882" s="495"/>
      <c r="J882" s="2867"/>
      <c r="M882" s="135"/>
    </row>
    <row r="883" spans="1:13" s="158" customFormat="1" ht="13.5" customHeight="1">
      <c r="A883" s="469"/>
      <c r="B883" s="492"/>
      <c r="C883" s="300"/>
      <c r="D883" s="300" t="s">
        <v>540</v>
      </c>
      <c r="E883" s="300"/>
      <c r="F883" s="493"/>
      <c r="G883" s="493"/>
      <c r="H883" s="493"/>
      <c r="I883" s="495"/>
      <c r="J883" s="2867"/>
      <c r="M883" s="135"/>
    </row>
    <row r="884" spans="1:13" s="135" customFormat="1" ht="21" customHeight="1">
      <c r="A884" s="496"/>
      <c r="B884" s="497"/>
      <c r="C884" s="497"/>
      <c r="D884" s="497" t="s">
        <v>0</v>
      </c>
      <c r="E884" s="497"/>
      <c r="F884" s="572"/>
      <c r="G884" s="572"/>
      <c r="H884" s="572">
        <f>H8+H246+H870</f>
        <v>0</v>
      </c>
    </row>
    <row r="885" spans="1:13" s="135" customFormat="1" ht="12" customHeight="1">
      <c r="A885" s="498"/>
      <c r="B885" s="499"/>
      <c r="C885" s="499"/>
      <c r="D885" s="499"/>
      <c r="E885" s="499"/>
      <c r="F885" s="444"/>
      <c r="G885" s="444"/>
      <c r="H885" s="444"/>
    </row>
    <row r="886" spans="1:13" s="135" customFormat="1" ht="13.5" customHeight="1">
      <c r="A886" s="3038" t="s">
        <v>875</v>
      </c>
      <c r="B886" s="3039"/>
      <c r="C886" s="3040"/>
      <c r="D886" s="500" t="s">
        <v>876</v>
      </c>
      <c r="E886" s="501"/>
      <c r="F886" s="573"/>
      <c r="G886" s="573"/>
      <c r="H886" s="581">
        <f>H884</f>
        <v>0</v>
      </c>
      <c r="L886" s="2871"/>
    </row>
    <row r="887" spans="1:13" s="135" customFormat="1" ht="13.5" customHeight="1">
      <c r="A887" s="502"/>
      <c r="B887" s="503"/>
      <c r="C887" s="503"/>
      <c r="D887" s="504"/>
      <c r="E887" s="505"/>
      <c r="F887" s="574"/>
      <c r="G887" s="574"/>
      <c r="H887" s="582"/>
    </row>
    <row r="888" spans="1:13" s="129" customFormat="1" ht="11.25">
      <c r="A888" s="129" t="s">
        <v>1</v>
      </c>
      <c r="F888" s="575"/>
      <c r="G888" s="575"/>
      <c r="H888" s="575"/>
    </row>
    <row r="889" spans="1:13" s="135" customFormat="1" ht="23.45" customHeight="1">
      <c r="A889" s="3018" t="s">
        <v>877</v>
      </c>
      <c r="B889" s="3037"/>
      <c r="C889" s="3037"/>
      <c r="D889" s="3037"/>
      <c r="E889" s="3037"/>
      <c r="F889" s="3037"/>
      <c r="G889" s="3037"/>
      <c r="H889" s="575"/>
    </row>
    <row r="890" spans="1:13" s="129" customFormat="1" ht="93.75" customHeight="1">
      <c r="A890" s="3018" t="s">
        <v>104</v>
      </c>
      <c r="B890" s="3041"/>
      <c r="C890" s="3041"/>
      <c r="D890" s="3041"/>
      <c r="E890" s="3041"/>
      <c r="F890" s="3041"/>
      <c r="G890" s="3041"/>
      <c r="H890" s="575"/>
    </row>
    <row r="891" spans="1:13" s="325" customFormat="1" ht="13.5" customHeight="1">
      <c r="A891" s="3018" t="s">
        <v>105</v>
      </c>
      <c r="B891" s="3042"/>
      <c r="C891" s="3042"/>
      <c r="D891" s="3042"/>
      <c r="E891" s="3042"/>
      <c r="F891" s="3042"/>
      <c r="G891" s="3042"/>
      <c r="H891" s="583"/>
      <c r="I891" s="507"/>
    </row>
    <row r="892" spans="1:13" s="325" customFormat="1" ht="13.5" customHeight="1">
      <c r="A892" s="3018" t="s">
        <v>106</v>
      </c>
      <c r="B892" s="3042"/>
      <c r="C892" s="3042"/>
      <c r="D892" s="3042"/>
      <c r="E892" s="3042"/>
      <c r="F892" s="3042"/>
      <c r="G892" s="3042"/>
      <c r="H892" s="583"/>
      <c r="I892" s="507"/>
    </row>
    <row r="893" spans="1:13" ht="108" customHeight="1">
      <c r="A893" s="3057" t="s">
        <v>1026</v>
      </c>
      <c r="B893" s="3057"/>
      <c r="C893" s="3057"/>
      <c r="D893" s="3057"/>
      <c r="E893" s="3057"/>
      <c r="F893" s="3057"/>
      <c r="G893" s="3057"/>
      <c r="H893" s="325"/>
      <c r="I893" s="797"/>
    </row>
    <row r="894" spans="1:13" ht="40.5" customHeight="1">
      <c r="A894" s="3057" t="s">
        <v>878</v>
      </c>
      <c r="B894" s="3057"/>
      <c r="C894" s="3057"/>
      <c r="D894" s="3057"/>
      <c r="E894" s="3057"/>
      <c r="F894" s="3057"/>
      <c r="G894" s="3057"/>
      <c r="I894" s="142"/>
    </row>
    <row r="895" spans="1:13" s="325" customFormat="1" ht="13.5" customHeight="1">
      <c r="A895" s="132"/>
      <c r="B895" s="506"/>
      <c r="C895" s="506"/>
      <c r="D895" s="506"/>
      <c r="E895" s="506"/>
      <c r="F895" s="576"/>
      <c r="G895" s="576"/>
      <c r="H895" s="583"/>
      <c r="I895" s="507"/>
    </row>
    <row r="896" spans="1:13" s="129" customFormat="1" ht="23.45" customHeight="1">
      <c r="A896" s="3018"/>
      <c r="B896" s="3037"/>
      <c r="C896" s="3037"/>
      <c r="D896" s="3037"/>
      <c r="E896" s="3037"/>
      <c r="F896" s="3037"/>
      <c r="G896" s="3037"/>
      <c r="H896" s="575"/>
    </row>
  </sheetData>
  <mergeCells count="20">
    <mergeCell ref="A890:G890"/>
    <mergeCell ref="A891:G891"/>
    <mergeCell ref="A892:G892"/>
    <mergeCell ref="A894:G894"/>
    <mergeCell ref="A896:G896"/>
    <mergeCell ref="A893:G893"/>
    <mergeCell ref="G144:H144"/>
    <mergeCell ref="A889:G889"/>
    <mergeCell ref="L166:N166"/>
    <mergeCell ref="J260:N260"/>
    <mergeCell ref="O334:S334"/>
    <mergeCell ref="O335:U335"/>
    <mergeCell ref="O410:S410"/>
    <mergeCell ref="O411:U411"/>
    <mergeCell ref="G728:H728"/>
    <mergeCell ref="G738:H738"/>
    <mergeCell ref="K809:O809"/>
    <mergeCell ref="A886:C886"/>
    <mergeCell ref="G242:H242"/>
    <mergeCell ref="G859:H859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0" fitToHeight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478C-DC18-4915-AC95-FF92CF4D62D2}">
  <sheetPr>
    <pageSetUpPr fitToPage="1"/>
  </sheetPr>
  <dimension ref="A1:AD215"/>
  <sheetViews>
    <sheetView topLeftCell="A174" zoomScaleNormal="100" workbookViewId="0">
      <selection activeCell="A210" sqref="A210:G210"/>
    </sheetView>
  </sheetViews>
  <sheetFormatPr defaultRowHeight="15"/>
  <cols>
    <col min="1" max="2" width="5.5" style="668" customWidth="1"/>
    <col min="3" max="3" width="15.33203125" style="668" customWidth="1"/>
    <col min="4" max="4" width="75.5" style="668" customWidth="1"/>
    <col min="5" max="5" width="7.6640625" style="668" customWidth="1"/>
    <col min="6" max="6" width="10.6640625" style="668" customWidth="1"/>
    <col min="7" max="7" width="12.83203125" style="668" customWidth="1"/>
    <col min="8" max="8" width="18.83203125" style="668" customWidth="1"/>
    <col min="9" max="9" width="19.6640625" style="668" customWidth="1"/>
    <col min="10" max="10" width="29.6640625" style="668" customWidth="1"/>
    <col min="11" max="11" width="37.33203125" style="668" customWidth="1"/>
    <col min="12" max="12" width="31.5" style="668" customWidth="1"/>
    <col min="13" max="13" width="34.33203125" style="668" customWidth="1"/>
    <col min="14" max="14" width="11.83203125" style="668" customWidth="1"/>
    <col min="15" max="15" width="11.1640625" style="668" bestFit="1" customWidth="1"/>
    <col min="16" max="16" width="9.33203125" style="668"/>
    <col min="17" max="17" width="12.83203125" style="668" customWidth="1"/>
    <col min="18" max="18" width="9.33203125" style="668"/>
    <col min="19" max="19" width="12.1640625" style="668" bestFit="1" customWidth="1"/>
    <col min="20" max="20" width="9.33203125" style="668"/>
    <col min="21" max="21" width="11.5" style="668" bestFit="1" customWidth="1"/>
    <col min="22" max="16384" width="9.33203125" style="668"/>
  </cols>
  <sheetData>
    <row r="1" spans="1:30" s="227" customFormat="1" ht="21" customHeight="1">
      <c r="A1" s="133" t="s">
        <v>2956</v>
      </c>
      <c r="B1" s="588"/>
      <c r="C1" s="588"/>
      <c r="D1" s="588"/>
      <c r="E1" s="588"/>
      <c r="F1" s="588"/>
      <c r="G1" s="588"/>
      <c r="H1" s="588"/>
      <c r="I1" s="588"/>
      <c r="J1" s="589"/>
      <c r="K1" s="590"/>
    </row>
    <row r="2" spans="1:30" s="600" customFormat="1" ht="13.5" customHeight="1">
      <c r="A2" s="591" t="s">
        <v>116</v>
      </c>
      <c r="B2" s="591"/>
      <c r="C2" s="591"/>
      <c r="D2" s="592"/>
      <c r="E2" s="592"/>
      <c r="F2" s="593"/>
      <c r="G2" s="592"/>
      <c r="H2" s="592"/>
      <c r="I2" s="594"/>
      <c r="J2" s="595"/>
      <c r="K2" s="595"/>
      <c r="L2" s="596"/>
      <c r="M2" s="597"/>
      <c r="N2" s="598"/>
      <c r="O2" s="599"/>
    </row>
    <row r="3" spans="1:30" s="600" customFormat="1" ht="13.5" customHeight="1">
      <c r="A3" s="3059" t="s">
        <v>898</v>
      </c>
      <c r="B3" s="3060"/>
      <c r="C3" s="3060"/>
      <c r="D3" s="3060"/>
      <c r="E3" s="601"/>
      <c r="F3" s="602"/>
      <c r="G3" s="603"/>
      <c r="H3" s="604"/>
      <c r="I3" s="594"/>
      <c r="J3" s="605"/>
      <c r="K3" s="595"/>
      <c r="L3" s="597"/>
      <c r="M3" s="597"/>
      <c r="N3" s="597"/>
      <c r="O3" s="599"/>
    </row>
    <row r="4" spans="1:30" s="227" customFormat="1" ht="12.75" customHeight="1">
      <c r="A4" s="606"/>
      <c r="B4" s="606"/>
      <c r="C4" s="606"/>
      <c r="D4" s="607"/>
      <c r="E4" s="606"/>
      <c r="F4" s="608"/>
      <c r="G4" s="609"/>
      <c r="H4" s="609"/>
      <c r="I4" s="610"/>
      <c r="J4" s="595"/>
      <c r="K4" s="595"/>
    </row>
    <row r="5" spans="1:30" s="227" customFormat="1" ht="24.75" customHeight="1">
      <c r="A5" s="611" t="s">
        <v>119</v>
      </c>
      <c r="B5" s="611" t="s">
        <v>120</v>
      </c>
      <c r="C5" s="611" t="s">
        <v>121</v>
      </c>
      <c r="D5" s="611" t="s">
        <v>122</v>
      </c>
      <c r="E5" s="611" t="s">
        <v>123</v>
      </c>
      <c r="F5" s="611" t="s">
        <v>124</v>
      </c>
      <c r="G5" s="611" t="s">
        <v>125</v>
      </c>
      <c r="H5" s="611" t="s">
        <v>2</v>
      </c>
      <c r="I5" s="611" t="s">
        <v>46</v>
      </c>
      <c r="J5" s="612"/>
      <c r="K5" s="595"/>
    </row>
    <row r="6" spans="1:30" s="227" customFormat="1" ht="12.75" customHeight="1">
      <c r="A6" s="611" t="s">
        <v>126</v>
      </c>
      <c r="B6" s="611" t="s">
        <v>127</v>
      </c>
      <c r="C6" s="611" t="s">
        <v>128</v>
      </c>
      <c r="D6" s="611" t="s">
        <v>129</v>
      </c>
      <c r="E6" s="611" t="s">
        <v>130</v>
      </c>
      <c r="F6" s="611" t="s">
        <v>131</v>
      </c>
      <c r="G6" s="611" t="s">
        <v>132</v>
      </c>
      <c r="H6" s="611">
        <v>8</v>
      </c>
      <c r="I6" s="611">
        <v>9</v>
      </c>
      <c r="J6" s="595"/>
      <c r="K6" s="605"/>
    </row>
    <row r="7" spans="1:30" s="227" customFormat="1" ht="21" customHeight="1">
      <c r="A7" s="613"/>
      <c r="B7" s="614"/>
      <c r="C7" s="614" t="s">
        <v>373</v>
      </c>
      <c r="D7" s="614" t="s">
        <v>374</v>
      </c>
      <c r="E7" s="614"/>
      <c r="F7" s="615"/>
      <c r="G7" s="616"/>
      <c r="H7" s="616">
        <f>H8</f>
        <v>0</v>
      </c>
      <c r="J7" s="595"/>
      <c r="K7" s="595"/>
    </row>
    <row r="8" spans="1:30" s="355" customFormat="1" ht="13.5" customHeight="1">
      <c r="A8" s="617"/>
      <c r="B8" s="327"/>
      <c r="C8" s="327">
        <v>766</v>
      </c>
      <c r="D8" s="327" t="s">
        <v>899</v>
      </c>
      <c r="E8" s="327"/>
      <c r="F8" s="618"/>
      <c r="G8" s="618"/>
      <c r="H8" s="618">
        <f>SUM(H9:H203)</f>
        <v>0</v>
      </c>
      <c r="I8" s="619"/>
      <c r="J8" s="595"/>
      <c r="K8" s="620"/>
    </row>
    <row r="9" spans="1:30" s="355" customFormat="1" ht="27" customHeight="1">
      <c r="A9" s="621">
        <v>1</v>
      </c>
      <c r="B9" s="622" t="s">
        <v>900</v>
      </c>
      <c r="C9" s="623" t="s">
        <v>901</v>
      </c>
      <c r="D9" s="624" t="s">
        <v>902</v>
      </c>
      <c r="E9" s="625" t="s">
        <v>210</v>
      </c>
      <c r="F9" s="626">
        <f>SUM(F11)</f>
        <v>1</v>
      </c>
      <c r="G9" s="627"/>
      <c r="H9" s="627">
        <f>F9*G9</f>
        <v>0</v>
      </c>
      <c r="I9" s="628" t="s">
        <v>112</v>
      </c>
      <c r="J9" s="629"/>
      <c r="K9" s="630"/>
      <c r="L9" s="631"/>
      <c r="M9" s="631"/>
      <c r="N9" s="631"/>
      <c r="O9" s="632"/>
      <c r="P9" s="633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</row>
    <row r="10" spans="1:30" s="632" customFormat="1" ht="27" customHeight="1">
      <c r="A10" s="186"/>
      <c r="B10" s="623"/>
      <c r="C10" s="623"/>
      <c r="D10" s="634" t="s">
        <v>903</v>
      </c>
      <c r="E10" s="623"/>
      <c r="F10" s="635"/>
      <c r="G10" s="636"/>
      <c r="H10" s="637"/>
      <c r="I10" s="638"/>
      <c r="J10" s="639"/>
      <c r="K10" s="640"/>
      <c r="L10" s="631"/>
      <c r="M10" s="631"/>
      <c r="N10" s="631"/>
      <c r="O10" s="641"/>
      <c r="P10" s="641"/>
      <c r="Q10" s="641"/>
      <c r="R10" s="641"/>
      <c r="S10" s="641"/>
      <c r="T10" s="641"/>
      <c r="U10" s="641"/>
      <c r="V10" s="641"/>
      <c r="W10" s="641"/>
    </row>
    <row r="11" spans="1:30" s="651" customFormat="1" ht="13.5" customHeight="1">
      <c r="A11" s="642"/>
      <c r="B11" s="622"/>
      <c r="C11" s="623"/>
      <c r="D11" s="643" t="s">
        <v>904</v>
      </c>
      <c r="E11" s="623"/>
      <c r="F11" s="644">
        <v>1</v>
      </c>
      <c r="G11" s="637"/>
      <c r="H11" s="637"/>
      <c r="I11" s="637"/>
      <c r="J11" s="629"/>
      <c r="K11" s="645"/>
      <c r="L11" s="646"/>
      <c r="M11" s="647"/>
      <c r="N11" s="647"/>
      <c r="O11" s="632"/>
      <c r="P11" s="648"/>
      <c r="Q11" s="648"/>
      <c r="R11" s="649"/>
      <c r="S11" s="650"/>
    </row>
    <row r="12" spans="1:30" s="651" customFormat="1" ht="13.5" customHeight="1">
      <c r="A12" s="642"/>
      <c r="B12" s="622"/>
      <c r="C12" s="623"/>
      <c r="D12" s="643" t="s">
        <v>905</v>
      </c>
      <c r="E12" s="623"/>
      <c r="F12" s="644"/>
      <c r="G12" s="637"/>
      <c r="H12" s="637"/>
      <c r="I12" s="652"/>
      <c r="J12" s="629"/>
      <c r="K12" s="645"/>
      <c r="L12" s="646"/>
      <c r="M12" s="653"/>
      <c r="N12" s="647"/>
      <c r="Y12" s="633"/>
      <c r="Z12" s="632"/>
      <c r="AA12" s="632"/>
      <c r="AB12" s="648"/>
      <c r="AC12" s="649"/>
      <c r="AD12" s="650"/>
    </row>
    <row r="13" spans="1:30" s="651" customFormat="1" ht="13.5" customHeight="1">
      <c r="A13" s="642"/>
      <c r="B13" s="622"/>
      <c r="C13" s="623"/>
      <c r="D13" s="643" t="s">
        <v>906</v>
      </c>
      <c r="E13" s="623"/>
      <c r="F13" s="644"/>
      <c r="G13" s="637"/>
      <c r="H13" s="637"/>
      <c r="I13" s="652"/>
      <c r="J13" s="654"/>
      <c r="K13" s="645"/>
      <c r="L13" s="646"/>
      <c r="M13" s="647"/>
      <c r="N13" s="647"/>
      <c r="O13" s="632"/>
      <c r="P13" s="632"/>
      <c r="Q13" s="632"/>
      <c r="R13" s="632"/>
      <c r="S13" s="632"/>
      <c r="T13" s="632"/>
      <c r="U13" s="632"/>
      <c r="V13" s="632"/>
      <c r="W13" s="632"/>
      <c r="X13" s="632"/>
    </row>
    <row r="14" spans="1:30" s="355" customFormat="1" ht="27" customHeight="1">
      <c r="A14" s="621">
        <v>2</v>
      </c>
      <c r="B14" s="622" t="s">
        <v>900</v>
      </c>
      <c r="C14" s="623" t="s">
        <v>907</v>
      </c>
      <c r="D14" s="624" t="s">
        <v>908</v>
      </c>
      <c r="E14" s="625" t="s">
        <v>210</v>
      </c>
      <c r="F14" s="626">
        <f>SUM(F16)</f>
        <v>1</v>
      </c>
      <c r="G14" s="627"/>
      <c r="H14" s="627">
        <f>F14*G14</f>
        <v>0</v>
      </c>
      <c r="I14" s="628" t="s">
        <v>112</v>
      </c>
      <c r="J14" s="629"/>
      <c r="K14" s="630"/>
      <c r="L14" s="631"/>
      <c r="M14" s="631"/>
      <c r="N14" s="631"/>
      <c r="O14" s="632"/>
      <c r="P14" s="633"/>
      <c r="Q14" s="632"/>
      <c r="R14" s="632"/>
      <c r="S14" s="632"/>
      <c r="T14" s="632"/>
      <c r="U14" s="632"/>
      <c r="V14" s="632"/>
      <c r="W14" s="632"/>
      <c r="X14" s="632"/>
      <c r="Y14" s="632"/>
      <c r="Z14" s="632"/>
      <c r="AA14" s="632"/>
      <c r="AB14" s="632"/>
    </row>
    <row r="15" spans="1:30" s="632" customFormat="1" ht="27" customHeight="1">
      <c r="A15" s="186"/>
      <c r="B15" s="623"/>
      <c r="C15" s="623"/>
      <c r="D15" s="634" t="s">
        <v>909</v>
      </c>
      <c r="E15" s="623"/>
      <c r="F15" s="635"/>
      <c r="G15" s="636"/>
      <c r="H15" s="637"/>
      <c r="I15" s="638"/>
      <c r="J15" s="639"/>
      <c r="K15" s="640"/>
      <c r="L15" s="631"/>
      <c r="M15" s="631"/>
      <c r="N15" s="631"/>
      <c r="O15" s="641"/>
      <c r="P15" s="641"/>
      <c r="Q15" s="641"/>
      <c r="R15" s="641"/>
      <c r="S15" s="641"/>
      <c r="T15" s="641"/>
      <c r="U15" s="641"/>
      <c r="V15" s="641"/>
      <c r="W15" s="641"/>
    </row>
    <row r="16" spans="1:30" s="651" customFormat="1" ht="13.5" customHeight="1">
      <c r="A16" s="642"/>
      <c r="B16" s="622"/>
      <c r="C16" s="623"/>
      <c r="D16" s="643" t="s">
        <v>904</v>
      </c>
      <c r="E16" s="623"/>
      <c r="F16" s="644">
        <v>1</v>
      </c>
      <c r="G16" s="637"/>
      <c r="H16" s="637"/>
      <c r="I16" s="637"/>
      <c r="J16" s="629"/>
      <c r="K16" s="645"/>
      <c r="L16" s="646"/>
      <c r="M16" s="647"/>
      <c r="N16" s="647"/>
      <c r="O16" s="632"/>
      <c r="P16" s="648"/>
      <c r="Q16" s="648"/>
      <c r="R16" s="649"/>
      <c r="S16" s="650"/>
    </row>
    <row r="17" spans="1:30" s="651" customFormat="1" ht="13.5" customHeight="1">
      <c r="A17" s="642"/>
      <c r="B17" s="622"/>
      <c r="C17" s="623"/>
      <c r="D17" s="643" t="s">
        <v>905</v>
      </c>
      <c r="E17" s="623"/>
      <c r="F17" s="644"/>
      <c r="G17" s="637"/>
      <c r="H17" s="637"/>
      <c r="I17" s="652"/>
      <c r="J17" s="629"/>
      <c r="K17" s="645"/>
      <c r="L17" s="646"/>
      <c r="M17" s="653"/>
      <c r="N17" s="647"/>
      <c r="Y17" s="633"/>
      <c r="Z17" s="632"/>
      <c r="AA17" s="632"/>
      <c r="AB17" s="648"/>
      <c r="AC17" s="649"/>
      <c r="AD17" s="650"/>
    </row>
    <row r="18" spans="1:30" s="651" customFormat="1" ht="13.5" customHeight="1">
      <c r="A18" s="642"/>
      <c r="B18" s="622"/>
      <c r="C18" s="623"/>
      <c r="D18" s="643" t="s">
        <v>906</v>
      </c>
      <c r="E18" s="623"/>
      <c r="F18" s="644"/>
      <c r="G18" s="637"/>
      <c r="H18" s="637"/>
      <c r="I18" s="652"/>
      <c r="J18" s="595"/>
      <c r="K18" s="595"/>
      <c r="L18" s="632"/>
      <c r="M18" s="632"/>
      <c r="N18" s="633"/>
      <c r="O18" s="632"/>
      <c r="P18" s="632"/>
      <c r="Q18" s="632"/>
      <c r="R18" s="632"/>
      <c r="S18" s="632"/>
      <c r="T18" s="632"/>
      <c r="U18" s="632"/>
      <c r="V18" s="632"/>
      <c r="W18" s="632"/>
      <c r="X18" s="632"/>
    </row>
    <row r="19" spans="1:30" s="355" customFormat="1" ht="27" customHeight="1">
      <c r="A19" s="621">
        <v>3</v>
      </c>
      <c r="B19" s="622" t="s">
        <v>900</v>
      </c>
      <c r="C19" s="623" t="s">
        <v>910</v>
      </c>
      <c r="D19" s="624" t="s">
        <v>911</v>
      </c>
      <c r="E19" s="625" t="s">
        <v>210</v>
      </c>
      <c r="F19" s="626">
        <f>SUM(F21)</f>
        <v>1</v>
      </c>
      <c r="G19" s="627"/>
      <c r="H19" s="627">
        <f>F19*G19</f>
        <v>0</v>
      </c>
      <c r="I19" s="628" t="s">
        <v>112</v>
      </c>
      <c r="J19" s="629"/>
      <c r="K19" s="630"/>
      <c r="L19" s="631"/>
      <c r="M19" s="632"/>
      <c r="N19" s="632"/>
      <c r="O19" s="632"/>
      <c r="P19" s="633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2"/>
      <c r="AB19" s="632"/>
    </row>
    <row r="20" spans="1:30" s="632" customFormat="1" ht="27" customHeight="1">
      <c r="A20" s="186"/>
      <c r="B20" s="623"/>
      <c r="C20" s="623"/>
      <c r="D20" s="634" t="s">
        <v>912</v>
      </c>
      <c r="E20" s="623"/>
      <c r="F20" s="635"/>
      <c r="G20" s="636"/>
      <c r="H20" s="637"/>
      <c r="I20" s="638"/>
      <c r="J20" s="639"/>
      <c r="K20" s="640"/>
      <c r="L20" s="631"/>
      <c r="M20" s="655"/>
      <c r="N20" s="641"/>
      <c r="O20" s="641"/>
      <c r="P20" s="641"/>
      <c r="Q20" s="641"/>
      <c r="R20" s="641"/>
      <c r="S20" s="641"/>
      <c r="T20" s="641"/>
      <c r="U20" s="641"/>
      <c r="V20" s="641"/>
      <c r="W20" s="641"/>
    </row>
    <row r="21" spans="1:30" s="651" customFormat="1" ht="13.5" customHeight="1">
      <c r="A21" s="642"/>
      <c r="B21" s="622"/>
      <c r="C21" s="623"/>
      <c r="D21" s="643" t="s">
        <v>904</v>
      </c>
      <c r="E21" s="623"/>
      <c r="F21" s="644">
        <v>1</v>
      </c>
      <c r="G21" s="637"/>
      <c r="H21" s="637"/>
      <c r="I21" s="637"/>
      <c r="J21" s="629"/>
      <c r="K21" s="645"/>
      <c r="L21" s="646"/>
      <c r="M21" s="632"/>
      <c r="N21" s="633"/>
      <c r="O21" s="632"/>
      <c r="P21" s="648"/>
      <c r="Q21" s="648"/>
      <c r="R21" s="649"/>
      <c r="S21" s="650"/>
    </row>
    <row r="22" spans="1:30" s="651" customFormat="1" ht="13.5" customHeight="1">
      <c r="A22" s="642"/>
      <c r="B22" s="622"/>
      <c r="C22" s="623"/>
      <c r="D22" s="643" t="s">
        <v>905</v>
      </c>
      <c r="E22" s="623"/>
      <c r="F22" s="644"/>
      <c r="G22" s="637"/>
      <c r="H22" s="637"/>
      <c r="I22" s="652"/>
      <c r="J22" s="629"/>
      <c r="K22" s="645"/>
      <c r="L22" s="646"/>
      <c r="M22" s="632"/>
      <c r="Y22" s="633"/>
      <c r="Z22" s="632"/>
      <c r="AA22" s="632"/>
      <c r="AB22" s="648"/>
      <c r="AC22" s="649"/>
      <c r="AD22" s="650"/>
    </row>
    <row r="23" spans="1:30" s="651" customFormat="1" ht="13.5" customHeight="1">
      <c r="A23" s="642"/>
      <c r="B23" s="622"/>
      <c r="C23" s="623"/>
      <c r="D23" s="643" t="s">
        <v>906</v>
      </c>
      <c r="E23" s="623"/>
      <c r="F23" s="644"/>
      <c r="G23" s="637"/>
      <c r="H23" s="637"/>
      <c r="I23" s="652"/>
      <c r="J23" s="595"/>
      <c r="K23" s="595"/>
      <c r="L23" s="632"/>
      <c r="M23" s="632"/>
      <c r="N23" s="633"/>
      <c r="O23" s="632"/>
      <c r="P23" s="632"/>
      <c r="Q23" s="632"/>
      <c r="R23" s="632"/>
      <c r="S23" s="632"/>
      <c r="T23" s="632"/>
      <c r="U23" s="632"/>
      <c r="V23" s="632"/>
      <c r="W23" s="632"/>
      <c r="X23" s="632"/>
    </row>
    <row r="24" spans="1:30" s="355" customFormat="1" ht="27" customHeight="1">
      <c r="A24" s="621">
        <v>4</v>
      </c>
      <c r="B24" s="622" t="s">
        <v>900</v>
      </c>
      <c r="C24" s="623" t="s">
        <v>913</v>
      </c>
      <c r="D24" s="624" t="s">
        <v>914</v>
      </c>
      <c r="E24" s="625" t="s">
        <v>210</v>
      </c>
      <c r="F24" s="626">
        <f>SUM(F26)</f>
        <v>1</v>
      </c>
      <c r="G24" s="627"/>
      <c r="H24" s="627">
        <f>F24*G24</f>
        <v>0</v>
      </c>
      <c r="I24" s="628" t="s">
        <v>112</v>
      </c>
      <c r="J24" s="629"/>
      <c r="K24" s="630"/>
      <c r="L24" s="631"/>
      <c r="M24" s="632"/>
      <c r="N24" s="632"/>
      <c r="O24" s="632"/>
      <c r="P24" s="633"/>
      <c r="Q24" s="632"/>
      <c r="R24" s="632"/>
      <c r="S24" s="632"/>
      <c r="T24" s="632"/>
      <c r="U24" s="632"/>
      <c r="V24" s="632"/>
      <c r="W24" s="632"/>
      <c r="X24" s="632"/>
      <c r="Y24" s="632"/>
      <c r="Z24" s="632"/>
      <c r="AA24" s="632"/>
      <c r="AB24" s="632"/>
    </row>
    <row r="25" spans="1:30" s="632" customFormat="1" ht="27" customHeight="1">
      <c r="A25" s="186"/>
      <c r="B25" s="623"/>
      <c r="C25" s="623"/>
      <c r="D25" s="634" t="s">
        <v>915</v>
      </c>
      <c r="E25" s="623"/>
      <c r="F25" s="635"/>
      <c r="G25" s="636"/>
      <c r="H25" s="637"/>
      <c r="I25" s="638"/>
      <c r="J25" s="639"/>
      <c r="K25" s="640"/>
      <c r="L25" s="631"/>
      <c r="M25" s="655"/>
      <c r="N25" s="641"/>
      <c r="O25" s="641"/>
      <c r="P25" s="641"/>
      <c r="Q25" s="641"/>
      <c r="R25" s="641"/>
      <c r="S25" s="641"/>
      <c r="T25" s="641"/>
      <c r="U25" s="641"/>
      <c r="V25" s="641"/>
      <c r="W25" s="641"/>
    </row>
    <row r="26" spans="1:30" s="651" customFormat="1" ht="13.5" customHeight="1">
      <c r="A26" s="642"/>
      <c r="B26" s="622"/>
      <c r="C26" s="623"/>
      <c r="D26" s="643" t="s">
        <v>904</v>
      </c>
      <c r="E26" s="623"/>
      <c r="F26" s="644">
        <v>1</v>
      </c>
      <c r="G26" s="637"/>
      <c r="H26" s="637"/>
      <c r="I26" s="637"/>
      <c r="J26" s="629"/>
      <c r="K26" s="645"/>
      <c r="L26" s="646"/>
      <c r="M26" s="632"/>
      <c r="N26" s="633"/>
      <c r="O26" s="632"/>
      <c r="P26" s="648"/>
      <c r="Q26" s="648"/>
      <c r="R26" s="649"/>
      <c r="S26" s="650"/>
    </row>
    <row r="27" spans="1:30" s="651" customFormat="1" ht="13.5" customHeight="1">
      <c r="A27" s="642"/>
      <c r="B27" s="622"/>
      <c r="C27" s="623"/>
      <c r="D27" s="643" t="s">
        <v>905</v>
      </c>
      <c r="E27" s="623"/>
      <c r="F27" s="644"/>
      <c r="G27" s="637"/>
      <c r="H27" s="637"/>
      <c r="I27" s="652"/>
      <c r="J27" s="629"/>
      <c r="K27" s="645"/>
      <c r="L27" s="646"/>
      <c r="M27" s="632"/>
      <c r="Y27" s="633"/>
      <c r="Z27" s="632"/>
      <c r="AA27" s="632"/>
      <c r="AB27" s="648"/>
      <c r="AC27" s="649"/>
      <c r="AD27" s="650"/>
    </row>
    <row r="28" spans="1:30" s="651" customFormat="1" ht="13.5" customHeight="1">
      <c r="A28" s="642"/>
      <c r="B28" s="622"/>
      <c r="C28" s="623"/>
      <c r="D28" s="643" t="s">
        <v>906</v>
      </c>
      <c r="E28" s="623"/>
      <c r="F28" s="644"/>
      <c r="G28" s="637"/>
      <c r="H28" s="637"/>
      <c r="I28" s="652"/>
      <c r="J28" s="595"/>
      <c r="K28" s="595"/>
      <c r="L28" s="632"/>
      <c r="M28" s="632"/>
      <c r="N28" s="633"/>
      <c r="O28" s="632"/>
      <c r="P28" s="632"/>
      <c r="Q28" s="632"/>
      <c r="R28" s="632"/>
      <c r="S28" s="632"/>
      <c r="T28" s="632"/>
      <c r="U28" s="632"/>
      <c r="V28" s="632"/>
      <c r="W28" s="632"/>
      <c r="X28" s="632"/>
    </row>
    <row r="29" spans="1:30" s="355" customFormat="1" ht="27" customHeight="1">
      <c r="A29" s="621">
        <v>5</v>
      </c>
      <c r="B29" s="622" t="s">
        <v>900</v>
      </c>
      <c r="C29" s="623" t="s">
        <v>916</v>
      </c>
      <c r="D29" s="624" t="s">
        <v>917</v>
      </c>
      <c r="E29" s="625" t="s">
        <v>210</v>
      </c>
      <c r="F29" s="626">
        <f>SUM(F31)</f>
        <v>1</v>
      </c>
      <c r="G29" s="627"/>
      <c r="H29" s="627">
        <f>F29*G29</f>
        <v>0</v>
      </c>
      <c r="I29" s="628" t="s">
        <v>112</v>
      </c>
      <c r="J29" s="629"/>
      <c r="K29" s="630"/>
      <c r="L29" s="631"/>
      <c r="M29" s="632"/>
      <c r="N29" s="632"/>
      <c r="O29" s="632"/>
      <c r="P29" s="633"/>
      <c r="Q29" s="632"/>
      <c r="R29" s="632"/>
      <c r="S29" s="632"/>
      <c r="T29" s="632"/>
      <c r="U29" s="632"/>
      <c r="V29" s="632"/>
      <c r="W29" s="632"/>
      <c r="X29" s="632"/>
      <c r="Y29" s="632"/>
      <c r="Z29" s="632"/>
      <c r="AA29" s="632"/>
      <c r="AB29" s="632"/>
    </row>
    <row r="30" spans="1:30" s="632" customFormat="1" ht="27" customHeight="1">
      <c r="A30" s="186"/>
      <c r="B30" s="623"/>
      <c r="C30" s="623"/>
      <c r="D30" s="634" t="s">
        <v>918</v>
      </c>
      <c r="E30" s="623"/>
      <c r="F30" s="635"/>
      <c r="G30" s="636"/>
      <c r="H30" s="637"/>
      <c r="I30" s="638"/>
      <c r="J30" s="639"/>
      <c r="K30" s="640"/>
      <c r="L30" s="631"/>
      <c r="M30" s="655"/>
      <c r="N30" s="641"/>
      <c r="O30" s="641"/>
      <c r="P30" s="641"/>
      <c r="Q30" s="641"/>
      <c r="R30" s="641"/>
      <c r="S30" s="641"/>
      <c r="T30" s="641"/>
      <c r="U30" s="641"/>
      <c r="V30" s="641"/>
      <c r="W30" s="641"/>
    </row>
    <row r="31" spans="1:30" s="651" customFormat="1" ht="13.5" customHeight="1">
      <c r="A31" s="642"/>
      <c r="B31" s="622"/>
      <c r="C31" s="623"/>
      <c r="D31" s="643" t="s">
        <v>904</v>
      </c>
      <c r="E31" s="623"/>
      <c r="F31" s="644">
        <v>1</v>
      </c>
      <c r="G31" s="637"/>
      <c r="H31" s="637"/>
      <c r="I31" s="637"/>
      <c r="J31" s="629"/>
      <c r="K31" s="645"/>
      <c r="L31" s="646"/>
      <c r="M31" s="632"/>
      <c r="N31" s="633"/>
      <c r="O31" s="632"/>
      <c r="P31" s="648"/>
      <c r="Q31" s="648"/>
      <c r="R31" s="649"/>
      <c r="S31" s="650"/>
    </row>
    <row r="32" spans="1:30" s="651" customFormat="1" ht="13.5" customHeight="1">
      <c r="A32" s="642"/>
      <c r="B32" s="622"/>
      <c r="C32" s="623"/>
      <c r="D32" s="643" t="s">
        <v>905</v>
      </c>
      <c r="E32" s="623"/>
      <c r="F32" s="644"/>
      <c r="G32" s="637"/>
      <c r="H32" s="637"/>
      <c r="I32" s="652"/>
      <c r="J32" s="629"/>
      <c r="K32" s="645"/>
      <c r="L32" s="646"/>
      <c r="M32" s="632"/>
      <c r="Y32" s="633"/>
      <c r="Z32" s="632"/>
      <c r="AA32" s="632"/>
      <c r="AB32" s="648"/>
      <c r="AC32" s="649"/>
      <c r="AD32" s="650"/>
    </row>
    <row r="33" spans="1:30" s="651" customFormat="1" ht="13.5" customHeight="1">
      <c r="A33" s="642"/>
      <c r="B33" s="622"/>
      <c r="C33" s="623"/>
      <c r="D33" s="643" t="s">
        <v>906</v>
      </c>
      <c r="E33" s="623"/>
      <c r="F33" s="644"/>
      <c r="G33" s="637"/>
      <c r="H33" s="637"/>
      <c r="I33" s="652"/>
      <c r="J33" s="595"/>
      <c r="K33" s="595"/>
      <c r="L33" s="632"/>
      <c r="M33" s="632"/>
      <c r="N33" s="633"/>
      <c r="O33" s="632"/>
      <c r="P33" s="632"/>
      <c r="Q33" s="632"/>
      <c r="R33" s="632"/>
      <c r="S33" s="632"/>
      <c r="T33" s="632"/>
      <c r="U33" s="632"/>
      <c r="V33" s="632"/>
      <c r="W33" s="632"/>
      <c r="X33" s="632"/>
    </row>
    <row r="34" spans="1:30" s="355" customFormat="1" ht="27" customHeight="1">
      <c r="A34" s="621">
        <v>6</v>
      </c>
      <c r="B34" s="622" t="s">
        <v>900</v>
      </c>
      <c r="C34" s="623" t="s">
        <v>919</v>
      </c>
      <c r="D34" s="624" t="s">
        <v>920</v>
      </c>
      <c r="E34" s="625" t="s">
        <v>210</v>
      </c>
      <c r="F34" s="626">
        <f>SUM(F36)</f>
        <v>1</v>
      </c>
      <c r="G34" s="627"/>
      <c r="H34" s="627">
        <f>F34*G34</f>
        <v>0</v>
      </c>
      <c r="I34" s="628" t="s">
        <v>112</v>
      </c>
      <c r="J34" s="656"/>
      <c r="K34" s="657"/>
      <c r="L34" s="632"/>
      <c r="M34" s="632"/>
      <c r="N34" s="632"/>
      <c r="O34" s="632"/>
      <c r="P34" s="633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2"/>
    </row>
    <row r="35" spans="1:30" s="632" customFormat="1" ht="27" customHeight="1">
      <c r="A35" s="186"/>
      <c r="B35" s="623"/>
      <c r="C35" s="623"/>
      <c r="D35" s="634" t="s">
        <v>921</v>
      </c>
      <c r="E35" s="623"/>
      <c r="F35" s="635"/>
      <c r="G35" s="636"/>
      <c r="H35" s="637"/>
      <c r="I35" s="638"/>
      <c r="J35" s="658"/>
      <c r="K35" s="612"/>
      <c r="L35" s="659"/>
      <c r="M35" s="655"/>
      <c r="N35" s="641"/>
      <c r="O35" s="641"/>
      <c r="P35" s="641"/>
      <c r="Q35" s="641"/>
      <c r="R35" s="641"/>
      <c r="S35" s="641"/>
      <c r="T35" s="641"/>
      <c r="U35" s="641"/>
      <c r="V35" s="641"/>
      <c r="W35" s="641"/>
    </row>
    <row r="36" spans="1:30" s="651" customFormat="1" ht="13.5" customHeight="1">
      <c r="A36" s="642"/>
      <c r="B36" s="622"/>
      <c r="C36" s="623"/>
      <c r="D36" s="643" t="s">
        <v>904</v>
      </c>
      <c r="E36" s="623"/>
      <c r="F36" s="644">
        <v>1</v>
      </c>
      <c r="G36" s="637"/>
      <c r="H36" s="637"/>
      <c r="I36" s="660"/>
      <c r="J36" s="658"/>
      <c r="K36" s="595"/>
      <c r="L36" s="632"/>
      <c r="M36" s="632"/>
      <c r="N36" s="633"/>
      <c r="O36" s="632"/>
      <c r="P36" s="648"/>
      <c r="Q36" s="648"/>
      <c r="R36" s="649"/>
      <c r="S36" s="650"/>
    </row>
    <row r="37" spans="1:30" s="651" customFormat="1" ht="13.5" customHeight="1">
      <c r="A37" s="642"/>
      <c r="B37" s="622"/>
      <c r="C37" s="623"/>
      <c r="D37" s="643" t="s">
        <v>905</v>
      </c>
      <c r="E37" s="623"/>
      <c r="F37" s="644"/>
      <c r="G37" s="637"/>
      <c r="H37" s="637"/>
      <c r="I37" s="652"/>
      <c r="J37" s="658"/>
      <c r="K37" s="605"/>
      <c r="L37" s="632"/>
      <c r="M37" s="632"/>
      <c r="Y37" s="633"/>
      <c r="Z37" s="632"/>
      <c r="AA37" s="632"/>
      <c r="AB37" s="648"/>
      <c r="AC37" s="649"/>
      <c r="AD37" s="650"/>
    </row>
    <row r="38" spans="1:30" s="355" customFormat="1" ht="27" customHeight="1">
      <c r="A38" s="621">
        <v>7</v>
      </c>
      <c r="B38" s="622" t="s">
        <v>900</v>
      </c>
      <c r="C38" s="623" t="s">
        <v>922</v>
      </c>
      <c r="D38" s="624" t="s">
        <v>923</v>
      </c>
      <c r="E38" s="625" t="s">
        <v>210</v>
      </c>
      <c r="F38" s="626">
        <f>SUM(F40)</f>
        <v>1</v>
      </c>
      <c r="G38" s="627"/>
      <c r="H38" s="627">
        <f>F38*G38</f>
        <v>0</v>
      </c>
      <c r="I38" s="628" t="s">
        <v>112</v>
      </c>
      <c r="J38" s="656"/>
      <c r="K38" s="657"/>
      <c r="L38" s="632"/>
      <c r="M38" s="632"/>
      <c r="N38" s="632"/>
      <c r="O38" s="632"/>
      <c r="P38" s="633"/>
      <c r="Q38" s="632"/>
      <c r="R38" s="632"/>
      <c r="S38" s="632"/>
      <c r="T38" s="632"/>
      <c r="U38" s="632"/>
      <c r="V38" s="632"/>
      <c r="W38" s="632"/>
      <c r="X38" s="632"/>
      <c r="Y38" s="632"/>
      <c r="Z38" s="632"/>
      <c r="AA38" s="632"/>
      <c r="AB38" s="632"/>
    </row>
    <row r="39" spans="1:30" s="632" customFormat="1" ht="27" customHeight="1">
      <c r="A39" s="186"/>
      <c r="B39" s="623"/>
      <c r="C39" s="623"/>
      <c r="D39" s="634" t="s">
        <v>924</v>
      </c>
      <c r="E39" s="623"/>
      <c r="F39" s="635"/>
      <c r="G39" s="636"/>
      <c r="H39" s="637"/>
      <c r="I39" s="638"/>
      <c r="J39" s="658"/>
      <c r="K39" s="612"/>
      <c r="L39" s="595"/>
      <c r="M39" s="655"/>
      <c r="N39" s="641"/>
      <c r="O39" s="641"/>
      <c r="P39" s="641"/>
      <c r="Q39" s="641"/>
      <c r="R39" s="641"/>
      <c r="S39" s="641"/>
      <c r="T39" s="641"/>
      <c r="U39" s="641"/>
      <c r="V39" s="641"/>
      <c r="W39" s="641"/>
    </row>
    <row r="40" spans="1:30" s="651" customFormat="1" ht="13.5" customHeight="1">
      <c r="A40" s="642"/>
      <c r="B40" s="622"/>
      <c r="C40" s="623"/>
      <c r="D40" s="643" t="s">
        <v>904</v>
      </c>
      <c r="E40" s="623"/>
      <c r="F40" s="644">
        <v>1</v>
      </c>
      <c r="G40" s="637"/>
      <c r="H40" s="637"/>
      <c r="I40" s="660"/>
      <c r="J40" s="658"/>
      <c r="K40" s="595"/>
      <c r="L40" s="632"/>
      <c r="M40" s="632"/>
      <c r="N40" s="633"/>
      <c r="O40" s="632"/>
      <c r="P40" s="648"/>
      <c r="Q40" s="648"/>
      <c r="R40" s="649"/>
      <c r="S40" s="650"/>
    </row>
    <row r="41" spans="1:30" s="651" customFormat="1" ht="13.5" customHeight="1">
      <c r="A41" s="642"/>
      <c r="B41" s="622"/>
      <c r="C41" s="623"/>
      <c r="D41" s="643" t="s">
        <v>905</v>
      </c>
      <c r="E41" s="623"/>
      <c r="F41" s="644"/>
      <c r="G41" s="637"/>
      <c r="H41" s="637"/>
      <c r="I41" s="652"/>
      <c r="J41" s="658"/>
      <c r="K41" s="605"/>
      <c r="L41" s="632"/>
      <c r="M41" s="632"/>
      <c r="Y41" s="633"/>
      <c r="Z41" s="632"/>
      <c r="AA41" s="632"/>
      <c r="AB41" s="648"/>
      <c r="AC41" s="649"/>
      <c r="AD41" s="650"/>
    </row>
    <row r="42" spans="1:30" s="355" customFormat="1" ht="27" customHeight="1">
      <c r="A42" s="621">
        <v>8</v>
      </c>
      <c r="B42" s="622" t="s">
        <v>900</v>
      </c>
      <c r="C42" s="623" t="s">
        <v>925</v>
      </c>
      <c r="D42" s="624" t="s">
        <v>926</v>
      </c>
      <c r="E42" s="625" t="s">
        <v>210</v>
      </c>
      <c r="F42" s="626">
        <f>SUM(F44)</f>
        <v>1</v>
      </c>
      <c r="G42" s="627"/>
      <c r="H42" s="627">
        <f>F42*G42</f>
        <v>0</v>
      </c>
      <c r="I42" s="628" t="s">
        <v>112</v>
      </c>
      <c r="J42" s="656"/>
      <c r="K42" s="657"/>
      <c r="L42" s="632"/>
      <c r="M42" s="632"/>
      <c r="N42" s="632"/>
      <c r="O42" s="632"/>
      <c r="P42" s="633"/>
      <c r="Q42" s="632"/>
      <c r="R42" s="632"/>
      <c r="S42" s="632"/>
      <c r="T42" s="632"/>
      <c r="U42" s="632"/>
      <c r="V42" s="632"/>
      <c r="W42" s="632"/>
      <c r="X42" s="632"/>
      <c r="Y42" s="632"/>
      <c r="Z42" s="632"/>
      <c r="AA42" s="632"/>
      <c r="AB42" s="632"/>
    </row>
    <row r="43" spans="1:30" s="632" customFormat="1" ht="27" customHeight="1">
      <c r="A43" s="186"/>
      <c r="B43" s="623"/>
      <c r="C43" s="623"/>
      <c r="D43" s="634" t="s">
        <v>927</v>
      </c>
      <c r="E43" s="623"/>
      <c r="F43" s="635"/>
      <c r="G43" s="636"/>
      <c r="H43" s="637"/>
      <c r="I43" s="638"/>
      <c r="J43" s="658"/>
      <c r="K43" s="612"/>
      <c r="L43" s="595"/>
      <c r="M43" s="655"/>
      <c r="N43" s="641"/>
      <c r="O43" s="641"/>
      <c r="P43" s="641"/>
      <c r="Q43" s="641"/>
      <c r="R43" s="641"/>
      <c r="S43" s="641"/>
      <c r="T43" s="641"/>
      <c r="U43" s="641"/>
      <c r="V43" s="641"/>
      <c r="W43" s="641"/>
    </row>
    <row r="44" spans="1:30" s="651" customFormat="1" ht="13.5" customHeight="1">
      <c r="A44" s="642"/>
      <c r="B44" s="622"/>
      <c r="C44" s="623"/>
      <c r="D44" s="643" t="s">
        <v>904</v>
      </c>
      <c r="E44" s="623"/>
      <c r="F44" s="644">
        <v>1</v>
      </c>
      <c r="G44" s="637"/>
      <c r="H44" s="637"/>
      <c r="I44" s="660"/>
      <c r="J44" s="658"/>
      <c r="K44" s="595"/>
      <c r="L44" s="632"/>
      <c r="M44" s="632"/>
      <c r="N44" s="633"/>
      <c r="O44" s="632"/>
      <c r="P44" s="648"/>
      <c r="Q44" s="648"/>
      <c r="R44" s="649"/>
      <c r="S44" s="650"/>
    </row>
    <row r="45" spans="1:30" s="651" customFormat="1" ht="13.5" customHeight="1">
      <c r="A45" s="642"/>
      <c r="B45" s="622"/>
      <c r="C45" s="623"/>
      <c r="D45" s="643" t="s">
        <v>905</v>
      </c>
      <c r="E45" s="623"/>
      <c r="F45" s="644"/>
      <c r="G45" s="637"/>
      <c r="H45" s="637"/>
      <c r="I45" s="652"/>
      <c r="J45" s="658"/>
      <c r="K45" s="605"/>
      <c r="L45" s="632"/>
      <c r="M45" s="632"/>
      <c r="Y45" s="633"/>
      <c r="Z45" s="632"/>
      <c r="AA45" s="632"/>
      <c r="AB45" s="648"/>
      <c r="AC45" s="649"/>
      <c r="AD45" s="650"/>
    </row>
    <row r="46" spans="1:30" s="355" customFormat="1" ht="27" customHeight="1">
      <c r="A46" s="621">
        <v>9</v>
      </c>
      <c r="B46" s="622" t="s">
        <v>900</v>
      </c>
      <c r="C46" s="623" t="s">
        <v>928</v>
      </c>
      <c r="D46" s="624" t="s">
        <v>929</v>
      </c>
      <c r="E46" s="625" t="s">
        <v>210</v>
      </c>
      <c r="F46" s="626">
        <f>SUM(F48)</f>
        <v>1</v>
      </c>
      <c r="G46" s="627"/>
      <c r="H46" s="627">
        <f>F46*G46</f>
        <v>0</v>
      </c>
      <c r="I46" s="628" t="s">
        <v>112</v>
      </c>
      <c r="J46" s="656"/>
      <c r="K46" s="657"/>
      <c r="L46" s="632"/>
      <c r="M46" s="632"/>
      <c r="N46" s="632"/>
      <c r="O46" s="632"/>
      <c r="P46" s="633"/>
      <c r="Q46" s="632"/>
      <c r="R46" s="632"/>
      <c r="S46" s="632"/>
      <c r="T46" s="632"/>
      <c r="U46" s="632"/>
      <c r="V46" s="632"/>
      <c r="W46" s="632"/>
      <c r="X46" s="632"/>
      <c r="Y46" s="632"/>
      <c r="Z46" s="632"/>
      <c r="AA46" s="632"/>
      <c r="AB46" s="632"/>
    </row>
    <row r="47" spans="1:30" s="632" customFormat="1" ht="27" customHeight="1">
      <c r="A47" s="186"/>
      <c r="B47" s="623"/>
      <c r="C47" s="623"/>
      <c r="D47" s="634" t="s">
        <v>924</v>
      </c>
      <c r="E47" s="623"/>
      <c r="F47" s="635"/>
      <c r="G47" s="636"/>
      <c r="H47" s="637"/>
      <c r="I47" s="638"/>
      <c r="J47" s="658"/>
      <c r="K47" s="612"/>
      <c r="L47" s="595"/>
      <c r="M47" s="655"/>
      <c r="N47" s="641"/>
      <c r="O47" s="641"/>
      <c r="P47" s="641"/>
      <c r="Q47" s="641"/>
      <c r="R47" s="641"/>
      <c r="S47" s="641"/>
      <c r="T47" s="641"/>
      <c r="U47" s="641"/>
      <c r="V47" s="641"/>
      <c r="W47" s="641"/>
    </row>
    <row r="48" spans="1:30" s="651" customFormat="1" ht="13.5" customHeight="1">
      <c r="A48" s="642"/>
      <c r="B48" s="622"/>
      <c r="C48" s="623"/>
      <c r="D48" s="643" t="s">
        <v>904</v>
      </c>
      <c r="E48" s="623"/>
      <c r="F48" s="644">
        <v>1</v>
      </c>
      <c r="G48" s="637"/>
      <c r="H48" s="637"/>
      <c r="I48" s="660"/>
      <c r="J48" s="658"/>
      <c r="K48" s="595"/>
      <c r="L48" s="632"/>
      <c r="M48" s="632"/>
      <c r="N48" s="633"/>
      <c r="O48" s="632"/>
      <c r="P48" s="648"/>
      <c r="Q48" s="648"/>
      <c r="R48" s="649"/>
      <c r="S48" s="650"/>
    </row>
    <row r="49" spans="1:30" s="651" customFormat="1" ht="13.5" customHeight="1">
      <c r="A49" s="642"/>
      <c r="B49" s="622"/>
      <c r="C49" s="623"/>
      <c r="D49" s="643" t="s">
        <v>905</v>
      </c>
      <c r="E49" s="623"/>
      <c r="F49" s="644"/>
      <c r="G49" s="637"/>
      <c r="H49" s="637"/>
      <c r="I49" s="652"/>
      <c r="J49" s="658"/>
      <c r="K49" s="605"/>
      <c r="L49" s="632"/>
      <c r="M49" s="632"/>
      <c r="Y49" s="633"/>
      <c r="Z49" s="632"/>
      <c r="AA49" s="632"/>
      <c r="AB49" s="648"/>
      <c r="AC49" s="649"/>
      <c r="AD49" s="650"/>
    </row>
    <row r="50" spans="1:30" s="355" customFormat="1" ht="27" customHeight="1">
      <c r="A50" s="621">
        <v>10</v>
      </c>
      <c r="B50" s="622" t="s">
        <v>900</v>
      </c>
      <c r="C50" s="623" t="s">
        <v>930</v>
      </c>
      <c r="D50" s="624" t="s">
        <v>931</v>
      </c>
      <c r="E50" s="625" t="s">
        <v>210</v>
      </c>
      <c r="F50" s="626">
        <f>SUM(F52)</f>
        <v>1</v>
      </c>
      <c r="G50" s="627"/>
      <c r="H50" s="627">
        <f>F50*G50</f>
        <v>0</v>
      </c>
      <c r="I50" s="628" t="s">
        <v>112</v>
      </c>
      <c r="J50" s="656"/>
      <c r="K50" s="657"/>
      <c r="L50" s="632"/>
      <c r="M50" s="632"/>
      <c r="N50" s="632"/>
      <c r="O50" s="632"/>
      <c r="P50" s="633"/>
      <c r="Q50" s="632"/>
      <c r="R50" s="632"/>
      <c r="S50" s="632"/>
      <c r="T50" s="632"/>
      <c r="U50" s="632"/>
      <c r="V50" s="632"/>
      <c r="W50" s="632"/>
      <c r="X50" s="632"/>
      <c r="Y50" s="632"/>
      <c r="Z50" s="632"/>
      <c r="AA50" s="632"/>
      <c r="AB50" s="632"/>
    </row>
    <row r="51" spans="1:30" s="632" customFormat="1" ht="27" customHeight="1">
      <c r="A51" s="186"/>
      <c r="B51" s="623"/>
      <c r="C51" s="623"/>
      <c r="D51" s="634" t="s">
        <v>932</v>
      </c>
      <c r="E51" s="623"/>
      <c r="F51" s="635"/>
      <c r="G51" s="636"/>
      <c r="H51" s="637"/>
      <c r="I51" s="638"/>
      <c r="J51" s="658"/>
      <c r="K51" s="612"/>
      <c r="L51" s="595"/>
      <c r="M51" s="655"/>
      <c r="N51" s="641"/>
      <c r="O51" s="641"/>
      <c r="P51" s="641"/>
      <c r="Q51" s="641"/>
      <c r="R51" s="641"/>
      <c r="S51" s="641"/>
      <c r="T51" s="641"/>
      <c r="U51" s="641"/>
      <c r="V51" s="641"/>
      <c r="W51" s="641"/>
    </row>
    <row r="52" spans="1:30" s="651" customFormat="1" ht="13.5" customHeight="1">
      <c r="A52" s="642"/>
      <c r="B52" s="622"/>
      <c r="C52" s="623"/>
      <c r="D52" s="643" t="s">
        <v>904</v>
      </c>
      <c r="E52" s="623"/>
      <c r="F52" s="644">
        <v>1</v>
      </c>
      <c r="G52" s="637"/>
      <c r="H52" s="637"/>
      <c r="I52" s="660"/>
      <c r="J52" s="658"/>
      <c r="K52" s="595"/>
      <c r="L52" s="632"/>
      <c r="M52" s="632"/>
      <c r="N52" s="633"/>
      <c r="O52" s="632"/>
      <c r="P52" s="648"/>
      <c r="Q52" s="648"/>
      <c r="R52" s="649"/>
      <c r="S52" s="650"/>
    </row>
    <row r="53" spans="1:30" s="651" customFormat="1" ht="13.5" customHeight="1">
      <c r="A53" s="642"/>
      <c r="B53" s="622"/>
      <c r="C53" s="623"/>
      <c r="D53" s="643" t="s">
        <v>905</v>
      </c>
      <c r="E53" s="623"/>
      <c r="F53" s="644"/>
      <c r="G53" s="637"/>
      <c r="H53" s="637"/>
      <c r="I53" s="652"/>
      <c r="J53" s="658"/>
      <c r="K53" s="605"/>
      <c r="L53" s="632"/>
      <c r="M53" s="632"/>
      <c r="Y53" s="633"/>
      <c r="Z53" s="632"/>
      <c r="AA53" s="632"/>
      <c r="AB53" s="648"/>
      <c r="AC53" s="649"/>
      <c r="AD53" s="650"/>
    </row>
    <row r="54" spans="1:30" s="355" customFormat="1" ht="27" customHeight="1">
      <c r="A54" s="621">
        <v>11</v>
      </c>
      <c r="B54" s="622" t="s">
        <v>900</v>
      </c>
      <c r="C54" s="623" t="s">
        <v>933</v>
      </c>
      <c r="D54" s="624" t="s">
        <v>934</v>
      </c>
      <c r="E54" s="625" t="s">
        <v>210</v>
      </c>
      <c r="F54" s="626">
        <f>SUM(F56)</f>
        <v>1</v>
      </c>
      <c r="G54" s="627"/>
      <c r="H54" s="627">
        <f>F54*G54</f>
        <v>0</v>
      </c>
      <c r="I54" s="628" t="s">
        <v>112</v>
      </c>
      <c r="J54" s="656"/>
      <c r="K54" s="657"/>
      <c r="L54" s="632"/>
      <c r="M54" s="632"/>
      <c r="N54" s="632"/>
      <c r="O54" s="632"/>
      <c r="P54" s="633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2"/>
      <c r="AB54" s="632"/>
    </row>
    <row r="55" spans="1:30" s="632" customFormat="1" ht="27" customHeight="1">
      <c r="A55" s="186"/>
      <c r="B55" s="623"/>
      <c r="C55" s="623"/>
      <c r="D55" s="634" t="s">
        <v>932</v>
      </c>
      <c r="E55" s="623"/>
      <c r="F55" s="635"/>
      <c r="G55" s="636"/>
      <c r="H55" s="637"/>
      <c r="I55" s="638"/>
      <c r="J55" s="658"/>
      <c r="K55" s="612"/>
      <c r="L55" s="595"/>
      <c r="M55" s="655"/>
      <c r="N55" s="641"/>
      <c r="O55" s="641"/>
      <c r="P55" s="641"/>
      <c r="Q55" s="641"/>
      <c r="R55" s="641"/>
      <c r="S55" s="641"/>
      <c r="T55" s="641"/>
      <c r="U55" s="641"/>
      <c r="V55" s="641"/>
      <c r="W55" s="641"/>
    </row>
    <row r="56" spans="1:30" s="651" customFormat="1" ht="13.5" customHeight="1">
      <c r="A56" s="642"/>
      <c r="B56" s="622"/>
      <c r="C56" s="623"/>
      <c r="D56" s="643" t="s">
        <v>904</v>
      </c>
      <c r="E56" s="623"/>
      <c r="F56" s="644">
        <v>1</v>
      </c>
      <c r="G56" s="637"/>
      <c r="H56" s="637"/>
      <c r="I56" s="660"/>
      <c r="J56" s="658"/>
      <c r="K56" s="595"/>
      <c r="L56" s="632"/>
      <c r="M56" s="632"/>
      <c r="N56" s="633"/>
      <c r="O56" s="632"/>
      <c r="P56" s="648"/>
      <c r="Q56" s="648"/>
      <c r="R56" s="649"/>
      <c r="S56" s="650"/>
    </row>
    <row r="57" spans="1:30" s="651" customFormat="1" ht="13.5" customHeight="1">
      <c r="A57" s="642"/>
      <c r="B57" s="622"/>
      <c r="C57" s="623"/>
      <c r="D57" s="643" t="s">
        <v>905</v>
      </c>
      <c r="E57" s="623"/>
      <c r="F57" s="644"/>
      <c r="G57" s="637"/>
      <c r="H57" s="637"/>
      <c r="I57" s="652"/>
      <c r="J57" s="658"/>
      <c r="K57" s="605"/>
      <c r="L57" s="632"/>
      <c r="M57" s="632"/>
      <c r="Y57" s="633"/>
      <c r="Z57" s="632"/>
      <c r="AA57" s="632"/>
      <c r="AB57" s="648"/>
      <c r="AC57" s="649"/>
      <c r="AD57" s="650"/>
    </row>
    <row r="58" spans="1:30" s="355" customFormat="1" ht="27" customHeight="1">
      <c r="A58" s="621">
        <v>12</v>
      </c>
      <c r="B58" s="622" t="s">
        <v>900</v>
      </c>
      <c r="C58" s="623" t="s">
        <v>935</v>
      </c>
      <c r="D58" s="624" t="s">
        <v>936</v>
      </c>
      <c r="E58" s="625" t="s">
        <v>210</v>
      </c>
      <c r="F58" s="626">
        <f>SUM(F60)</f>
        <v>1</v>
      </c>
      <c r="G58" s="627"/>
      <c r="H58" s="627">
        <f>F58*G58</f>
        <v>0</v>
      </c>
      <c r="I58" s="628" t="s">
        <v>112</v>
      </c>
      <c r="J58" s="656"/>
      <c r="K58" s="657"/>
      <c r="L58" s="632"/>
      <c r="M58" s="632"/>
      <c r="N58" s="632"/>
      <c r="O58" s="632"/>
      <c r="P58" s="633"/>
      <c r="Q58" s="632"/>
      <c r="R58" s="632"/>
      <c r="S58" s="632"/>
      <c r="T58" s="632"/>
      <c r="U58" s="632"/>
      <c r="V58" s="632"/>
      <c r="W58" s="632"/>
      <c r="X58" s="632"/>
      <c r="Y58" s="632"/>
      <c r="Z58" s="632"/>
      <c r="AA58" s="632"/>
      <c r="AB58" s="632"/>
    </row>
    <row r="59" spans="1:30" s="632" customFormat="1" ht="27" customHeight="1">
      <c r="A59" s="186"/>
      <c r="B59" s="623"/>
      <c r="C59" s="623"/>
      <c r="D59" s="634" t="s">
        <v>932</v>
      </c>
      <c r="E59" s="623"/>
      <c r="F59" s="635"/>
      <c r="G59" s="636"/>
      <c r="H59" s="637"/>
      <c r="I59" s="638"/>
      <c r="J59" s="658"/>
      <c r="K59" s="612"/>
      <c r="L59" s="595"/>
      <c r="M59" s="655"/>
      <c r="N59" s="641"/>
      <c r="O59" s="641"/>
      <c r="P59" s="641"/>
      <c r="Q59" s="641"/>
      <c r="R59" s="641"/>
      <c r="S59" s="641"/>
      <c r="T59" s="641"/>
      <c r="U59" s="641"/>
      <c r="V59" s="641"/>
      <c r="W59" s="641"/>
    </row>
    <row r="60" spans="1:30" s="651" customFormat="1" ht="13.5" customHeight="1">
      <c r="A60" s="642"/>
      <c r="B60" s="622"/>
      <c r="C60" s="623"/>
      <c r="D60" s="643" t="s">
        <v>904</v>
      </c>
      <c r="E60" s="623"/>
      <c r="F60" s="644">
        <v>1</v>
      </c>
      <c r="G60" s="637"/>
      <c r="H60" s="637"/>
      <c r="I60" s="660"/>
      <c r="J60" s="658"/>
      <c r="K60" s="595"/>
      <c r="L60" s="632"/>
      <c r="M60" s="632"/>
      <c r="N60" s="633"/>
      <c r="O60" s="632"/>
      <c r="P60" s="648"/>
      <c r="Q60" s="648"/>
      <c r="R60" s="649"/>
      <c r="S60" s="650"/>
    </row>
    <row r="61" spans="1:30" s="651" customFormat="1" ht="13.5" customHeight="1">
      <c r="A61" s="642"/>
      <c r="B61" s="622"/>
      <c r="C61" s="623"/>
      <c r="D61" s="643" t="s">
        <v>905</v>
      </c>
      <c r="E61" s="623"/>
      <c r="F61" s="644"/>
      <c r="G61" s="637"/>
      <c r="H61" s="637"/>
      <c r="I61" s="652"/>
      <c r="J61" s="658"/>
      <c r="K61" s="605"/>
      <c r="L61" s="632"/>
      <c r="M61" s="632"/>
      <c r="Y61" s="633"/>
      <c r="Z61" s="632"/>
      <c r="AA61" s="632"/>
      <c r="AB61" s="648"/>
      <c r="AC61" s="649"/>
      <c r="AD61" s="650"/>
    </row>
    <row r="62" spans="1:30" s="355" customFormat="1" ht="27" customHeight="1">
      <c r="A62" s="621">
        <v>13</v>
      </c>
      <c r="B62" s="622" t="s">
        <v>900</v>
      </c>
      <c r="C62" s="623" t="s">
        <v>937</v>
      </c>
      <c r="D62" s="624" t="s">
        <v>938</v>
      </c>
      <c r="E62" s="625" t="s">
        <v>210</v>
      </c>
      <c r="F62" s="626">
        <f>SUM(F64)</f>
        <v>1</v>
      </c>
      <c r="G62" s="627"/>
      <c r="H62" s="627">
        <f>F62*G62</f>
        <v>0</v>
      </c>
      <c r="I62" s="628" t="s">
        <v>112</v>
      </c>
      <c r="J62" s="656"/>
      <c r="K62" s="657"/>
      <c r="L62" s="632"/>
      <c r="M62" s="632"/>
      <c r="N62" s="632"/>
      <c r="O62" s="632"/>
      <c r="P62" s="633"/>
      <c r="Q62" s="632"/>
      <c r="R62" s="632"/>
      <c r="S62" s="632"/>
      <c r="T62" s="632"/>
      <c r="U62" s="632"/>
      <c r="V62" s="632"/>
      <c r="W62" s="632"/>
      <c r="X62" s="632"/>
      <c r="Y62" s="632"/>
      <c r="Z62" s="632"/>
      <c r="AA62" s="632"/>
      <c r="AB62" s="632"/>
    </row>
    <row r="63" spans="1:30" s="632" customFormat="1" ht="27" customHeight="1">
      <c r="A63" s="186"/>
      <c r="B63" s="623"/>
      <c r="C63" s="623"/>
      <c r="D63" s="634" t="s">
        <v>932</v>
      </c>
      <c r="E63" s="623"/>
      <c r="F63" s="635"/>
      <c r="G63" s="636"/>
      <c r="H63" s="637"/>
      <c r="I63" s="638"/>
      <c r="J63" s="658"/>
      <c r="K63" s="612"/>
      <c r="L63" s="595"/>
      <c r="M63" s="655"/>
      <c r="N63" s="641"/>
      <c r="O63" s="641"/>
      <c r="P63" s="641"/>
      <c r="Q63" s="641"/>
      <c r="R63" s="641"/>
      <c r="S63" s="641"/>
      <c r="T63" s="641"/>
      <c r="U63" s="641"/>
      <c r="V63" s="641"/>
      <c r="W63" s="641"/>
    </row>
    <row r="64" spans="1:30" s="651" customFormat="1" ht="13.5" customHeight="1">
      <c r="A64" s="642"/>
      <c r="B64" s="622"/>
      <c r="C64" s="623"/>
      <c r="D64" s="643" t="s">
        <v>904</v>
      </c>
      <c r="E64" s="623"/>
      <c r="F64" s="644">
        <v>1</v>
      </c>
      <c r="G64" s="637"/>
      <c r="H64" s="637"/>
      <c r="I64" s="660"/>
      <c r="J64" s="658"/>
      <c r="K64" s="595"/>
      <c r="L64" s="632"/>
      <c r="M64" s="632"/>
      <c r="N64" s="633"/>
      <c r="O64" s="632"/>
      <c r="P64" s="648"/>
      <c r="Q64" s="648"/>
      <c r="R64" s="649"/>
      <c r="S64" s="650"/>
    </row>
    <row r="65" spans="1:30" s="651" customFormat="1" ht="13.5" customHeight="1">
      <c r="A65" s="642"/>
      <c r="B65" s="622"/>
      <c r="C65" s="623"/>
      <c r="D65" s="643" t="s">
        <v>905</v>
      </c>
      <c r="E65" s="623"/>
      <c r="F65" s="644"/>
      <c r="G65" s="637"/>
      <c r="H65" s="637"/>
      <c r="I65" s="652"/>
      <c r="J65" s="658"/>
      <c r="K65" s="605"/>
      <c r="L65" s="632"/>
      <c r="M65" s="632"/>
      <c r="Y65" s="633"/>
      <c r="Z65" s="632"/>
      <c r="AA65" s="632"/>
      <c r="AB65" s="648"/>
      <c r="AC65" s="649"/>
      <c r="AD65" s="650"/>
    </row>
    <row r="66" spans="1:30" s="355" customFormat="1" ht="27" customHeight="1">
      <c r="A66" s="621">
        <v>14</v>
      </c>
      <c r="B66" s="622" t="s">
        <v>900</v>
      </c>
      <c r="C66" s="623" t="s">
        <v>939</v>
      </c>
      <c r="D66" s="624" t="s">
        <v>940</v>
      </c>
      <c r="E66" s="625" t="s">
        <v>210</v>
      </c>
      <c r="F66" s="626">
        <f>SUM(F68)</f>
        <v>1</v>
      </c>
      <c r="G66" s="627"/>
      <c r="H66" s="627">
        <f>F66*G66</f>
        <v>0</v>
      </c>
      <c r="I66" s="628" t="s">
        <v>112</v>
      </c>
      <c r="J66" s="656"/>
      <c r="K66" s="657"/>
      <c r="L66" s="632"/>
      <c r="M66" s="632"/>
      <c r="N66" s="632"/>
      <c r="O66" s="632"/>
      <c r="P66" s="633"/>
      <c r="Q66" s="632"/>
      <c r="R66" s="632"/>
      <c r="S66" s="632"/>
      <c r="T66" s="632"/>
      <c r="U66" s="632"/>
      <c r="V66" s="632"/>
      <c r="W66" s="632"/>
      <c r="X66" s="632"/>
      <c r="Y66" s="632"/>
      <c r="Z66" s="632"/>
      <c r="AA66" s="632"/>
      <c r="AB66" s="632"/>
    </row>
    <row r="67" spans="1:30" s="632" customFormat="1" ht="27" customHeight="1">
      <c r="A67" s="186"/>
      <c r="B67" s="623"/>
      <c r="C67" s="623"/>
      <c r="D67" s="634" t="s">
        <v>932</v>
      </c>
      <c r="E67" s="623"/>
      <c r="F67" s="635"/>
      <c r="G67" s="636"/>
      <c r="H67" s="637"/>
      <c r="I67" s="638"/>
      <c r="J67" s="658"/>
      <c r="K67" s="612"/>
      <c r="L67" s="595"/>
      <c r="M67" s="655"/>
      <c r="N67" s="641"/>
      <c r="O67" s="641"/>
      <c r="P67" s="641"/>
      <c r="Q67" s="641"/>
      <c r="R67" s="641"/>
      <c r="S67" s="641"/>
      <c r="T67" s="641"/>
      <c r="U67" s="641"/>
      <c r="V67" s="641"/>
      <c r="W67" s="641"/>
    </row>
    <row r="68" spans="1:30" s="651" customFormat="1" ht="13.5" customHeight="1">
      <c r="A68" s="642"/>
      <c r="B68" s="622"/>
      <c r="C68" s="623"/>
      <c r="D68" s="643" t="s">
        <v>904</v>
      </c>
      <c r="E68" s="623"/>
      <c r="F68" s="644">
        <v>1</v>
      </c>
      <c r="G68" s="637"/>
      <c r="H68" s="637"/>
      <c r="I68" s="660"/>
      <c r="J68" s="658"/>
      <c r="K68" s="595"/>
      <c r="L68" s="632"/>
      <c r="M68" s="632"/>
      <c r="N68" s="633"/>
      <c r="O68" s="632"/>
      <c r="P68" s="648"/>
      <c r="Q68" s="648"/>
      <c r="R68" s="649"/>
      <c r="S68" s="650"/>
    </row>
    <row r="69" spans="1:30" s="651" customFormat="1" ht="13.5" customHeight="1">
      <c r="A69" s="642"/>
      <c r="B69" s="622"/>
      <c r="C69" s="623"/>
      <c r="D69" s="643" t="s">
        <v>905</v>
      </c>
      <c r="E69" s="623"/>
      <c r="F69" s="644"/>
      <c r="G69" s="637"/>
      <c r="H69" s="637"/>
      <c r="I69" s="652"/>
      <c r="J69" s="658"/>
      <c r="K69" s="605"/>
      <c r="L69" s="632"/>
      <c r="M69" s="632"/>
      <c r="Y69" s="633"/>
      <c r="Z69" s="632"/>
      <c r="AA69" s="632"/>
      <c r="AB69" s="648"/>
      <c r="AC69" s="649"/>
      <c r="AD69" s="650"/>
    </row>
    <row r="70" spans="1:30" s="355" customFormat="1" ht="27" customHeight="1">
      <c r="A70" s="621">
        <v>15</v>
      </c>
      <c r="B70" s="622" t="s">
        <v>900</v>
      </c>
      <c r="C70" s="623" t="s">
        <v>941</v>
      </c>
      <c r="D70" s="624" t="s">
        <v>942</v>
      </c>
      <c r="E70" s="625" t="s">
        <v>210</v>
      </c>
      <c r="F70" s="626">
        <f>SUM(F72)</f>
        <v>1</v>
      </c>
      <c r="G70" s="627"/>
      <c r="H70" s="627">
        <f>F70*G70</f>
        <v>0</v>
      </c>
      <c r="I70" s="628" t="s">
        <v>112</v>
      </c>
      <c r="J70" s="656"/>
      <c r="K70" s="657"/>
      <c r="L70" s="632"/>
      <c r="M70" s="632"/>
      <c r="N70" s="632"/>
      <c r="O70" s="632"/>
      <c r="P70" s="633"/>
      <c r="Q70" s="632"/>
      <c r="R70" s="632"/>
      <c r="S70" s="632"/>
      <c r="T70" s="632"/>
      <c r="U70" s="632"/>
      <c r="V70" s="632"/>
      <c r="W70" s="632"/>
      <c r="X70" s="632"/>
      <c r="Y70" s="632"/>
      <c r="Z70" s="632"/>
      <c r="AA70" s="632"/>
      <c r="AB70" s="632"/>
    </row>
    <row r="71" spans="1:30" s="632" customFormat="1" ht="27" customHeight="1">
      <c r="A71" s="186"/>
      <c r="B71" s="623"/>
      <c r="C71" s="623"/>
      <c r="D71" s="634" t="s">
        <v>943</v>
      </c>
      <c r="E71" s="623"/>
      <c r="F71" s="635"/>
      <c r="G71" s="636"/>
      <c r="H71" s="637"/>
      <c r="I71" s="638"/>
      <c r="J71" s="658"/>
      <c r="K71" s="612"/>
      <c r="L71" s="595"/>
      <c r="M71" s="655"/>
      <c r="N71" s="641"/>
      <c r="O71" s="641"/>
      <c r="P71" s="641"/>
      <c r="Q71" s="641"/>
      <c r="R71" s="641"/>
      <c r="S71" s="641"/>
      <c r="T71" s="641"/>
      <c r="U71" s="641"/>
      <c r="V71" s="641"/>
      <c r="W71" s="641"/>
    </row>
    <row r="72" spans="1:30" s="651" customFormat="1" ht="13.5" customHeight="1">
      <c r="A72" s="642"/>
      <c r="B72" s="622"/>
      <c r="C72" s="623"/>
      <c r="D72" s="643" t="s">
        <v>904</v>
      </c>
      <c r="E72" s="623"/>
      <c r="F72" s="644">
        <v>1</v>
      </c>
      <c r="G72" s="637"/>
      <c r="H72" s="637"/>
      <c r="I72" s="660"/>
      <c r="J72" s="658"/>
      <c r="K72" s="595"/>
      <c r="L72" s="632"/>
      <c r="M72" s="632"/>
      <c r="N72" s="633"/>
      <c r="O72" s="632"/>
      <c r="P72" s="648"/>
      <c r="Q72" s="648"/>
      <c r="R72" s="649"/>
      <c r="S72" s="650"/>
    </row>
    <row r="73" spans="1:30" s="651" customFormat="1" ht="13.5" customHeight="1">
      <c r="A73" s="642"/>
      <c r="B73" s="622"/>
      <c r="C73" s="623"/>
      <c r="D73" s="643" t="s">
        <v>905</v>
      </c>
      <c r="E73" s="623"/>
      <c r="F73" s="644"/>
      <c r="G73" s="637"/>
      <c r="H73" s="637"/>
      <c r="I73" s="652"/>
      <c r="J73" s="658"/>
      <c r="K73" s="605"/>
      <c r="L73" s="632"/>
      <c r="M73" s="632"/>
      <c r="Y73" s="633"/>
      <c r="Z73" s="632"/>
      <c r="AA73" s="632"/>
      <c r="AB73" s="648"/>
      <c r="AC73" s="649"/>
      <c r="AD73" s="650"/>
    </row>
    <row r="74" spans="1:30" s="355" customFormat="1" ht="27" customHeight="1">
      <c r="A74" s="621">
        <v>16</v>
      </c>
      <c r="B74" s="622" t="s">
        <v>900</v>
      </c>
      <c r="C74" s="623" t="s">
        <v>944</v>
      </c>
      <c r="D74" s="624" t="s">
        <v>945</v>
      </c>
      <c r="E74" s="625" t="s">
        <v>210</v>
      </c>
      <c r="F74" s="626">
        <f>SUM(F76)</f>
        <v>1</v>
      </c>
      <c r="G74" s="627"/>
      <c r="H74" s="627">
        <f>F74*G74</f>
        <v>0</v>
      </c>
      <c r="I74" s="628" t="s">
        <v>112</v>
      </c>
      <c r="J74" s="656"/>
      <c r="K74" s="657"/>
      <c r="L74" s="632"/>
      <c r="M74" s="632"/>
      <c r="N74" s="632"/>
      <c r="O74" s="632"/>
      <c r="P74" s="633"/>
      <c r="Q74" s="632"/>
      <c r="R74" s="632"/>
      <c r="S74" s="632"/>
      <c r="T74" s="632"/>
      <c r="U74" s="632"/>
      <c r="V74" s="632"/>
      <c r="W74" s="632"/>
      <c r="X74" s="632"/>
      <c r="Y74" s="632"/>
      <c r="Z74" s="632"/>
      <c r="AA74" s="632"/>
      <c r="AB74" s="632"/>
    </row>
    <row r="75" spans="1:30" s="632" customFormat="1" ht="27" customHeight="1">
      <c r="A75" s="186"/>
      <c r="B75" s="623"/>
      <c r="C75" s="623"/>
      <c r="D75" s="634" t="s">
        <v>946</v>
      </c>
      <c r="E75" s="623"/>
      <c r="F75" s="635"/>
      <c r="G75" s="636"/>
      <c r="H75" s="637"/>
      <c r="I75" s="638"/>
      <c r="J75" s="658"/>
      <c r="K75" s="612"/>
      <c r="L75" s="595"/>
      <c r="M75" s="655"/>
      <c r="N75" s="641"/>
      <c r="O75" s="641"/>
      <c r="P75" s="641"/>
      <c r="Q75" s="641"/>
      <c r="R75" s="641"/>
      <c r="S75" s="641"/>
      <c r="T75" s="641"/>
      <c r="U75" s="641"/>
      <c r="V75" s="641"/>
      <c r="W75" s="641"/>
    </row>
    <row r="76" spans="1:30" s="651" customFormat="1" ht="13.5" customHeight="1">
      <c r="A76" s="642"/>
      <c r="B76" s="622"/>
      <c r="C76" s="623"/>
      <c r="D76" s="643" t="s">
        <v>904</v>
      </c>
      <c r="E76" s="623"/>
      <c r="F76" s="644">
        <v>1</v>
      </c>
      <c r="G76" s="637"/>
      <c r="H76" s="637"/>
      <c r="I76" s="660"/>
      <c r="J76" s="658"/>
      <c r="K76" s="595"/>
      <c r="L76" s="632"/>
      <c r="M76" s="632"/>
      <c r="N76" s="633"/>
      <c r="O76" s="632"/>
      <c r="P76" s="648"/>
      <c r="Q76" s="648"/>
      <c r="R76" s="649"/>
      <c r="S76" s="650"/>
    </row>
    <row r="77" spans="1:30" s="651" customFormat="1" ht="13.5" customHeight="1">
      <c r="A77" s="642"/>
      <c r="B77" s="622"/>
      <c r="C77" s="623"/>
      <c r="D77" s="643" t="s">
        <v>905</v>
      </c>
      <c r="E77" s="623"/>
      <c r="F77" s="644"/>
      <c r="G77" s="637"/>
      <c r="H77" s="637"/>
      <c r="I77" s="652"/>
      <c r="J77" s="658"/>
      <c r="K77" s="605"/>
      <c r="L77" s="632"/>
      <c r="M77" s="632"/>
      <c r="Y77" s="633"/>
      <c r="Z77" s="632"/>
      <c r="AA77" s="632"/>
      <c r="AB77" s="648"/>
      <c r="AC77" s="649"/>
      <c r="AD77" s="650"/>
    </row>
    <row r="78" spans="1:30" s="355" customFormat="1" ht="27" customHeight="1">
      <c r="A78" s="621">
        <v>17</v>
      </c>
      <c r="B78" s="622" t="s">
        <v>900</v>
      </c>
      <c r="C78" s="623" t="s">
        <v>947</v>
      </c>
      <c r="D78" s="624" t="s">
        <v>948</v>
      </c>
      <c r="E78" s="625" t="s">
        <v>210</v>
      </c>
      <c r="F78" s="626">
        <f>SUM(F80)</f>
        <v>1</v>
      </c>
      <c r="G78" s="627"/>
      <c r="H78" s="627">
        <f>F78*G78</f>
        <v>0</v>
      </c>
      <c r="I78" s="628" t="s">
        <v>112</v>
      </c>
      <c r="J78" s="656"/>
      <c r="K78" s="657"/>
      <c r="L78" s="632"/>
      <c r="M78" s="632"/>
      <c r="N78" s="632"/>
      <c r="O78" s="632"/>
      <c r="P78" s="633"/>
      <c r="Q78" s="632"/>
      <c r="R78" s="632"/>
      <c r="S78" s="632"/>
      <c r="T78" s="632"/>
      <c r="U78" s="632"/>
      <c r="V78" s="632"/>
      <c r="W78" s="632"/>
      <c r="X78" s="632"/>
      <c r="Y78" s="632"/>
      <c r="Z78" s="632"/>
      <c r="AA78" s="632"/>
      <c r="AB78" s="632"/>
    </row>
    <row r="79" spans="1:30" s="632" customFormat="1" ht="27" customHeight="1">
      <c r="A79" s="186"/>
      <c r="B79" s="623"/>
      <c r="C79" s="623"/>
      <c r="D79" s="634" t="s">
        <v>946</v>
      </c>
      <c r="E79" s="623"/>
      <c r="F79" s="635"/>
      <c r="G79" s="636"/>
      <c r="H79" s="637"/>
      <c r="I79" s="638"/>
      <c r="J79" s="658"/>
      <c r="K79" s="612"/>
      <c r="L79" s="595"/>
      <c r="M79" s="655"/>
      <c r="N79" s="641"/>
      <c r="O79" s="641"/>
      <c r="P79" s="641"/>
      <c r="Q79" s="641"/>
      <c r="R79" s="641"/>
      <c r="S79" s="641"/>
      <c r="T79" s="641"/>
      <c r="U79" s="641"/>
      <c r="V79" s="641"/>
      <c r="W79" s="641"/>
    </row>
    <row r="80" spans="1:30" s="651" customFormat="1" ht="13.5" customHeight="1">
      <c r="A80" s="642"/>
      <c r="B80" s="622"/>
      <c r="C80" s="623"/>
      <c r="D80" s="643" t="s">
        <v>904</v>
      </c>
      <c r="E80" s="623"/>
      <c r="F80" s="644">
        <v>1</v>
      </c>
      <c r="G80" s="637"/>
      <c r="H80" s="637"/>
      <c r="I80" s="660"/>
      <c r="J80" s="658"/>
      <c r="K80" s="595"/>
      <c r="L80" s="632"/>
      <c r="M80" s="632"/>
      <c r="N80" s="633"/>
      <c r="O80" s="632"/>
      <c r="P80" s="648"/>
      <c r="Q80" s="648"/>
      <c r="R80" s="649"/>
      <c r="S80" s="650"/>
    </row>
    <row r="81" spans="1:30" s="651" customFormat="1" ht="13.5" customHeight="1">
      <c r="A81" s="642"/>
      <c r="B81" s="622"/>
      <c r="C81" s="623"/>
      <c r="D81" s="643" t="s">
        <v>905</v>
      </c>
      <c r="E81" s="623"/>
      <c r="F81" s="644"/>
      <c r="G81" s="637"/>
      <c r="H81" s="637"/>
      <c r="I81" s="652"/>
      <c r="J81" s="658"/>
      <c r="K81" s="605"/>
      <c r="L81" s="632"/>
      <c r="M81" s="632"/>
      <c r="Y81" s="633"/>
      <c r="Z81" s="632"/>
      <c r="AA81" s="632"/>
      <c r="AB81" s="648"/>
      <c r="AC81" s="649"/>
      <c r="AD81" s="650"/>
    </row>
    <row r="82" spans="1:30" s="355" customFormat="1" ht="27" customHeight="1">
      <c r="A82" s="621">
        <v>18</v>
      </c>
      <c r="B82" s="622" t="s">
        <v>900</v>
      </c>
      <c r="C82" s="623" t="s">
        <v>949</v>
      </c>
      <c r="D82" s="624" t="s">
        <v>950</v>
      </c>
      <c r="E82" s="625" t="s">
        <v>210</v>
      </c>
      <c r="F82" s="626">
        <f>SUM(F84)</f>
        <v>1</v>
      </c>
      <c r="G82" s="627"/>
      <c r="H82" s="627">
        <f>F82*G82</f>
        <v>0</v>
      </c>
      <c r="I82" s="628" t="s">
        <v>112</v>
      </c>
      <c r="J82" s="656"/>
      <c r="K82" s="657"/>
      <c r="L82" s="632"/>
      <c r="M82" s="632"/>
      <c r="N82" s="632"/>
      <c r="O82" s="632"/>
      <c r="P82" s="633"/>
      <c r="Q82" s="632"/>
      <c r="R82" s="632"/>
      <c r="S82" s="632"/>
      <c r="T82" s="632"/>
      <c r="U82" s="632"/>
      <c r="V82" s="632"/>
      <c r="W82" s="632"/>
      <c r="X82" s="632"/>
      <c r="Y82" s="632"/>
      <c r="Z82" s="632"/>
      <c r="AA82" s="632"/>
      <c r="AB82" s="632"/>
    </row>
    <row r="83" spans="1:30" s="632" customFormat="1" ht="27" customHeight="1">
      <c r="A83" s="186"/>
      <c r="B83" s="623"/>
      <c r="C83" s="623"/>
      <c r="D83" s="634" t="s">
        <v>943</v>
      </c>
      <c r="E83" s="623"/>
      <c r="F83" s="635"/>
      <c r="G83" s="636"/>
      <c r="H83" s="637"/>
      <c r="I83" s="638"/>
      <c r="J83" s="658"/>
      <c r="K83" s="612"/>
      <c r="L83" s="595"/>
      <c r="M83" s="655"/>
      <c r="N83" s="641"/>
      <c r="O83" s="641"/>
      <c r="P83" s="641"/>
      <c r="Q83" s="641"/>
      <c r="R83" s="641"/>
      <c r="S83" s="641"/>
      <c r="T83" s="641"/>
      <c r="U83" s="641"/>
      <c r="V83" s="641"/>
      <c r="W83" s="641"/>
    </row>
    <row r="84" spans="1:30" s="651" customFormat="1" ht="13.5" customHeight="1">
      <c r="A84" s="642"/>
      <c r="B84" s="622"/>
      <c r="C84" s="623"/>
      <c r="D84" s="643" t="s">
        <v>904</v>
      </c>
      <c r="E84" s="623"/>
      <c r="F84" s="644">
        <v>1</v>
      </c>
      <c r="G84" s="637"/>
      <c r="H84" s="637"/>
      <c r="I84" s="660"/>
      <c r="J84" s="658"/>
      <c r="K84" s="595"/>
      <c r="L84" s="632"/>
      <c r="M84" s="632"/>
      <c r="N84" s="633"/>
      <c r="O84" s="632"/>
      <c r="P84" s="648"/>
      <c r="Q84" s="648"/>
      <c r="R84" s="649"/>
      <c r="S84" s="650"/>
    </row>
    <row r="85" spans="1:30" s="651" customFormat="1" ht="13.5" customHeight="1">
      <c r="A85" s="642"/>
      <c r="B85" s="622"/>
      <c r="C85" s="623"/>
      <c r="D85" s="643" t="s">
        <v>905</v>
      </c>
      <c r="E85" s="623"/>
      <c r="F85" s="644"/>
      <c r="G85" s="637"/>
      <c r="H85" s="637"/>
      <c r="I85" s="652"/>
      <c r="J85" s="658"/>
      <c r="K85" s="605"/>
      <c r="L85" s="632"/>
      <c r="M85" s="632"/>
      <c r="Y85" s="633"/>
      <c r="Z85" s="632"/>
      <c r="AA85" s="632"/>
      <c r="AB85" s="648"/>
      <c r="AC85" s="649"/>
      <c r="AD85" s="650"/>
    </row>
    <row r="86" spans="1:30" s="355" customFormat="1" ht="27" customHeight="1">
      <c r="A86" s="621">
        <v>19</v>
      </c>
      <c r="B86" s="622" t="s">
        <v>900</v>
      </c>
      <c r="C86" s="623" t="s">
        <v>951</v>
      </c>
      <c r="D86" s="624" t="s">
        <v>952</v>
      </c>
      <c r="E86" s="625" t="s">
        <v>210</v>
      </c>
      <c r="F86" s="626">
        <f>SUM(F88)</f>
        <v>1</v>
      </c>
      <c r="G86" s="627"/>
      <c r="H86" s="627">
        <f>F86*G86</f>
        <v>0</v>
      </c>
      <c r="I86" s="628" t="s">
        <v>112</v>
      </c>
      <c r="J86" s="656"/>
      <c r="K86" s="657"/>
      <c r="L86" s="632"/>
      <c r="M86" s="632"/>
      <c r="N86" s="632"/>
      <c r="O86" s="632"/>
      <c r="P86" s="633"/>
      <c r="Q86" s="632"/>
      <c r="R86" s="632"/>
      <c r="S86" s="632"/>
      <c r="T86" s="632"/>
      <c r="U86" s="632"/>
      <c r="V86" s="632"/>
      <c r="W86" s="632"/>
      <c r="X86" s="632"/>
      <c r="Y86" s="632"/>
      <c r="Z86" s="632"/>
      <c r="AA86" s="632"/>
      <c r="AB86" s="632"/>
    </row>
    <row r="87" spans="1:30" s="632" customFormat="1" ht="27" customHeight="1">
      <c r="A87" s="186"/>
      <c r="B87" s="623"/>
      <c r="C87" s="623"/>
      <c r="D87" s="634" t="s">
        <v>953</v>
      </c>
      <c r="E87" s="623"/>
      <c r="F87" s="635"/>
      <c r="G87" s="636"/>
      <c r="H87" s="637"/>
      <c r="I87" s="638"/>
      <c r="J87" s="658"/>
      <c r="K87" s="612"/>
      <c r="L87" s="595"/>
      <c r="M87" s="655"/>
      <c r="N87" s="641"/>
      <c r="O87" s="641"/>
      <c r="P87" s="641"/>
      <c r="Q87" s="641"/>
      <c r="R87" s="641"/>
      <c r="S87" s="641"/>
      <c r="T87" s="641"/>
      <c r="U87" s="641"/>
      <c r="V87" s="641"/>
      <c r="W87" s="641"/>
    </row>
    <row r="88" spans="1:30" s="651" customFormat="1" ht="13.5" customHeight="1">
      <c r="A88" s="642"/>
      <c r="B88" s="622"/>
      <c r="C88" s="623"/>
      <c r="D88" s="643" t="s">
        <v>904</v>
      </c>
      <c r="E88" s="623"/>
      <c r="F88" s="644">
        <v>1</v>
      </c>
      <c r="G88" s="637"/>
      <c r="H88" s="637"/>
      <c r="I88" s="660"/>
      <c r="J88" s="658"/>
      <c r="K88" s="595"/>
      <c r="L88" s="632"/>
      <c r="M88" s="632"/>
      <c r="N88" s="633"/>
      <c r="O88" s="632"/>
      <c r="P88" s="648"/>
      <c r="Q88" s="648"/>
      <c r="R88" s="649"/>
      <c r="S88" s="650"/>
    </row>
    <row r="89" spans="1:30" s="651" customFormat="1" ht="13.5" customHeight="1">
      <c r="A89" s="642"/>
      <c r="B89" s="622"/>
      <c r="C89" s="623"/>
      <c r="D89" s="643" t="s">
        <v>905</v>
      </c>
      <c r="E89" s="623"/>
      <c r="F89" s="644"/>
      <c r="G89" s="637"/>
      <c r="H89" s="637"/>
      <c r="I89" s="652"/>
      <c r="J89" s="658"/>
      <c r="K89" s="605"/>
      <c r="L89" s="632"/>
      <c r="M89" s="632"/>
      <c r="Y89" s="633"/>
      <c r="Z89" s="632"/>
      <c r="AA89" s="632"/>
      <c r="AB89" s="648"/>
      <c r="AC89" s="649"/>
      <c r="AD89" s="650"/>
    </row>
    <row r="90" spans="1:30" s="355" customFormat="1" ht="27" customHeight="1">
      <c r="A90" s="621">
        <v>20</v>
      </c>
      <c r="B90" s="622" t="s">
        <v>900</v>
      </c>
      <c r="C90" s="623" t="s">
        <v>954</v>
      </c>
      <c r="D90" s="624" t="s">
        <v>955</v>
      </c>
      <c r="E90" s="625" t="s">
        <v>210</v>
      </c>
      <c r="F90" s="626">
        <f>SUM(F92)</f>
        <v>1</v>
      </c>
      <c r="G90" s="627"/>
      <c r="H90" s="627">
        <f>F90*G90</f>
        <v>0</v>
      </c>
      <c r="I90" s="628" t="s">
        <v>112</v>
      </c>
      <c r="J90" s="656"/>
      <c r="K90" s="657"/>
      <c r="L90" s="632"/>
      <c r="M90" s="632"/>
      <c r="N90" s="632"/>
      <c r="O90" s="632"/>
      <c r="P90" s="633"/>
      <c r="Q90" s="632"/>
      <c r="R90" s="632"/>
      <c r="S90" s="632"/>
      <c r="T90" s="632"/>
      <c r="U90" s="632"/>
      <c r="V90" s="632"/>
      <c r="W90" s="632"/>
      <c r="X90" s="632"/>
      <c r="Y90" s="632"/>
      <c r="Z90" s="632"/>
      <c r="AA90" s="632"/>
      <c r="AB90" s="632"/>
    </row>
    <row r="91" spans="1:30" s="632" customFormat="1" ht="27" customHeight="1">
      <c r="A91" s="186"/>
      <c r="B91" s="623"/>
      <c r="C91" s="623"/>
      <c r="D91" s="634" t="s">
        <v>943</v>
      </c>
      <c r="E91" s="623"/>
      <c r="F91" s="635"/>
      <c r="G91" s="636"/>
      <c r="H91" s="637"/>
      <c r="I91" s="638"/>
      <c r="J91" s="658"/>
      <c r="K91" s="612"/>
      <c r="L91" s="595"/>
      <c r="M91" s="655"/>
      <c r="N91" s="641"/>
      <c r="O91" s="641"/>
      <c r="P91" s="641"/>
      <c r="Q91" s="641"/>
      <c r="R91" s="641"/>
      <c r="S91" s="641"/>
      <c r="T91" s="641"/>
      <c r="U91" s="641"/>
      <c r="V91" s="641"/>
      <c r="W91" s="641"/>
    </row>
    <row r="92" spans="1:30" s="651" customFormat="1" ht="13.5" customHeight="1">
      <c r="A92" s="642"/>
      <c r="B92" s="622"/>
      <c r="C92" s="623"/>
      <c r="D92" s="643" t="s">
        <v>904</v>
      </c>
      <c r="E92" s="623"/>
      <c r="F92" s="644">
        <v>1</v>
      </c>
      <c r="G92" s="637"/>
      <c r="H92" s="637"/>
      <c r="I92" s="660"/>
      <c r="J92" s="658"/>
      <c r="K92" s="595"/>
      <c r="L92" s="632"/>
      <c r="M92" s="632"/>
      <c r="N92" s="633"/>
      <c r="O92" s="632"/>
      <c r="P92" s="648"/>
      <c r="Q92" s="648"/>
      <c r="R92" s="649"/>
      <c r="S92" s="650"/>
    </row>
    <row r="93" spans="1:30" s="651" customFormat="1" ht="13.5" customHeight="1">
      <c r="A93" s="642"/>
      <c r="B93" s="622"/>
      <c r="C93" s="623"/>
      <c r="D93" s="643" t="s">
        <v>905</v>
      </c>
      <c r="E93" s="623"/>
      <c r="F93" s="644"/>
      <c r="G93" s="637"/>
      <c r="H93" s="637"/>
      <c r="I93" s="652"/>
      <c r="J93" s="658"/>
      <c r="K93" s="605"/>
      <c r="L93" s="632"/>
      <c r="M93" s="632"/>
      <c r="Y93" s="633"/>
      <c r="Z93" s="632"/>
      <c r="AA93" s="632"/>
      <c r="AB93" s="648"/>
      <c r="AC93" s="649"/>
      <c r="AD93" s="650"/>
    </row>
    <row r="94" spans="1:30" s="355" customFormat="1" ht="27" customHeight="1">
      <c r="A94" s="621">
        <v>21</v>
      </c>
      <c r="B94" s="622" t="s">
        <v>900</v>
      </c>
      <c r="C94" s="623" t="s">
        <v>954</v>
      </c>
      <c r="D94" s="624" t="s">
        <v>956</v>
      </c>
      <c r="E94" s="625" t="s">
        <v>210</v>
      </c>
      <c r="F94" s="626">
        <f>SUM(F96)</f>
        <v>1</v>
      </c>
      <c r="G94" s="627"/>
      <c r="H94" s="627">
        <f>F94*G94</f>
        <v>0</v>
      </c>
      <c r="I94" s="628" t="s">
        <v>112</v>
      </c>
      <c r="J94" s="656"/>
      <c r="K94" s="657"/>
      <c r="L94" s="632"/>
      <c r="M94" s="632"/>
      <c r="N94" s="632"/>
      <c r="O94" s="632"/>
      <c r="P94" s="633"/>
      <c r="Q94" s="632"/>
      <c r="R94" s="632"/>
      <c r="S94" s="632"/>
      <c r="T94" s="632"/>
      <c r="U94" s="632"/>
      <c r="V94" s="632"/>
      <c r="W94" s="632"/>
      <c r="X94" s="632"/>
      <c r="Y94" s="632"/>
      <c r="Z94" s="632"/>
      <c r="AA94" s="632"/>
      <c r="AB94" s="632"/>
    </row>
    <row r="95" spans="1:30" s="632" customFormat="1" ht="27" customHeight="1">
      <c r="A95" s="186"/>
      <c r="B95" s="623"/>
      <c r="C95" s="623"/>
      <c r="D95" s="634" t="s">
        <v>943</v>
      </c>
      <c r="E95" s="623"/>
      <c r="F95" s="635"/>
      <c r="G95" s="636"/>
      <c r="H95" s="637"/>
      <c r="I95" s="638"/>
      <c r="J95" s="658"/>
      <c r="K95" s="612"/>
      <c r="L95" s="595"/>
      <c r="M95" s="655"/>
      <c r="N95" s="641"/>
      <c r="O95" s="641"/>
      <c r="P95" s="641"/>
      <c r="Q95" s="641"/>
      <c r="R95" s="641"/>
      <c r="S95" s="641"/>
      <c r="T95" s="641"/>
      <c r="U95" s="641"/>
      <c r="V95" s="641"/>
      <c r="W95" s="641"/>
    </row>
    <row r="96" spans="1:30" s="651" customFormat="1" ht="13.5" customHeight="1">
      <c r="A96" s="642"/>
      <c r="B96" s="622"/>
      <c r="C96" s="623"/>
      <c r="D96" s="643" t="s">
        <v>957</v>
      </c>
      <c r="E96" s="623"/>
      <c r="F96" s="644">
        <v>1</v>
      </c>
      <c r="G96" s="637"/>
      <c r="H96" s="637"/>
      <c r="I96" s="660"/>
      <c r="J96" s="658"/>
      <c r="K96" s="595"/>
      <c r="L96" s="632"/>
      <c r="M96" s="632"/>
      <c r="N96" s="633"/>
      <c r="O96" s="632"/>
      <c r="P96" s="648"/>
      <c r="Q96" s="648"/>
      <c r="R96" s="649"/>
      <c r="S96" s="650"/>
    </row>
    <row r="97" spans="1:30" s="651" customFormat="1" ht="13.5" customHeight="1">
      <c r="A97" s="642"/>
      <c r="B97" s="622"/>
      <c r="C97" s="623"/>
      <c r="D97" s="643" t="s">
        <v>905</v>
      </c>
      <c r="E97" s="623"/>
      <c r="F97" s="644"/>
      <c r="G97" s="637"/>
      <c r="H97" s="637"/>
      <c r="I97" s="652"/>
      <c r="J97" s="658"/>
      <c r="K97" s="605"/>
      <c r="L97" s="632"/>
      <c r="M97" s="632"/>
      <c r="Y97" s="633"/>
      <c r="Z97" s="632"/>
      <c r="AA97" s="632"/>
      <c r="AB97" s="648"/>
      <c r="AC97" s="649"/>
      <c r="AD97" s="650"/>
    </row>
    <row r="98" spans="1:30" s="158" customFormat="1" ht="27" customHeight="1">
      <c r="A98" s="661">
        <v>22</v>
      </c>
      <c r="B98" s="336" t="s">
        <v>900</v>
      </c>
      <c r="C98" s="209" t="s">
        <v>958</v>
      </c>
      <c r="D98" s="624" t="s">
        <v>959</v>
      </c>
      <c r="E98" s="662" t="s">
        <v>210</v>
      </c>
      <c r="F98" s="663">
        <f>SUM(F100)</f>
        <v>1</v>
      </c>
      <c r="G98" s="664"/>
      <c r="H98" s="664">
        <f>F98*G98</f>
        <v>0</v>
      </c>
      <c r="I98" s="628" t="s">
        <v>112</v>
      </c>
      <c r="J98" s="656"/>
      <c r="K98" s="657"/>
      <c r="L98" s="657"/>
      <c r="M98" s="657"/>
    </row>
    <row r="99" spans="1:30" ht="27" customHeight="1">
      <c r="A99" s="186"/>
      <c r="B99" s="209"/>
      <c r="C99" s="209"/>
      <c r="D99" s="634" t="s">
        <v>946</v>
      </c>
      <c r="E99" s="209"/>
      <c r="F99" s="665"/>
      <c r="G99" s="666"/>
      <c r="H99" s="667"/>
      <c r="I99" s="638"/>
      <c r="J99" s="658"/>
      <c r="K99" s="612"/>
      <c r="L99" s="612"/>
    </row>
    <row r="100" spans="1:30" s="227" customFormat="1" ht="13.5" customHeight="1">
      <c r="A100" s="669"/>
      <c r="B100" s="336"/>
      <c r="C100" s="209"/>
      <c r="D100" s="221" t="s">
        <v>904</v>
      </c>
      <c r="E100" s="209"/>
      <c r="F100" s="224">
        <v>1</v>
      </c>
      <c r="G100" s="667"/>
      <c r="H100" s="667"/>
      <c r="I100" s="667"/>
      <c r="J100" s="658"/>
      <c r="K100" s="595"/>
      <c r="L100" s="668"/>
      <c r="M100" s="668"/>
      <c r="N100" s="670"/>
      <c r="O100" s="670"/>
      <c r="P100" s="670"/>
      <c r="Q100" s="670"/>
      <c r="R100" s="671"/>
      <c r="S100" s="672"/>
    </row>
    <row r="101" spans="1:30" s="227" customFormat="1" ht="13.5" customHeight="1">
      <c r="A101" s="669"/>
      <c r="B101" s="336"/>
      <c r="C101" s="209"/>
      <c r="D101" s="221" t="s">
        <v>905</v>
      </c>
      <c r="E101" s="209"/>
      <c r="F101" s="224"/>
      <c r="G101" s="667"/>
      <c r="H101" s="667"/>
      <c r="I101" s="652"/>
      <c r="J101" s="658"/>
      <c r="K101" s="605"/>
      <c r="L101" s="670"/>
      <c r="M101" s="673"/>
      <c r="N101" s="670"/>
      <c r="O101" s="670"/>
      <c r="P101" s="670"/>
      <c r="Q101" s="670"/>
      <c r="R101" s="671"/>
      <c r="S101" s="672"/>
    </row>
    <row r="102" spans="1:30" s="158" customFormat="1" ht="27" customHeight="1">
      <c r="A102" s="661">
        <v>23</v>
      </c>
      <c r="B102" s="336" t="s">
        <v>900</v>
      </c>
      <c r="C102" s="209" t="s">
        <v>960</v>
      </c>
      <c r="D102" s="624" t="s">
        <v>961</v>
      </c>
      <c r="E102" s="662"/>
      <c r="F102" s="663">
        <f>SUM(F104)</f>
        <v>1</v>
      </c>
      <c r="G102" s="664"/>
      <c r="H102" s="664">
        <f>F102*G102</f>
        <v>0</v>
      </c>
      <c r="I102" s="628" t="s">
        <v>112</v>
      </c>
      <c r="J102" s="656"/>
      <c r="K102" s="657"/>
      <c r="L102" s="657"/>
      <c r="M102" s="657"/>
    </row>
    <row r="103" spans="1:30" ht="27" customHeight="1">
      <c r="A103" s="186"/>
      <c r="B103" s="209"/>
      <c r="C103" s="209"/>
      <c r="D103" s="634" t="s">
        <v>962</v>
      </c>
      <c r="E103" s="209"/>
      <c r="F103" s="665"/>
      <c r="G103" s="666"/>
      <c r="H103" s="667"/>
      <c r="I103" s="638"/>
      <c r="J103" s="658"/>
      <c r="K103" s="612"/>
      <c r="L103" s="674"/>
    </row>
    <row r="104" spans="1:30" s="227" customFormat="1" ht="13.5" customHeight="1">
      <c r="A104" s="669"/>
      <c r="B104" s="336"/>
      <c r="C104" s="209"/>
      <c r="D104" s="221" t="s">
        <v>904</v>
      </c>
      <c r="E104" s="209"/>
      <c r="F104" s="224">
        <v>1</v>
      </c>
      <c r="G104" s="667"/>
      <c r="H104" s="667"/>
      <c r="I104" s="667"/>
      <c r="J104" s="658"/>
      <c r="K104" s="595"/>
      <c r="L104" s="668"/>
      <c r="M104" s="668"/>
      <c r="N104" s="670"/>
      <c r="O104" s="670"/>
      <c r="P104" s="670"/>
      <c r="Q104" s="670"/>
      <c r="R104" s="671"/>
      <c r="S104" s="672"/>
    </row>
    <row r="105" spans="1:30" s="227" customFormat="1" ht="13.5" customHeight="1">
      <c r="A105" s="669"/>
      <c r="B105" s="336"/>
      <c r="C105" s="209"/>
      <c r="D105" s="221" t="s">
        <v>905</v>
      </c>
      <c r="E105" s="209"/>
      <c r="F105" s="224"/>
      <c r="G105" s="667"/>
      <c r="H105" s="667"/>
      <c r="I105" s="652"/>
      <c r="J105" s="658"/>
      <c r="K105" s="605"/>
      <c r="L105" s="670"/>
      <c r="M105" s="670"/>
      <c r="N105" s="670"/>
      <c r="O105" s="670"/>
      <c r="P105" s="670"/>
      <c r="Q105" s="670"/>
      <c r="R105" s="671"/>
      <c r="S105" s="672"/>
    </row>
    <row r="106" spans="1:30" s="158" customFormat="1" ht="27" customHeight="1">
      <c r="A106" s="661">
        <v>24</v>
      </c>
      <c r="B106" s="336" t="s">
        <v>900</v>
      </c>
      <c r="C106" s="209" t="s">
        <v>963</v>
      </c>
      <c r="D106" s="624" t="s">
        <v>964</v>
      </c>
      <c r="E106" s="662" t="s">
        <v>210</v>
      </c>
      <c r="F106" s="663">
        <f>SUM(F108)</f>
        <v>1</v>
      </c>
      <c r="G106" s="664"/>
      <c r="H106" s="664">
        <f>F106*G106</f>
        <v>0</v>
      </c>
      <c r="I106" s="628" t="s">
        <v>112</v>
      </c>
      <c r="J106" s="656"/>
      <c r="K106" s="657"/>
      <c r="L106" s="657"/>
      <c r="M106" s="657"/>
    </row>
    <row r="107" spans="1:30" ht="27" customHeight="1">
      <c r="A107" s="186"/>
      <c r="B107" s="209"/>
      <c r="C107" s="209"/>
      <c r="D107" s="634" t="s">
        <v>943</v>
      </c>
      <c r="E107" s="209"/>
      <c r="F107" s="665"/>
      <c r="G107" s="666"/>
      <c r="H107" s="667"/>
      <c r="I107" s="638"/>
      <c r="J107" s="658"/>
      <c r="K107" s="612"/>
      <c r="L107" s="670"/>
      <c r="M107" s="670"/>
    </row>
    <row r="108" spans="1:30" s="227" customFormat="1" ht="13.5" customHeight="1">
      <c r="A108" s="669"/>
      <c r="B108" s="336"/>
      <c r="C108" s="209"/>
      <c r="D108" s="221" t="s">
        <v>904</v>
      </c>
      <c r="E108" s="209"/>
      <c r="F108" s="224">
        <v>1</v>
      </c>
      <c r="G108" s="667"/>
      <c r="H108" s="667"/>
      <c r="I108" s="675"/>
      <c r="J108" s="658"/>
      <c r="K108" s="595"/>
      <c r="L108" s="670"/>
      <c r="M108" s="670"/>
      <c r="N108" s="670"/>
      <c r="O108" s="670"/>
      <c r="P108" s="670"/>
      <c r="Q108" s="670"/>
      <c r="R108" s="671"/>
      <c r="S108" s="672"/>
    </row>
    <row r="109" spans="1:30" s="227" customFormat="1" ht="13.5" customHeight="1">
      <c r="A109" s="669"/>
      <c r="B109" s="336"/>
      <c r="C109" s="209"/>
      <c r="D109" s="221" t="s">
        <v>905</v>
      </c>
      <c r="E109" s="209"/>
      <c r="F109" s="224"/>
      <c r="G109" s="667"/>
      <c r="H109" s="667"/>
      <c r="I109" s="652"/>
      <c r="J109" s="658"/>
      <c r="K109" s="605"/>
      <c r="L109" s="670"/>
      <c r="M109" s="670"/>
      <c r="N109" s="670"/>
      <c r="O109" s="670"/>
      <c r="P109" s="670"/>
      <c r="Q109" s="670"/>
      <c r="R109" s="671"/>
      <c r="S109" s="672"/>
    </row>
    <row r="110" spans="1:30" s="158" customFormat="1" ht="27" customHeight="1">
      <c r="A110" s="661">
        <v>25</v>
      </c>
      <c r="B110" s="336" t="s">
        <v>900</v>
      </c>
      <c r="C110" s="209" t="s">
        <v>965</v>
      </c>
      <c r="D110" s="624" t="s">
        <v>966</v>
      </c>
      <c r="E110" s="662" t="s">
        <v>210</v>
      </c>
      <c r="F110" s="663">
        <f>SUM(F112)</f>
        <v>1</v>
      </c>
      <c r="G110" s="664"/>
      <c r="H110" s="664">
        <f>F110*G110</f>
        <v>0</v>
      </c>
      <c r="I110" s="628" t="s">
        <v>112</v>
      </c>
      <c r="J110" s="656"/>
      <c r="K110" s="657"/>
      <c r="L110" s="657"/>
      <c r="M110" s="657"/>
    </row>
    <row r="111" spans="1:30" ht="27" customHeight="1">
      <c r="A111" s="186"/>
      <c r="B111" s="209"/>
      <c r="C111" s="209"/>
      <c r="D111" s="634" t="s">
        <v>943</v>
      </c>
      <c r="E111" s="209"/>
      <c r="F111" s="665"/>
      <c r="G111" s="666"/>
      <c r="H111" s="667"/>
      <c r="I111" s="638"/>
      <c r="J111" s="658"/>
      <c r="K111" s="612"/>
      <c r="L111" s="670"/>
      <c r="M111" s="670"/>
    </row>
    <row r="112" spans="1:30" s="227" customFormat="1" ht="13.5" customHeight="1">
      <c r="A112" s="669"/>
      <c r="B112" s="336"/>
      <c r="C112" s="209"/>
      <c r="D112" s="221" t="s">
        <v>904</v>
      </c>
      <c r="E112" s="209"/>
      <c r="F112" s="224">
        <v>1</v>
      </c>
      <c r="G112" s="667"/>
      <c r="H112" s="667"/>
      <c r="I112" s="667"/>
      <c r="J112" s="658"/>
      <c r="K112" s="595"/>
      <c r="L112" s="670"/>
      <c r="M112" s="670"/>
      <c r="N112" s="670"/>
      <c r="O112" s="670"/>
      <c r="P112" s="670"/>
      <c r="Q112" s="670"/>
      <c r="R112" s="671"/>
      <c r="S112" s="672"/>
    </row>
    <row r="113" spans="1:19" s="227" customFormat="1" ht="13.5" customHeight="1">
      <c r="A113" s="669"/>
      <c r="B113" s="336"/>
      <c r="C113" s="209"/>
      <c r="D113" s="221" t="s">
        <v>905</v>
      </c>
      <c r="E113" s="209"/>
      <c r="F113" s="224"/>
      <c r="G113" s="667"/>
      <c r="H113" s="667"/>
      <c r="I113" s="652"/>
      <c r="J113" s="658"/>
      <c r="K113" s="605"/>
      <c r="L113" s="670"/>
      <c r="M113" s="670"/>
      <c r="N113" s="670"/>
      <c r="O113" s="670"/>
      <c r="P113" s="670"/>
      <c r="Q113" s="670"/>
      <c r="R113" s="671"/>
      <c r="S113" s="672"/>
    </row>
    <row r="114" spans="1:19" s="158" customFormat="1" ht="27" customHeight="1">
      <c r="A114" s="661">
        <v>26</v>
      </c>
      <c r="B114" s="336" t="s">
        <v>900</v>
      </c>
      <c r="C114" s="209" t="s">
        <v>967</v>
      </c>
      <c r="D114" s="624" t="s">
        <v>968</v>
      </c>
      <c r="E114" s="662" t="s">
        <v>210</v>
      </c>
      <c r="F114" s="663">
        <f>SUM(F116)</f>
        <v>1</v>
      </c>
      <c r="G114" s="664"/>
      <c r="H114" s="664">
        <f>F114*G114</f>
        <v>0</v>
      </c>
      <c r="I114" s="628" t="s">
        <v>112</v>
      </c>
      <c r="J114" s="656"/>
      <c r="K114" s="657"/>
      <c r="L114" s="657"/>
      <c r="M114" s="657"/>
    </row>
    <row r="115" spans="1:19" ht="27" customHeight="1">
      <c r="A115" s="186"/>
      <c r="B115" s="209"/>
      <c r="C115" s="209"/>
      <c r="D115" s="634" t="s">
        <v>969</v>
      </c>
      <c r="E115" s="209"/>
      <c r="F115" s="665"/>
      <c r="G115" s="666"/>
      <c r="H115" s="667"/>
      <c r="I115" s="638"/>
      <c r="J115" s="658"/>
      <c r="K115" s="612"/>
      <c r="L115" s="670"/>
      <c r="M115" s="670"/>
    </row>
    <row r="116" spans="1:19" s="227" customFormat="1" ht="13.5" customHeight="1">
      <c r="A116" s="669"/>
      <c r="B116" s="336"/>
      <c r="C116" s="209"/>
      <c r="D116" s="221" t="s">
        <v>904</v>
      </c>
      <c r="E116" s="209"/>
      <c r="F116" s="224">
        <v>1</v>
      </c>
      <c r="G116" s="667"/>
      <c r="H116" s="667"/>
      <c r="I116" s="667"/>
      <c r="J116" s="658"/>
      <c r="K116" s="595"/>
      <c r="L116" s="670"/>
      <c r="M116" s="670"/>
      <c r="N116" s="670"/>
      <c r="O116" s="670"/>
      <c r="P116" s="670"/>
      <c r="Q116" s="670"/>
      <c r="R116" s="671"/>
      <c r="S116" s="672"/>
    </row>
    <row r="117" spans="1:19" s="227" customFormat="1" ht="13.5" customHeight="1">
      <c r="A117" s="669"/>
      <c r="B117" s="336"/>
      <c r="C117" s="209"/>
      <c r="D117" s="221" t="s">
        <v>905</v>
      </c>
      <c r="E117" s="209"/>
      <c r="F117" s="224"/>
      <c r="G117" s="667"/>
      <c r="H117" s="667"/>
      <c r="I117" s="652"/>
      <c r="J117" s="658"/>
      <c r="K117" s="605"/>
      <c r="L117" s="670"/>
      <c r="M117" s="670"/>
      <c r="N117" s="670"/>
      <c r="O117" s="670"/>
      <c r="P117" s="670"/>
      <c r="Q117" s="670"/>
      <c r="R117" s="671"/>
      <c r="S117" s="672"/>
    </row>
    <row r="118" spans="1:19" s="158" customFormat="1" ht="27" customHeight="1">
      <c r="A118" s="661">
        <v>27</v>
      </c>
      <c r="B118" s="336" t="s">
        <v>900</v>
      </c>
      <c r="C118" s="209" t="s">
        <v>970</v>
      </c>
      <c r="D118" s="624" t="s">
        <v>971</v>
      </c>
      <c r="E118" s="662" t="s">
        <v>210</v>
      </c>
      <c r="F118" s="663">
        <f>SUM(F120)</f>
        <v>1</v>
      </c>
      <c r="G118" s="664"/>
      <c r="H118" s="664">
        <f>F118*G118</f>
        <v>0</v>
      </c>
      <c r="I118" s="628" t="s">
        <v>112</v>
      </c>
      <c r="J118" s="656"/>
      <c r="K118" s="657"/>
      <c r="L118" s="657"/>
      <c r="M118" s="657"/>
    </row>
    <row r="119" spans="1:19" ht="27" customHeight="1">
      <c r="A119" s="186"/>
      <c r="B119" s="209"/>
      <c r="C119" s="209"/>
      <c r="D119" s="634" t="s">
        <v>946</v>
      </c>
      <c r="E119" s="209"/>
      <c r="F119" s="665"/>
      <c r="G119" s="666"/>
      <c r="H119" s="667"/>
      <c r="I119" s="638"/>
      <c r="J119" s="658"/>
      <c r="K119" s="612"/>
      <c r="L119" s="670"/>
      <c r="M119" s="670"/>
    </row>
    <row r="120" spans="1:19" s="227" customFormat="1" ht="13.5" customHeight="1">
      <c r="A120" s="669"/>
      <c r="B120" s="336"/>
      <c r="C120" s="209"/>
      <c r="D120" s="221" t="s">
        <v>904</v>
      </c>
      <c r="E120" s="209"/>
      <c r="F120" s="224">
        <v>1</v>
      </c>
      <c r="G120" s="667"/>
      <c r="H120" s="667"/>
      <c r="I120" s="667"/>
      <c r="J120" s="658"/>
      <c r="K120" s="595"/>
      <c r="L120" s="670"/>
      <c r="M120" s="670"/>
      <c r="N120" s="670"/>
      <c r="O120" s="670"/>
      <c r="P120" s="670"/>
      <c r="Q120" s="670"/>
      <c r="R120" s="671"/>
      <c r="S120" s="672"/>
    </row>
    <row r="121" spans="1:19" s="227" customFormat="1" ht="13.5" customHeight="1">
      <c r="A121" s="669"/>
      <c r="B121" s="336"/>
      <c r="C121" s="209"/>
      <c r="D121" s="221" t="s">
        <v>905</v>
      </c>
      <c r="E121" s="209"/>
      <c r="F121" s="224"/>
      <c r="G121" s="667"/>
      <c r="H121" s="667"/>
      <c r="I121" s="652"/>
      <c r="J121" s="658"/>
      <c r="K121" s="605"/>
      <c r="L121" s="670"/>
      <c r="M121" s="670"/>
      <c r="N121" s="670"/>
      <c r="O121" s="670"/>
      <c r="P121" s="670"/>
      <c r="Q121" s="670"/>
      <c r="R121" s="671"/>
      <c r="S121" s="672"/>
    </row>
    <row r="122" spans="1:19" s="158" customFormat="1" ht="27" customHeight="1">
      <c r="A122" s="661">
        <v>28</v>
      </c>
      <c r="B122" s="336" t="s">
        <v>900</v>
      </c>
      <c r="C122" s="209" t="s">
        <v>972</v>
      </c>
      <c r="D122" s="624" t="s">
        <v>973</v>
      </c>
      <c r="E122" s="662" t="s">
        <v>210</v>
      </c>
      <c r="F122" s="663">
        <f>SUM(F124)</f>
        <v>1</v>
      </c>
      <c r="G122" s="664"/>
      <c r="H122" s="664">
        <f>F122*G122</f>
        <v>0</v>
      </c>
      <c r="I122" s="628" t="s">
        <v>112</v>
      </c>
      <c r="J122" s="656"/>
      <c r="K122" s="657"/>
      <c r="L122" s="657"/>
      <c r="M122" s="657"/>
    </row>
    <row r="123" spans="1:19" ht="27" customHeight="1">
      <c r="A123" s="186"/>
      <c r="B123" s="209"/>
      <c r="C123" s="209"/>
      <c r="D123" s="634" t="s">
        <v>943</v>
      </c>
      <c r="E123" s="209"/>
      <c r="F123" s="665"/>
      <c r="G123" s="666"/>
      <c r="H123" s="667"/>
      <c r="I123" s="638"/>
      <c r="J123" s="658"/>
      <c r="K123" s="612"/>
      <c r="L123" s="612"/>
    </row>
    <row r="124" spans="1:19" s="227" customFormat="1" ht="13.5" customHeight="1">
      <c r="A124" s="669"/>
      <c r="B124" s="336"/>
      <c r="C124" s="209"/>
      <c r="D124" s="221" t="s">
        <v>904</v>
      </c>
      <c r="E124" s="209"/>
      <c r="F124" s="224">
        <v>1</v>
      </c>
      <c r="G124" s="667"/>
      <c r="H124" s="667"/>
      <c r="I124" s="667"/>
      <c r="J124" s="658"/>
      <c r="K124" s="595"/>
      <c r="L124" s="668"/>
      <c r="M124" s="668"/>
      <c r="N124" s="670"/>
      <c r="O124" s="670"/>
      <c r="P124" s="670"/>
      <c r="Q124" s="670"/>
      <c r="R124" s="671"/>
      <c r="S124" s="672"/>
    </row>
    <row r="125" spans="1:19" s="227" customFormat="1" ht="13.5" customHeight="1">
      <c r="A125" s="669"/>
      <c r="B125" s="336"/>
      <c r="C125" s="209"/>
      <c r="D125" s="221" t="s">
        <v>905</v>
      </c>
      <c r="E125" s="209"/>
      <c r="F125" s="224"/>
      <c r="G125" s="667"/>
      <c r="H125" s="667"/>
      <c r="I125" s="652"/>
      <c r="J125" s="658"/>
      <c r="K125" s="605"/>
      <c r="L125" s="670"/>
      <c r="M125" s="670"/>
      <c r="N125" s="670"/>
      <c r="O125" s="670"/>
      <c r="P125" s="670"/>
      <c r="Q125" s="670"/>
      <c r="R125" s="671"/>
      <c r="S125" s="672"/>
    </row>
    <row r="126" spans="1:19" s="158" customFormat="1" ht="27" customHeight="1">
      <c r="A126" s="661">
        <v>29</v>
      </c>
      <c r="B126" s="336" t="s">
        <v>900</v>
      </c>
      <c r="C126" s="209" t="s">
        <v>974</v>
      </c>
      <c r="D126" s="624" t="s">
        <v>975</v>
      </c>
      <c r="E126" s="662" t="s">
        <v>210</v>
      </c>
      <c r="F126" s="663">
        <f>SUM(F128)</f>
        <v>1</v>
      </c>
      <c r="G126" s="664"/>
      <c r="H126" s="664">
        <f>F126*G126</f>
        <v>0</v>
      </c>
      <c r="I126" s="628" t="s">
        <v>112</v>
      </c>
      <c r="J126" s="656"/>
      <c r="K126" s="657"/>
      <c r="M126" s="657"/>
    </row>
    <row r="127" spans="1:19" ht="27" customHeight="1">
      <c r="A127" s="186"/>
      <c r="B127" s="209"/>
      <c r="C127" s="209"/>
      <c r="D127" s="634" t="s">
        <v>932</v>
      </c>
      <c r="E127" s="209"/>
      <c r="F127" s="665"/>
      <c r="G127" s="666"/>
      <c r="H127" s="667"/>
      <c r="I127" s="638"/>
      <c r="J127" s="658"/>
      <c r="K127" s="612"/>
    </row>
    <row r="128" spans="1:19" s="227" customFormat="1" ht="13.5" customHeight="1">
      <c r="A128" s="669"/>
      <c r="B128" s="336"/>
      <c r="C128" s="209"/>
      <c r="D128" s="221" t="s">
        <v>904</v>
      </c>
      <c r="E128" s="209"/>
      <c r="F128" s="224">
        <v>1</v>
      </c>
      <c r="G128" s="667"/>
      <c r="H128" s="667"/>
      <c r="I128" s="667"/>
      <c r="J128" s="658"/>
      <c r="K128" s="595"/>
      <c r="L128" s="670"/>
      <c r="M128" s="670"/>
      <c r="N128" s="670"/>
      <c r="O128" s="670"/>
      <c r="P128" s="670"/>
      <c r="Q128" s="670"/>
      <c r="R128" s="671"/>
      <c r="S128" s="672"/>
    </row>
    <row r="129" spans="1:19" s="227" customFormat="1" ht="13.5" customHeight="1">
      <c r="A129" s="669"/>
      <c r="B129" s="336"/>
      <c r="C129" s="209"/>
      <c r="D129" s="221" t="s">
        <v>905</v>
      </c>
      <c r="E129" s="209"/>
      <c r="F129" s="224"/>
      <c r="G129" s="667"/>
      <c r="H129" s="667"/>
      <c r="I129" s="652"/>
      <c r="J129" s="658"/>
      <c r="K129" s="605"/>
      <c r="L129" s="670"/>
      <c r="M129" s="670"/>
      <c r="N129" s="670"/>
      <c r="O129" s="670"/>
      <c r="P129" s="670"/>
      <c r="Q129" s="670"/>
      <c r="R129" s="671"/>
      <c r="S129" s="672"/>
    </row>
    <row r="130" spans="1:19" s="158" customFormat="1" ht="27" customHeight="1">
      <c r="A130" s="661">
        <v>30</v>
      </c>
      <c r="B130" s="336" t="s">
        <v>900</v>
      </c>
      <c r="C130" s="209" t="s">
        <v>976</v>
      </c>
      <c r="D130" s="624" t="s">
        <v>977</v>
      </c>
      <c r="E130" s="662" t="s">
        <v>210</v>
      </c>
      <c r="F130" s="663">
        <f>SUM(F132)</f>
        <v>1</v>
      </c>
      <c r="G130" s="664"/>
      <c r="H130" s="664">
        <f>F130*G130</f>
        <v>0</v>
      </c>
      <c r="I130" s="628" t="s">
        <v>112</v>
      </c>
      <c r="J130" s="656"/>
      <c r="K130" s="657"/>
      <c r="M130" s="657"/>
    </row>
    <row r="131" spans="1:19" ht="27" customHeight="1">
      <c r="A131" s="186"/>
      <c r="B131" s="209"/>
      <c r="C131" s="209"/>
      <c r="D131" s="634" t="s">
        <v>932</v>
      </c>
      <c r="E131" s="209"/>
      <c r="F131" s="665"/>
      <c r="G131" s="666"/>
      <c r="H131" s="667"/>
      <c r="I131" s="638"/>
      <c r="J131" s="658"/>
      <c r="K131" s="612"/>
    </row>
    <row r="132" spans="1:19" s="227" customFormat="1" ht="13.5" customHeight="1">
      <c r="A132" s="669"/>
      <c r="B132" s="336"/>
      <c r="C132" s="209"/>
      <c r="D132" s="221" t="s">
        <v>904</v>
      </c>
      <c r="E132" s="209"/>
      <c r="F132" s="224">
        <v>1</v>
      </c>
      <c r="G132" s="667"/>
      <c r="H132" s="667"/>
      <c r="I132" s="667"/>
      <c r="J132" s="658"/>
      <c r="K132" s="595"/>
      <c r="L132" s="670"/>
      <c r="M132" s="670"/>
      <c r="N132" s="670"/>
      <c r="O132" s="670"/>
      <c r="P132" s="670"/>
      <c r="Q132" s="670"/>
      <c r="R132" s="671"/>
      <c r="S132" s="672"/>
    </row>
    <row r="133" spans="1:19" s="227" customFormat="1" ht="13.5" customHeight="1">
      <c r="A133" s="669"/>
      <c r="B133" s="336"/>
      <c r="C133" s="209"/>
      <c r="D133" s="221" t="s">
        <v>905</v>
      </c>
      <c r="E133" s="209"/>
      <c r="F133" s="224"/>
      <c r="G133" s="667"/>
      <c r="H133" s="667"/>
      <c r="I133" s="652"/>
      <c r="J133" s="658"/>
      <c r="K133" s="605"/>
      <c r="L133" s="670"/>
      <c r="M133" s="670"/>
      <c r="N133" s="670"/>
      <c r="O133" s="670"/>
      <c r="P133" s="670"/>
      <c r="Q133" s="670"/>
      <c r="R133" s="671"/>
      <c r="S133" s="672"/>
    </row>
    <row r="134" spans="1:19" s="158" customFormat="1" ht="27" customHeight="1">
      <c r="A134" s="661">
        <v>31</v>
      </c>
      <c r="B134" s="336" t="s">
        <v>900</v>
      </c>
      <c r="C134" s="209" t="s">
        <v>978</v>
      </c>
      <c r="D134" s="624" t="s">
        <v>979</v>
      </c>
      <c r="E134" s="662" t="s">
        <v>210</v>
      </c>
      <c r="F134" s="663">
        <f>SUM(F136)</f>
        <v>1</v>
      </c>
      <c r="G134" s="664"/>
      <c r="H134" s="664">
        <f>F134*G134</f>
        <v>0</v>
      </c>
      <c r="I134" s="628" t="s">
        <v>112</v>
      </c>
      <c r="J134" s="656"/>
      <c r="K134" s="657"/>
      <c r="L134" s="657"/>
      <c r="M134" s="657"/>
    </row>
    <row r="135" spans="1:19" ht="27" customHeight="1">
      <c r="A135" s="186"/>
      <c r="B135" s="209"/>
      <c r="C135" s="209"/>
      <c r="D135" s="634" t="s">
        <v>943</v>
      </c>
      <c r="E135" s="209"/>
      <c r="F135" s="665"/>
      <c r="G135" s="666"/>
      <c r="H135" s="667"/>
      <c r="I135" s="638"/>
      <c r="J135" s="658"/>
      <c r="K135" s="612"/>
    </row>
    <row r="136" spans="1:19" s="227" customFormat="1" ht="13.5" customHeight="1">
      <c r="A136" s="669"/>
      <c r="B136" s="336"/>
      <c r="C136" s="209"/>
      <c r="D136" s="221" t="s">
        <v>904</v>
      </c>
      <c r="E136" s="209"/>
      <c r="F136" s="224">
        <v>1</v>
      </c>
      <c r="G136" s="667"/>
      <c r="H136" s="667"/>
      <c r="I136" s="667"/>
      <c r="J136" s="658"/>
      <c r="K136" s="595"/>
      <c r="L136" s="670"/>
      <c r="M136" s="670"/>
      <c r="N136" s="670"/>
      <c r="O136" s="670"/>
      <c r="P136" s="670"/>
      <c r="Q136" s="670"/>
      <c r="R136" s="671"/>
      <c r="S136" s="672"/>
    </row>
    <row r="137" spans="1:19" s="227" customFormat="1" ht="13.5" customHeight="1">
      <c r="A137" s="669"/>
      <c r="B137" s="336"/>
      <c r="C137" s="209"/>
      <c r="D137" s="221" t="s">
        <v>905</v>
      </c>
      <c r="E137" s="209"/>
      <c r="F137" s="224"/>
      <c r="G137" s="667"/>
      <c r="H137" s="667"/>
      <c r="I137" s="652"/>
      <c r="J137" s="658"/>
      <c r="K137" s="605"/>
      <c r="L137" s="670"/>
      <c r="M137" s="670"/>
      <c r="N137" s="670"/>
      <c r="O137" s="670"/>
      <c r="P137" s="670"/>
      <c r="Q137" s="670"/>
      <c r="R137" s="671"/>
      <c r="S137" s="672"/>
    </row>
    <row r="138" spans="1:19" s="158" customFormat="1" ht="27" customHeight="1">
      <c r="A138" s="661">
        <v>32</v>
      </c>
      <c r="B138" s="336" t="s">
        <v>900</v>
      </c>
      <c r="C138" s="209" t="s">
        <v>980</v>
      </c>
      <c r="D138" s="624" t="s">
        <v>981</v>
      </c>
      <c r="E138" s="662" t="s">
        <v>210</v>
      </c>
      <c r="F138" s="663">
        <f>SUM(F140)</f>
        <v>2</v>
      </c>
      <c r="G138" s="664"/>
      <c r="H138" s="664">
        <f>F138*G138</f>
        <v>0</v>
      </c>
      <c r="I138" s="628" t="s">
        <v>112</v>
      </c>
      <c r="J138" s="656"/>
      <c r="K138" s="657"/>
      <c r="L138" s="657"/>
      <c r="M138" s="657"/>
    </row>
    <row r="139" spans="1:19" ht="27" customHeight="1">
      <c r="A139" s="186"/>
      <c r="B139" s="209"/>
      <c r="C139" s="209"/>
      <c r="D139" s="634" t="s">
        <v>932</v>
      </c>
      <c r="E139" s="209"/>
      <c r="F139" s="665"/>
      <c r="G139" s="666"/>
      <c r="H139" s="667"/>
      <c r="I139" s="638"/>
      <c r="J139" s="658"/>
      <c r="K139" s="612"/>
      <c r="L139" s="674"/>
    </row>
    <row r="140" spans="1:19" s="227" customFormat="1" ht="13.5" customHeight="1">
      <c r="A140" s="669"/>
      <c r="B140" s="336"/>
      <c r="C140" s="209"/>
      <c r="D140" s="221" t="s">
        <v>904</v>
      </c>
      <c r="E140" s="209"/>
      <c r="F140" s="224">
        <v>2</v>
      </c>
      <c r="G140" s="667"/>
      <c r="H140" s="667"/>
      <c r="I140" s="667"/>
      <c r="J140" s="658"/>
      <c r="K140" s="595"/>
      <c r="L140" s="670"/>
      <c r="M140" s="670"/>
      <c r="N140" s="670"/>
      <c r="O140" s="670"/>
      <c r="P140" s="670"/>
      <c r="Q140" s="670"/>
      <c r="R140" s="671"/>
      <c r="S140" s="672"/>
    </row>
    <row r="141" spans="1:19" s="227" customFormat="1" ht="13.5" customHeight="1">
      <c r="A141" s="669"/>
      <c r="B141" s="336"/>
      <c r="C141" s="209"/>
      <c r="D141" s="221" t="s">
        <v>905</v>
      </c>
      <c r="E141" s="209"/>
      <c r="F141" s="224"/>
      <c r="G141" s="667"/>
      <c r="H141" s="667"/>
      <c r="I141" s="652"/>
      <c r="J141" s="658"/>
      <c r="K141" s="605"/>
      <c r="L141" s="670"/>
      <c r="M141" s="670"/>
      <c r="N141" s="670"/>
      <c r="O141" s="670"/>
      <c r="P141" s="670"/>
      <c r="Q141" s="670"/>
      <c r="R141" s="671"/>
      <c r="S141" s="672"/>
    </row>
    <row r="142" spans="1:19" s="158" customFormat="1" ht="27" customHeight="1">
      <c r="A142" s="661">
        <v>33</v>
      </c>
      <c r="B142" s="336" t="s">
        <v>900</v>
      </c>
      <c r="C142" s="209" t="s">
        <v>982</v>
      </c>
      <c r="D142" s="624" t="s">
        <v>983</v>
      </c>
      <c r="E142" s="662" t="s">
        <v>210</v>
      </c>
      <c r="F142" s="663">
        <f>SUM(F144)</f>
        <v>1</v>
      </c>
      <c r="G142" s="664"/>
      <c r="H142" s="664">
        <f>F142*G142</f>
        <v>0</v>
      </c>
      <c r="I142" s="628" t="s">
        <v>112</v>
      </c>
      <c r="J142" s="656"/>
      <c r="K142" s="657"/>
      <c r="L142" s="657"/>
      <c r="M142" s="657"/>
    </row>
    <row r="143" spans="1:19" ht="27" customHeight="1">
      <c r="A143" s="186"/>
      <c r="B143" s="209"/>
      <c r="C143" s="209"/>
      <c r="D143" s="634" t="s">
        <v>969</v>
      </c>
      <c r="E143" s="209"/>
      <c r="F143" s="665"/>
      <c r="G143" s="666"/>
      <c r="H143" s="667"/>
      <c r="I143" s="638"/>
      <c r="J143" s="658"/>
      <c r="K143" s="612"/>
      <c r="L143" s="674"/>
      <c r="M143" s="670"/>
    </row>
    <row r="144" spans="1:19" s="227" customFormat="1" ht="13.5" customHeight="1">
      <c r="A144" s="669"/>
      <c r="B144" s="336"/>
      <c r="C144" s="209"/>
      <c r="D144" s="221" t="s">
        <v>904</v>
      </c>
      <c r="E144" s="209"/>
      <c r="F144" s="224">
        <v>1</v>
      </c>
      <c r="G144" s="667"/>
      <c r="H144" s="667"/>
      <c r="I144" s="667"/>
      <c r="J144" s="658"/>
      <c r="K144" s="595"/>
      <c r="L144" s="670"/>
      <c r="M144" s="670"/>
      <c r="N144" s="670"/>
      <c r="O144" s="670"/>
      <c r="P144" s="670"/>
      <c r="Q144" s="670"/>
      <c r="R144" s="671"/>
      <c r="S144" s="672"/>
    </row>
    <row r="145" spans="1:19" s="227" customFormat="1" ht="13.5" customHeight="1">
      <c r="A145" s="669"/>
      <c r="B145" s="336"/>
      <c r="C145" s="209"/>
      <c r="D145" s="221" t="s">
        <v>905</v>
      </c>
      <c r="E145" s="209"/>
      <c r="F145" s="224"/>
      <c r="G145" s="667"/>
      <c r="H145" s="667"/>
      <c r="I145" s="652"/>
      <c r="J145" s="658"/>
      <c r="K145" s="605"/>
      <c r="L145" s="670"/>
      <c r="M145" s="670"/>
      <c r="N145" s="670"/>
      <c r="O145" s="670"/>
      <c r="P145" s="670"/>
      <c r="Q145" s="670"/>
      <c r="R145" s="671"/>
      <c r="S145" s="672"/>
    </row>
    <row r="146" spans="1:19" s="158" customFormat="1" ht="27" customHeight="1">
      <c r="A146" s="661">
        <v>34</v>
      </c>
      <c r="B146" s="336" t="s">
        <v>900</v>
      </c>
      <c r="C146" s="209" t="s">
        <v>984</v>
      </c>
      <c r="D146" s="624" t="s">
        <v>985</v>
      </c>
      <c r="E146" s="662" t="s">
        <v>210</v>
      </c>
      <c r="F146" s="663">
        <f>SUM(F148)</f>
        <v>1</v>
      </c>
      <c r="G146" s="664"/>
      <c r="H146" s="664">
        <f>F146*G146</f>
        <v>0</v>
      </c>
      <c r="I146" s="628" t="s">
        <v>112</v>
      </c>
      <c r="J146" s="656"/>
      <c r="K146" s="657"/>
      <c r="L146" s="657"/>
      <c r="M146" s="657"/>
    </row>
    <row r="147" spans="1:19" ht="27" customHeight="1">
      <c r="A147" s="186"/>
      <c r="B147" s="209"/>
      <c r="C147" s="209"/>
      <c r="D147" s="634" t="s">
        <v>943</v>
      </c>
      <c r="E147" s="209"/>
      <c r="F147" s="665"/>
      <c r="G147" s="666"/>
      <c r="H147" s="667"/>
      <c r="I147" s="638"/>
      <c r="J147" s="658"/>
      <c r="K147" s="612"/>
    </row>
    <row r="148" spans="1:19" s="227" customFormat="1" ht="13.5" customHeight="1">
      <c r="A148" s="669"/>
      <c r="B148" s="336"/>
      <c r="C148" s="209"/>
      <c r="D148" s="221" t="s">
        <v>904</v>
      </c>
      <c r="E148" s="209"/>
      <c r="F148" s="224">
        <v>1</v>
      </c>
      <c r="G148" s="667"/>
      <c r="H148" s="667"/>
      <c r="I148" s="667"/>
      <c r="J148" s="658"/>
      <c r="K148" s="595"/>
      <c r="L148" s="670"/>
      <c r="M148" s="670"/>
      <c r="N148" s="670"/>
      <c r="O148" s="670"/>
      <c r="P148" s="670"/>
      <c r="Q148" s="670"/>
      <c r="R148" s="671"/>
      <c r="S148" s="672"/>
    </row>
    <row r="149" spans="1:19" s="227" customFormat="1" ht="13.5" customHeight="1">
      <c r="A149" s="669"/>
      <c r="B149" s="336"/>
      <c r="C149" s="209"/>
      <c r="D149" s="221" t="s">
        <v>905</v>
      </c>
      <c r="E149" s="209"/>
      <c r="F149" s="224"/>
      <c r="G149" s="667"/>
      <c r="H149" s="667"/>
      <c r="I149" s="652"/>
      <c r="J149" s="658"/>
      <c r="K149" s="605"/>
      <c r="L149" s="670"/>
      <c r="M149" s="670"/>
      <c r="N149" s="670"/>
      <c r="O149" s="670"/>
      <c r="P149" s="670"/>
      <c r="Q149" s="670"/>
      <c r="R149" s="671"/>
      <c r="S149" s="672"/>
    </row>
    <row r="150" spans="1:19" s="158" customFormat="1" ht="27" customHeight="1">
      <c r="A150" s="661">
        <v>35</v>
      </c>
      <c r="B150" s="336" t="s">
        <v>900</v>
      </c>
      <c r="C150" s="209" t="s">
        <v>986</v>
      </c>
      <c r="D150" s="624" t="s">
        <v>987</v>
      </c>
      <c r="E150" s="662" t="s">
        <v>210</v>
      </c>
      <c r="F150" s="663">
        <f>SUM(F152)</f>
        <v>1</v>
      </c>
      <c r="G150" s="664"/>
      <c r="H150" s="664">
        <f>F150*G150</f>
        <v>0</v>
      </c>
      <c r="I150" s="628" t="s">
        <v>112</v>
      </c>
      <c r="J150" s="656"/>
      <c r="K150" s="657"/>
      <c r="L150" s="657"/>
      <c r="M150" s="657"/>
    </row>
    <row r="151" spans="1:19" ht="27" customHeight="1">
      <c r="A151" s="186"/>
      <c r="B151" s="209"/>
      <c r="C151" s="209"/>
      <c r="D151" s="634" t="s">
        <v>988</v>
      </c>
      <c r="E151" s="209"/>
      <c r="F151" s="665"/>
      <c r="G151" s="666"/>
      <c r="H151" s="667"/>
      <c r="I151" s="638"/>
      <c r="J151" s="658"/>
      <c r="K151" s="612"/>
    </row>
    <row r="152" spans="1:19" s="227" customFormat="1" ht="13.5" customHeight="1">
      <c r="A152" s="669"/>
      <c r="B152" s="336"/>
      <c r="C152" s="209"/>
      <c r="D152" s="221" t="s">
        <v>904</v>
      </c>
      <c r="E152" s="209"/>
      <c r="F152" s="224">
        <v>1</v>
      </c>
      <c r="G152" s="667"/>
      <c r="H152" s="667"/>
      <c r="I152" s="667"/>
      <c r="J152" s="658"/>
      <c r="K152" s="595"/>
      <c r="L152" s="670"/>
      <c r="M152" s="670"/>
      <c r="N152" s="670"/>
      <c r="O152" s="670"/>
      <c r="P152" s="670"/>
      <c r="Q152" s="670"/>
      <c r="R152" s="671"/>
      <c r="S152" s="672"/>
    </row>
    <row r="153" spans="1:19" s="227" customFormat="1" ht="13.5" customHeight="1">
      <c r="A153" s="669"/>
      <c r="B153" s="336"/>
      <c r="C153" s="209"/>
      <c r="D153" s="221" t="s">
        <v>905</v>
      </c>
      <c r="E153" s="209"/>
      <c r="F153" s="224"/>
      <c r="G153" s="667"/>
      <c r="H153" s="667"/>
      <c r="I153" s="652"/>
      <c r="J153" s="658"/>
      <c r="K153" s="605"/>
      <c r="L153" s="670"/>
      <c r="M153" s="670"/>
      <c r="N153" s="670"/>
      <c r="O153" s="670"/>
      <c r="P153" s="670"/>
      <c r="Q153" s="670"/>
      <c r="R153" s="671"/>
      <c r="S153" s="672"/>
    </row>
    <row r="154" spans="1:19" s="158" customFormat="1" ht="27" customHeight="1">
      <c r="A154" s="661">
        <v>36</v>
      </c>
      <c r="B154" s="336" t="s">
        <v>900</v>
      </c>
      <c r="C154" s="209" t="s">
        <v>989</v>
      </c>
      <c r="D154" s="624" t="s">
        <v>990</v>
      </c>
      <c r="E154" s="662" t="s">
        <v>210</v>
      </c>
      <c r="F154" s="663">
        <f>SUM(F156)</f>
        <v>1</v>
      </c>
      <c r="G154" s="664"/>
      <c r="H154" s="664">
        <f>F154*G154</f>
        <v>0</v>
      </c>
      <c r="I154" s="628" t="s">
        <v>112</v>
      </c>
      <c r="J154" s="656"/>
      <c r="K154" s="657"/>
      <c r="L154" s="657"/>
      <c r="M154" s="657"/>
    </row>
    <row r="155" spans="1:19" ht="27" customHeight="1">
      <c r="A155" s="186"/>
      <c r="B155" s="209"/>
      <c r="C155" s="209"/>
      <c r="D155" s="634" t="s">
        <v>991</v>
      </c>
      <c r="E155" s="209"/>
      <c r="F155" s="665"/>
      <c r="G155" s="666"/>
      <c r="H155" s="667"/>
      <c r="I155" s="638"/>
      <c r="J155" s="658"/>
      <c r="K155" s="612"/>
    </row>
    <row r="156" spans="1:19" s="227" customFormat="1" ht="13.5" customHeight="1">
      <c r="A156" s="669"/>
      <c r="B156" s="336"/>
      <c r="C156" s="209"/>
      <c r="D156" s="221" t="s">
        <v>904</v>
      </c>
      <c r="E156" s="209"/>
      <c r="F156" s="224">
        <v>1</v>
      </c>
      <c r="G156" s="667"/>
      <c r="H156" s="667"/>
      <c r="I156" s="667"/>
      <c r="J156" s="658"/>
      <c r="K156" s="595"/>
      <c r="L156" s="670"/>
      <c r="M156" s="670"/>
      <c r="N156" s="670"/>
      <c r="O156" s="670"/>
      <c r="P156" s="670"/>
      <c r="Q156" s="670"/>
      <c r="R156" s="671"/>
      <c r="S156" s="672"/>
    </row>
    <row r="157" spans="1:19" s="227" customFormat="1" ht="13.5" customHeight="1">
      <c r="A157" s="669"/>
      <c r="B157" s="336"/>
      <c r="C157" s="209"/>
      <c r="D157" s="221" t="s">
        <v>905</v>
      </c>
      <c r="E157" s="209"/>
      <c r="F157" s="224"/>
      <c r="G157" s="667"/>
      <c r="H157" s="667"/>
      <c r="I157" s="652"/>
      <c r="J157" s="658"/>
      <c r="K157" s="605"/>
      <c r="L157" s="670"/>
      <c r="M157" s="670"/>
      <c r="N157" s="670"/>
      <c r="O157" s="670"/>
      <c r="P157" s="670"/>
      <c r="Q157" s="670"/>
      <c r="R157" s="671"/>
      <c r="S157" s="672"/>
    </row>
    <row r="158" spans="1:19" s="158" customFormat="1" ht="27" customHeight="1">
      <c r="A158" s="661">
        <v>37</v>
      </c>
      <c r="B158" s="336" t="s">
        <v>900</v>
      </c>
      <c r="C158" s="209" t="s">
        <v>992</v>
      </c>
      <c r="D158" s="624" t="s">
        <v>993</v>
      </c>
      <c r="E158" s="662" t="s">
        <v>210</v>
      </c>
      <c r="F158" s="663">
        <f>SUM(F160)</f>
        <v>1</v>
      </c>
      <c r="G158" s="664"/>
      <c r="H158" s="664">
        <f>F158*G158</f>
        <v>0</v>
      </c>
      <c r="I158" s="628" t="s">
        <v>112</v>
      </c>
      <c r="J158" s="656"/>
      <c r="K158" s="657"/>
      <c r="L158" s="657"/>
      <c r="M158" s="657"/>
    </row>
    <row r="159" spans="1:19" ht="27" customHeight="1">
      <c r="A159" s="186"/>
      <c r="B159" s="209"/>
      <c r="C159" s="209"/>
      <c r="D159" s="634" t="s">
        <v>994</v>
      </c>
      <c r="E159" s="209"/>
      <c r="F159" s="665"/>
      <c r="G159" s="666"/>
      <c r="H159" s="667"/>
      <c r="I159" s="638"/>
      <c r="J159" s="658"/>
      <c r="K159" s="612"/>
    </row>
    <row r="160" spans="1:19" s="227" customFormat="1" ht="13.5" customHeight="1">
      <c r="A160" s="669"/>
      <c r="B160" s="336"/>
      <c r="C160" s="209"/>
      <c r="D160" s="221" t="s">
        <v>904</v>
      </c>
      <c r="E160" s="209"/>
      <c r="F160" s="224">
        <v>1</v>
      </c>
      <c r="G160" s="667"/>
      <c r="H160" s="667"/>
      <c r="I160" s="667"/>
      <c r="J160" s="658"/>
      <c r="K160" s="595"/>
      <c r="L160" s="670"/>
      <c r="M160" s="670"/>
      <c r="N160" s="670"/>
      <c r="O160" s="670"/>
      <c r="P160" s="670"/>
      <c r="Q160" s="670"/>
      <c r="R160" s="671"/>
      <c r="S160" s="672"/>
    </row>
    <row r="161" spans="1:19" s="227" customFormat="1" ht="13.5" customHeight="1">
      <c r="A161" s="669"/>
      <c r="B161" s="336"/>
      <c r="C161" s="209"/>
      <c r="D161" s="221" t="s">
        <v>905</v>
      </c>
      <c r="E161" s="209"/>
      <c r="F161" s="224"/>
      <c r="G161" s="667"/>
      <c r="H161" s="667"/>
      <c r="I161" s="652"/>
      <c r="J161" s="658"/>
      <c r="K161" s="605"/>
      <c r="L161" s="670"/>
      <c r="M161" s="670"/>
      <c r="N161" s="670"/>
      <c r="O161" s="670"/>
      <c r="P161" s="670"/>
      <c r="Q161" s="670"/>
      <c r="R161" s="671"/>
      <c r="S161" s="672"/>
    </row>
    <row r="162" spans="1:19" s="158" customFormat="1" ht="27" customHeight="1">
      <c r="A162" s="661">
        <v>38</v>
      </c>
      <c r="B162" s="336" t="s">
        <v>900</v>
      </c>
      <c r="C162" s="209" t="s">
        <v>995</v>
      </c>
      <c r="D162" s="624" t="s">
        <v>996</v>
      </c>
      <c r="E162" s="662" t="s">
        <v>210</v>
      </c>
      <c r="F162" s="663">
        <f>SUM(F164)</f>
        <v>1</v>
      </c>
      <c r="G162" s="664"/>
      <c r="H162" s="664">
        <f>F162*G162</f>
        <v>0</v>
      </c>
      <c r="I162" s="628" t="s">
        <v>112</v>
      </c>
      <c r="J162" s="656"/>
      <c r="K162" s="657"/>
      <c r="L162" s="657"/>
      <c r="M162" s="657"/>
    </row>
    <row r="163" spans="1:19" ht="27" customHeight="1">
      <c r="A163" s="186"/>
      <c r="B163" s="209"/>
      <c r="C163" s="209"/>
      <c r="D163" s="634" t="s">
        <v>943</v>
      </c>
      <c r="E163" s="209"/>
      <c r="F163" s="665"/>
      <c r="G163" s="666"/>
      <c r="H163" s="667"/>
      <c r="I163" s="638"/>
      <c r="J163" s="658"/>
      <c r="K163" s="612"/>
    </row>
    <row r="164" spans="1:19" s="227" customFormat="1" ht="13.5" customHeight="1">
      <c r="A164" s="669"/>
      <c r="B164" s="336"/>
      <c r="C164" s="209"/>
      <c r="D164" s="221" t="s">
        <v>904</v>
      </c>
      <c r="E164" s="209"/>
      <c r="F164" s="224">
        <v>1</v>
      </c>
      <c r="G164" s="667"/>
      <c r="H164" s="667"/>
      <c r="I164" s="667"/>
      <c r="J164" s="658"/>
      <c r="K164" s="595"/>
      <c r="L164" s="670"/>
      <c r="M164" s="670"/>
      <c r="N164" s="670"/>
      <c r="O164" s="670"/>
      <c r="P164" s="670"/>
      <c r="Q164" s="670"/>
      <c r="R164" s="671"/>
      <c r="S164" s="672"/>
    </row>
    <row r="165" spans="1:19" s="227" customFormat="1" ht="13.5" customHeight="1">
      <c r="A165" s="669"/>
      <c r="B165" s="336"/>
      <c r="C165" s="209"/>
      <c r="D165" s="221" t="s">
        <v>905</v>
      </c>
      <c r="E165" s="209"/>
      <c r="F165" s="224"/>
      <c r="G165" s="667"/>
      <c r="H165" s="667"/>
      <c r="I165" s="652"/>
      <c r="J165" s="658"/>
      <c r="K165" s="605"/>
      <c r="L165" s="670"/>
      <c r="M165" s="670"/>
      <c r="N165" s="670"/>
      <c r="O165" s="670"/>
      <c r="P165" s="670"/>
      <c r="Q165" s="670"/>
      <c r="R165" s="671"/>
      <c r="S165" s="672"/>
    </row>
    <row r="166" spans="1:19" s="158" customFormat="1" ht="27" customHeight="1">
      <c r="A166" s="661">
        <v>39</v>
      </c>
      <c r="B166" s="336" t="s">
        <v>900</v>
      </c>
      <c r="C166" s="209" t="s">
        <v>997</v>
      </c>
      <c r="D166" s="624" t="s">
        <v>998</v>
      </c>
      <c r="E166" s="662" t="s">
        <v>210</v>
      </c>
      <c r="F166" s="663">
        <f>SUM(F168)</f>
        <v>1</v>
      </c>
      <c r="G166" s="664"/>
      <c r="H166" s="664">
        <f>F166*G166</f>
        <v>0</v>
      </c>
      <c r="I166" s="628" t="s">
        <v>112</v>
      </c>
      <c r="J166" s="656"/>
      <c r="K166" s="657"/>
      <c r="L166" s="657"/>
      <c r="M166" s="657"/>
    </row>
    <row r="167" spans="1:19" ht="27" customHeight="1">
      <c r="A167" s="186"/>
      <c r="B167" s="209"/>
      <c r="C167" s="209"/>
      <c r="D167" s="634" t="s">
        <v>932</v>
      </c>
      <c r="E167" s="209"/>
      <c r="F167" s="665"/>
      <c r="G167" s="666"/>
      <c r="H167" s="667"/>
      <c r="I167" s="638"/>
      <c r="J167" s="658"/>
      <c r="K167" s="612"/>
    </row>
    <row r="168" spans="1:19" s="227" customFormat="1" ht="13.5" customHeight="1">
      <c r="A168" s="669"/>
      <c r="B168" s="336"/>
      <c r="C168" s="209"/>
      <c r="D168" s="221" t="s">
        <v>904</v>
      </c>
      <c r="E168" s="209"/>
      <c r="F168" s="224">
        <v>1</v>
      </c>
      <c r="G168" s="667"/>
      <c r="H168" s="667"/>
      <c r="I168" s="667"/>
      <c r="J168" s="658"/>
      <c r="K168" s="595"/>
      <c r="L168" s="670"/>
      <c r="M168" s="670"/>
      <c r="N168" s="670"/>
      <c r="O168" s="670"/>
      <c r="P168" s="670"/>
      <c r="Q168" s="670"/>
      <c r="R168" s="671"/>
      <c r="S168" s="672"/>
    </row>
    <row r="169" spans="1:19" s="227" customFormat="1" ht="13.5" customHeight="1">
      <c r="A169" s="669"/>
      <c r="B169" s="336"/>
      <c r="C169" s="209"/>
      <c r="D169" s="221" t="s">
        <v>905</v>
      </c>
      <c r="E169" s="209"/>
      <c r="F169" s="224"/>
      <c r="G169" s="667"/>
      <c r="H169" s="667"/>
      <c r="I169" s="652"/>
      <c r="J169" s="658"/>
      <c r="K169" s="605"/>
      <c r="L169" s="670"/>
      <c r="M169" s="670"/>
      <c r="N169" s="670"/>
      <c r="O169" s="670"/>
      <c r="P169" s="670"/>
      <c r="Q169" s="670"/>
      <c r="R169" s="671"/>
      <c r="S169" s="672"/>
    </row>
    <row r="170" spans="1:19" s="158" customFormat="1" ht="27" customHeight="1">
      <c r="A170" s="661">
        <v>40</v>
      </c>
      <c r="B170" s="336" t="s">
        <v>900</v>
      </c>
      <c r="C170" s="209" t="s">
        <v>999</v>
      </c>
      <c r="D170" s="624" t="s">
        <v>1000</v>
      </c>
      <c r="E170" s="662" t="s">
        <v>210</v>
      </c>
      <c r="F170" s="663">
        <f>SUM(F172)</f>
        <v>1</v>
      </c>
      <c r="G170" s="664"/>
      <c r="H170" s="664">
        <f>F170*G170</f>
        <v>0</v>
      </c>
      <c r="I170" s="628" t="s">
        <v>112</v>
      </c>
      <c r="J170" s="656"/>
      <c r="K170" s="657"/>
      <c r="L170" s="657"/>
      <c r="M170" s="657"/>
    </row>
    <row r="171" spans="1:19" ht="27" customHeight="1">
      <c r="A171" s="186"/>
      <c r="B171" s="209"/>
      <c r="C171" s="209"/>
      <c r="D171" s="634" t="s">
        <v>932</v>
      </c>
      <c r="E171" s="209"/>
      <c r="F171" s="665"/>
      <c r="G171" s="666"/>
      <c r="H171" s="667"/>
      <c r="I171" s="638"/>
      <c r="J171" s="658"/>
      <c r="K171" s="612"/>
    </row>
    <row r="172" spans="1:19" s="227" customFormat="1" ht="13.5" customHeight="1">
      <c r="A172" s="669"/>
      <c r="B172" s="336"/>
      <c r="C172" s="209"/>
      <c r="D172" s="221" t="s">
        <v>904</v>
      </c>
      <c r="E172" s="209"/>
      <c r="F172" s="224">
        <v>1</v>
      </c>
      <c r="G172" s="667"/>
      <c r="H172" s="667"/>
      <c r="I172" s="667"/>
      <c r="J172" s="658"/>
      <c r="K172" s="595"/>
      <c r="L172" s="670"/>
      <c r="M172" s="670"/>
      <c r="N172" s="670"/>
      <c r="O172" s="670"/>
      <c r="P172" s="670"/>
      <c r="Q172" s="670"/>
      <c r="R172" s="671"/>
      <c r="S172" s="672"/>
    </row>
    <row r="173" spans="1:19" s="227" customFormat="1" ht="13.5" customHeight="1">
      <c r="A173" s="669"/>
      <c r="B173" s="336"/>
      <c r="C173" s="209"/>
      <c r="D173" s="221" t="s">
        <v>905</v>
      </c>
      <c r="E173" s="209"/>
      <c r="F173" s="224"/>
      <c r="G173" s="667"/>
      <c r="H173" s="667"/>
      <c r="I173" s="652"/>
      <c r="J173" s="658"/>
      <c r="K173" s="605"/>
      <c r="L173" s="670"/>
      <c r="M173" s="670"/>
      <c r="N173" s="670"/>
      <c r="O173" s="670"/>
      <c r="P173" s="670"/>
      <c r="Q173" s="670"/>
      <c r="R173" s="671"/>
      <c r="S173" s="672"/>
    </row>
    <row r="174" spans="1:19" s="158" customFormat="1" ht="27" customHeight="1">
      <c r="A174" s="661">
        <v>41</v>
      </c>
      <c r="B174" s="336" t="s">
        <v>900</v>
      </c>
      <c r="C174" s="209" t="s">
        <v>1001</v>
      </c>
      <c r="D174" s="624" t="s">
        <v>1002</v>
      </c>
      <c r="E174" s="662" t="s">
        <v>210</v>
      </c>
      <c r="F174" s="663">
        <f>SUM(F176)</f>
        <v>1</v>
      </c>
      <c r="G174" s="664"/>
      <c r="H174" s="664">
        <f>F174*G174</f>
        <v>0</v>
      </c>
      <c r="I174" s="628" t="s">
        <v>112</v>
      </c>
      <c r="J174" s="656"/>
      <c r="K174" s="657"/>
      <c r="L174" s="657"/>
      <c r="M174" s="657"/>
    </row>
    <row r="175" spans="1:19" ht="27" customHeight="1">
      <c r="A175" s="186"/>
      <c r="B175" s="209"/>
      <c r="C175" s="209"/>
      <c r="D175" s="634" t="s">
        <v>943</v>
      </c>
      <c r="E175" s="209"/>
      <c r="F175" s="665"/>
      <c r="G175" s="666"/>
      <c r="H175" s="667"/>
      <c r="I175" s="638"/>
      <c r="J175" s="658"/>
      <c r="K175" s="612"/>
    </row>
    <row r="176" spans="1:19" s="227" customFormat="1" ht="13.5" customHeight="1">
      <c r="A176" s="669"/>
      <c r="B176" s="336"/>
      <c r="C176" s="209"/>
      <c r="D176" s="221" t="s">
        <v>904</v>
      </c>
      <c r="E176" s="209"/>
      <c r="F176" s="224">
        <v>1</v>
      </c>
      <c r="G176" s="667"/>
      <c r="H176" s="667"/>
      <c r="I176" s="667"/>
      <c r="J176" s="658"/>
      <c r="K176" s="595"/>
      <c r="L176" s="670"/>
      <c r="M176" s="670"/>
      <c r="N176" s="670"/>
      <c r="O176" s="670"/>
      <c r="P176" s="670"/>
      <c r="Q176" s="670"/>
      <c r="R176" s="671"/>
      <c r="S176" s="672"/>
    </row>
    <row r="177" spans="1:19" s="227" customFormat="1" ht="13.5" customHeight="1">
      <c r="A177" s="669"/>
      <c r="B177" s="336"/>
      <c r="C177" s="209"/>
      <c r="D177" s="221" t="s">
        <v>905</v>
      </c>
      <c r="E177" s="209"/>
      <c r="F177" s="224"/>
      <c r="G177" s="667"/>
      <c r="H177" s="667"/>
      <c r="I177" s="652"/>
      <c r="J177" s="658"/>
      <c r="K177" s="605"/>
      <c r="L177" s="670"/>
      <c r="M177" s="670"/>
      <c r="N177" s="670"/>
      <c r="O177" s="670"/>
      <c r="P177" s="670"/>
      <c r="Q177" s="670"/>
      <c r="R177" s="671"/>
      <c r="S177" s="672"/>
    </row>
    <row r="178" spans="1:19" s="158" customFormat="1" ht="27" customHeight="1">
      <c r="A178" s="661">
        <v>42</v>
      </c>
      <c r="B178" s="336" t="s">
        <v>900</v>
      </c>
      <c r="C178" s="209" t="s">
        <v>1003</v>
      </c>
      <c r="D178" s="624" t="s">
        <v>1004</v>
      </c>
      <c r="E178" s="662" t="s">
        <v>210</v>
      </c>
      <c r="F178" s="663">
        <f>SUM(F180)</f>
        <v>1</v>
      </c>
      <c r="G178" s="664"/>
      <c r="H178" s="664">
        <f>F178*G178</f>
        <v>0</v>
      </c>
      <c r="I178" s="628" t="s">
        <v>112</v>
      </c>
      <c r="J178" s="656"/>
      <c r="K178" s="657"/>
      <c r="L178" s="657"/>
      <c r="M178" s="657"/>
    </row>
    <row r="179" spans="1:19" ht="27" customHeight="1">
      <c r="A179" s="186"/>
      <c r="B179" s="209"/>
      <c r="C179" s="209"/>
      <c r="D179" s="634" t="s">
        <v>932</v>
      </c>
      <c r="E179" s="209"/>
      <c r="F179" s="665"/>
      <c r="G179" s="666"/>
      <c r="H179" s="667"/>
      <c r="I179" s="638"/>
      <c r="J179" s="658"/>
      <c r="K179" s="612"/>
    </row>
    <row r="180" spans="1:19" s="227" customFormat="1" ht="13.5" customHeight="1">
      <c r="A180" s="669"/>
      <c r="B180" s="336"/>
      <c r="C180" s="209"/>
      <c r="D180" s="221" t="s">
        <v>904</v>
      </c>
      <c r="E180" s="209"/>
      <c r="F180" s="224">
        <v>1</v>
      </c>
      <c r="G180" s="667"/>
      <c r="H180" s="667"/>
      <c r="I180" s="667"/>
      <c r="J180" s="658"/>
      <c r="K180" s="595"/>
      <c r="L180" s="670"/>
      <c r="M180" s="670"/>
      <c r="N180" s="670"/>
      <c r="O180" s="670"/>
      <c r="P180" s="670"/>
      <c r="Q180" s="670"/>
      <c r="R180" s="671"/>
      <c r="S180" s="672"/>
    </row>
    <row r="181" spans="1:19" s="227" customFormat="1" ht="13.5" customHeight="1">
      <c r="A181" s="669"/>
      <c r="B181" s="336"/>
      <c r="C181" s="209"/>
      <c r="D181" s="221" t="s">
        <v>905</v>
      </c>
      <c r="E181" s="209"/>
      <c r="F181" s="224"/>
      <c r="G181" s="667"/>
      <c r="H181" s="667"/>
      <c r="I181" s="652"/>
      <c r="J181" s="658"/>
      <c r="K181" s="605"/>
      <c r="L181" s="670"/>
      <c r="M181" s="670"/>
      <c r="N181" s="670"/>
      <c r="O181" s="670"/>
      <c r="P181" s="670"/>
      <c r="Q181" s="670"/>
      <c r="R181" s="671"/>
      <c r="S181" s="672"/>
    </row>
    <row r="182" spans="1:19" s="158" customFormat="1" ht="27" customHeight="1">
      <c r="A182" s="661">
        <v>43</v>
      </c>
      <c r="B182" s="336" t="s">
        <v>900</v>
      </c>
      <c r="C182" s="209" t="s">
        <v>1005</v>
      </c>
      <c r="D182" s="624" t="s">
        <v>1006</v>
      </c>
      <c r="E182" s="662" t="s">
        <v>210</v>
      </c>
      <c r="F182" s="663">
        <f>SUM(F184)</f>
        <v>1</v>
      </c>
      <c r="G182" s="664"/>
      <c r="H182" s="664">
        <f>F182*G182</f>
        <v>0</v>
      </c>
      <c r="I182" s="628" t="s">
        <v>112</v>
      </c>
      <c r="J182" s="656"/>
      <c r="K182" s="657"/>
      <c r="L182" s="657"/>
      <c r="M182" s="657"/>
    </row>
    <row r="183" spans="1:19" ht="27" customHeight="1">
      <c r="A183" s="186"/>
      <c r="B183" s="209"/>
      <c r="C183" s="209"/>
      <c r="D183" s="634" t="s">
        <v>932</v>
      </c>
      <c r="E183" s="209"/>
      <c r="F183" s="665"/>
      <c r="G183" s="666"/>
      <c r="H183" s="667"/>
      <c r="I183" s="638"/>
      <c r="J183" s="658"/>
      <c r="K183" s="612"/>
    </row>
    <row r="184" spans="1:19" s="227" customFormat="1" ht="13.5" customHeight="1">
      <c r="A184" s="669"/>
      <c r="B184" s="336"/>
      <c r="C184" s="209"/>
      <c r="D184" s="221" t="s">
        <v>904</v>
      </c>
      <c r="E184" s="209"/>
      <c r="F184" s="224">
        <v>1</v>
      </c>
      <c r="G184" s="667"/>
      <c r="H184" s="667"/>
      <c r="I184" s="667"/>
      <c r="J184" s="658"/>
      <c r="K184" s="595"/>
      <c r="L184" s="670"/>
      <c r="M184" s="670"/>
      <c r="N184" s="670"/>
      <c r="O184" s="670"/>
      <c r="P184" s="670"/>
      <c r="Q184" s="670"/>
      <c r="R184" s="671"/>
      <c r="S184" s="672"/>
    </row>
    <row r="185" spans="1:19" s="227" customFormat="1" ht="13.5" customHeight="1">
      <c r="A185" s="669"/>
      <c r="B185" s="336"/>
      <c r="C185" s="209"/>
      <c r="D185" s="221" t="s">
        <v>905</v>
      </c>
      <c r="E185" s="209"/>
      <c r="F185" s="224"/>
      <c r="G185" s="667"/>
      <c r="H185" s="667"/>
      <c r="I185" s="652"/>
      <c r="J185" s="658"/>
      <c r="K185" s="605"/>
      <c r="L185" s="670"/>
      <c r="M185" s="670"/>
      <c r="N185" s="670"/>
      <c r="O185" s="670"/>
      <c r="P185" s="670"/>
      <c r="Q185" s="670"/>
      <c r="R185" s="671"/>
      <c r="S185" s="672"/>
    </row>
    <row r="186" spans="1:19" s="158" customFormat="1" ht="27" customHeight="1">
      <c r="A186" s="661">
        <v>44</v>
      </c>
      <c r="B186" s="336" t="s">
        <v>900</v>
      </c>
      <c r="C186" s="209" t="s">
        <v>1007</v>
      </c>
      <c r="D186" s="624" t="s">
        <v>1008</v>
      </c>
      <c r="E186" s="662" t="s">
        <v>210</v>
      </c>
      <c r="F186" s="663">
        <f>SUM(F188)</f>
        <v>1</v>
      </c>
      <c r="G186" s="664"/>
      <c r="H186" s="664">
        <f>F186*G186</f>
        <v>0</v>
      </c>
      <c r="I186" s="628" t="s">
        <v>112</v>
      </c>
      <c r="J186" s="656"/>
      <c r="K186" s="657"/>
      <c r="L186" s="657"/>
      <c r="M186" s="657"/>
    </row>
    <row r="187" spans="1:19" ht="27" customHeight="1">
      <c r="A187" s="186"/>
      <c r="B187" s="209"/>
      <c r="C187" s="209"/>
      <c r="D187" s="634" t="s">
        <v>943</v>
      </c>
      <c r="E187" s="209"/>
      <c r="F187" s="665"/>
      <c r="G187" s="666"/>
      <c r="H187" s="667"/>
      <c r="I187" s="638"/>
      <c r="J187" s="658"/>
      <c r="K187" s="612"/>
    </row>
    <row r="188" spans="1:19" s="227" customFormat="1" ht="13.5" customHeight="1">
      <c r="A188" s="669"/>
      <c r="B188" s="336"/>
      <c r="C188" s="209"/>
      <c r="D188" s="221" t="s">
        <v>904</v>
      </c>
      <c r="E188" s="209"/>
      <c r="F188" s="224">
        <v>1</v>
      </c>
      <c r="G188" s="667"/>
      <c r="H188" s="667"/>
      <c r="I188" s="667"/>
      <c r="J188" s="658"/>
      <c r="K188" s="595"/>
      <c r="L188" s="670"/>
      <c r="M188" s="670"/>
      <c r="N188" s="670"/>
      <c r="O188" s="670"/>
      <c r="P188" s="670"/>
      <c r="Q188" s="670"/>
      <c r="R188" s="671"/>
      <c r="S188" s="672"/>
    </row>
    <row r="189" spans="1:19" s="227" customFormat="1" ht="13.5" customHeight="1">
      <c r="A189" s="669"/>
      <c r="B189" s="336"/>
      <c r="C189" s="209"/>
      <c r="D189" s="221" t="s">
        <v>905</v>
      </c>
      <c r="E189" s="209"/>
      <c r="F189" s="224"/>
      <c r="G189" s="667"/>
      <c r="H189" s="667"/>
      <c r="I189" s="652"/>
      <c r="J189" s="658"/>
      <c r="K189" s="605"/>
      <c r="L189" s="670"/>
      <c r="M189" s="670"/>
      <c r="N189" s="670"/>
      <c r="O189" s="670"/>
      <c r="P189" s="670"/>
      <c r="Q189" s="670"/>
      <c r="R189" s="671"/>
      <c r="S189" s="672"/>
    </row>
    <row r="190" spans="1:19" s="158" customFormat="1" ht="27" customHeight="1">
      <c r="A190" s="661">
        <v>45</v>
      </c>
      <c r="B190" s="336" t="s">
        <v>900</v>
      </c>
      <c r="C190" s="209" t="s">
        <v>1009</v>
      </c>
      <c r="D190" s="624" t="s">
        <v>1010</v>
      </c>
      <c r="E190" s="662" t="s">
        <v>210</v>
      </c>
      <c r="F190" s="663">
        <f>SUM(F192)</f>
        <v>2</v>
      </c>
      <c r="G190" s="664"/>
      <c r="H190" s="664">
        <f>F190*G190</f>
        <v>0</v>
      </c>
      <c r="I190" s="676" t="s">
        <v>112</v>
      </c>
      <c r="J190" s="656"/>
      <c r="K190" s="657"/>
      <c r="L190" s="657"/>
      <c r="M190" s="657"/>
    </row>
    <row r="191" spans="1:19" ht="13.5" customHeight="1">
      <c r="A191" s="186"/>
      <c r="B191" s="209"/>
      <c r="C191" s="209"/>
      <c r="D191" s="221" t="s">
        <v>1011</v>
      </c>
      <c r="E191" s="209"/>
      <c r="F191" s="665"/>
      <c r="G191" s="666"/>
      <c r="H191" s="667"/>
      <c r="I191" s="638"/>
      <c r="J191" s="595"/>
    </row>
    <row r="192" spans="1:19" s="227" customFormat="1" ht="13.5" customHeight="1">
      <c r="A192" s="669"/>
      <c r="B192" s="336"/>
      <c r="C192" s="209"/>
      <c r="D192" s="221" t="s">
        <v>1012</v>
      </c>
      <c r="E192" s="209"/>
      <c r="F192" s="224">
        <v>2</v>
      </c>
      <c r="G192" s="667"/>
      <c r="H192" s="667"/>
      <c r="I192" s="667"/>
      <c r="J192" s="595"/>
      <c r="K192" s="605"/>
      <c r="L192" s="670"/>
      <c r="M192" s="670"/>
      <c r="N192" s="670"/>
      <c r="O192" s="670"/>
      <c r="P192" s="670"/>
      <c r="Q192" s="670"/>
      <c r="R192" s="671"/>
      <c r="S192" s="672"/>
    </row>
    <row r="193" spans="1:19" s="227" customFormat="1" ht="13.5" customHeight="1">
      <c r="A193" s="669"/>
      <c r="B193" s="336"/>
      <c r="C193" s="209"/>
      <c r="D193" s="221" t="s">
        <v>1013</v>
      </c>
      <c r="E193" s="209"/>
      <c r="F193" s="224"/>
      <c r="G193" s="667"/>
      <c r="H193" s="667"/>
      <c r="I193" s="677"/>
      <c r="J193" s="595"/>
      <c r="K193" s="670"/>
      <c r="L193" s="670"/>
      <c r="M193" s="670"/>
      <c r="N193" s="670"/>
      <c r="O193" s="670"/>
      <c r="P193" s="670"/>
      <c r="Q193" s="670"/>
      <c r="R193" s="671"/>
      <c r="S193" s="672"/>
    </row>
    <row r="194" spans="1:19" s="158" customFormat="1" ht="13.5" customHeight="1">
      <c r="A194" s="661">
        <v>46</v>
      </c>
      <c r="B194" s="336" t="s">
        <v>900</v>
      </c>
      <c r="C194" s="209" t="s">
        <v>1014</v>
      </c>
      <c r="D194" s="624" t="s">
        <v>1015</v>
      </c>
      <c r="E194" s="662" t="s">
        <v>210</v>
      </c>
      <c r="F194" s="663">
        <f>SUM(F196)</f>
        <v>20</v>
      </c>
      <c r="G194" s="664"/>
      <c r="H194" s="664">
        <f>F194*G194</f>
        <v>0</v>
      </c>
      <c r="I194" s="676" t="s">
        <v>112</v>
      </c>
      <c r="J194" s="656"/>
      <c r="K194" s="657"/>
      <c r="L194" s="657"/>
      <c r="M194" s="657"/>
    </row>
    <row r="195" spans="1:19" ht="13.5" customHeight="1">
      <c r="A195" s="186"/>
      <c r="B195" s="209"/>
      <c r="C195" s="209"/>
      <c r="D195" s="221" t="s">
        <v>1016</v>
      </c>
      <c r="E195" s="209"/>
      <c r="F195" s="665"/>
      <c r="G195" s="666"/>
      <c r="H195" s="667"/>
      <c r="I195" s="638"/>
      <c r="J195" s="595"/>
    </row>
    <row r="196" spans="1:19" s="227" customFormat="1" ht="13.5" customHeight="1">
      <c r="A196" s="669"/>
      <c r="B196" s="336"/>
      <c r="C196" s="209"/>
      <c r="D196" s="221" t="s">
        <v>1017</v>
      </c>
      <c r="E196" s="209"/>
      <c r="F196" s="224">
        <v>20</v>
      </c>
      <c r="G196" s="667"/>
      <c r="H196" s="667"/>
      <c r="I196" s="667"/>
      <c r="J196" s="595"/>
      <c r="K196" s="605"/>
      <c r="L196" s="670"/>
      <c r="M196" s="670"/>
      <c r="N196" s="670"/>
      <c r="O196" s="670"/>
      <c r="P196" s="670"/>
      <c r="Q196" s="670"/>
      <c r="R196" s="671"/>
      <c r="S196" s="672"/>
    </row>
    <row r="197" spans="1:19" s="227" customFormat="1" ht="13.5" customHeight="1">
      <c r="A197" s="669"/>
      <c r="B197" s="336"/>
      <c r="C197" s="209"/>
      <c r="D197" s="221" t="s">
        <v>1013</v>
      </c>
      <c r="E197" s="209"/>
      <c r="F197" s="224"/>
      <c r="G197" s="667"/>
      <c r="H197" s="667"/>
      <c r="I197" s="677"/>
      <c r="J197" s="595"/>
      <c r="K197" s="670"/>
      <c r="L197" s="670"/>
      <c r="M197" s="670"/>
      <c r="N197" s="670"/>
      <c r="O197" s="670"/>
      <c r="P197" s="670"/>
      <c r="Q197" s="670"/>
      <c r="R197" s="671"/>
      <c r="S197" s="672"/>
    </row>
    <row r="198" spans="1:19" s="355" customFormat="1" ht="13.5" customHeight="1">
      <c r="A198" s="621">
        <v>47</v>
      </c>
      <c r="B198" s="622">
        <v>766</v>
      </c>
      <c r="C198" s="623" t="s">
        <v>1018</v>
      </c>
      <c r="D198" s="623" t="s">
        <v>1019</v>
      </c>
      <c r="E198" s="678" t="s">
        <v>49</v>
      </c>
      <c r="F198" s="679">
        <f>SUM(F199)</f>
        <v>1</v>
      </c>
      <c r="G198" s="627"/>
      <c r="H198" s="627">
        <f>F198*G198</f>
        <v>0</v>
      </c>
      <c r="I198" s="676" t="s">
        <v>112</v>
      </c>
      <c r="J198" s="656"/>
      <c r="L198" s="680"/>
      <c r="M198" s="681"/>
    </row>
    <row r="199" spans="1:19" s="651" customFormat="1" ht="27" customHeight="1">
      <c r="A199" s="642"/>
      <c r="B199" s="622"/>
      <c r="C199" s="623"/>
      <c r="D199" s="643" t="s">
        <v>1020</v>
      </c>
      <c r="E199" s="623"/>
      <c r="F199" s="644">
        <v>1</v>
      </c>
      <c r="G199" s="637"/>
      <c r="H199" s="637"/>
      <c r="I199" s="638"/>
      <c r="J199" s="682"/>
      <c r="K199" s="683"/>
      <c r="L199" s="684"/>
      <c r="M199" s="648"/>
      <c r="N199" s="648"/>
      <c r="O199" s="648"/>
      <c r="P199" s="648"/>
      <c r="Q199" s="648"/>
      <c r="R199" s="649"/>
      <c r="S199" s="650"/>
    </row>
    <row r="200" spans="1:19" s="355" customFormat="1" ht="13.5" customHeight="1">
      <c r="A200" s="621">
        <v>48</v>
      </c>
      <c r="B200" s="622" t="s">
        <v>900</v>
      </c>
      <c r="C200" s="623">
        <v>998766203</v>
      </c>
      <c r="D200" s="623" t="s">
        <v>1021</v>
      </c>
      <c r="E200" s="678" t="s">
        <v>10</v>
      </c>
      <c r="F200" s="679">
        <v>0.61</v>
      </c>
      <c r="G200" s="627"/>
      <c r="H200" s="627">
        <f>F200*G200</f>
        <v>0</v>
      </c>
      <c r="I200" s="628" t="s">
        <v>138</v>
      </c>
      <c r="J200" s="685"/>
      <c r="L200" s="680"/>
      <c r="M200" s="681"/>
    </row>
    <row r="201" spans="1:19" s="355" customFormat="1" ht="13.5" customHeight="1">
      <c r="A201" s="621">
        <v>49</v>
      </c>
      <c r="B201" s="622" t="s">
        <v>369</v>
      </c>
      <c r="C201" s="623" t="s">
        <v>1022</v>
      </c>
      <c r="D201" s="623" t="s">
        <v>1023</v>
      </c>
      <c r="E201" s="678" t="s">
        <v>69</v>
      </c>
      <c r="F201" s="679">
        <f>F202</f>
        <v>50</v>
      </c>
      <c r="G201" s="627"/>
      <c r="H201" s="627">
        <f>F201*G201</f>
        <v>0</v>
      </c>
      <c r="I201" s="628" t="s">
        <v>138</v>
      </c>
      <c r="J201" s="686"/>
      <c r="L201" s="680"/>
      <c r="M201" s="681"/>
    </row>
    <row r="202" spans="1:19" s="651" customFormat="1" ht="13.5" customHeight="1">
      <c r="A202" s="642"/>
      <c r="B202" s="622"/>
      <c r="C202" s="623"/>
      <c r="D202" s="643" t="s">
        <v>1024</v>
      </c>
      <c r="E202" s="623"/>
      <c r="F202" s="644">
        <v>50</v>
      </c>
      <c r="G202" s="637"/>
      <c r="H202" s="637"/>
      <c r="I202" s="652"/>
      <c r="J202" s="687"/>
      <c r="K202" s="605"/>
      <c r="L202" s="648"/>
      <c r="M202" s="648"/>
      <c r="N202" s="648"/>
      <c r="O202" s="648"/>
      <c r="P202" s="648"/>
      <c r="Q202" s="648"/>
      <c r="R202" s="649"/>
      <c r="S202" s="650"/>
    </row>
    <row r="203" spans="1:19" s="651" customFormat="1" ht="13.5" customHeight="1">
      <c r="A203" s="642"/>
      <c r="B203" s="622"/>
      <c r="C203" s="623"/>
      <c r="D203" s="643" t="s">
        <v>540</v>
      </c>
      <c r="E203" s="623"/>
      <c r="F203" s="644"/>
      <c r="G203" s="637"/>
      <c r="H203" s="637"/>
      <c r="I203" s="652"/>
      <c r="J203" s="687"/>
      <c r="K203" s="605"/>
      <c r="L203" s="648"/>
      <c r="M203" s="688"/>
      <c r="N203" s="688"/>
      <c r="O203" s="688"/>
      <c r="P203" s="688"/>
      <c r="Q203" s="648"/>
      <c r="R203" s="649"/>
      <c r="S203" s="650"/>
    </row>
    <row r="204" spans="1:19" s="227" customFormat="1" ht="21" customHeight="1">
      <c r="A204" s="689"/>
      <c r="B204" s="690"/>
      <c r="C204" s="690"/>
      <c r="D204" s="690" t="s">
        <v>0</v>
      </c>
      <c r="E204" s="690"/>
      <c r="F204" s="691"/>
      <c r="G204" s="692"/>
      <c r="H204" s="692">
        <f>H7</f>
        <v>0</v>
      </c>
      <c r="J204" s="693"/>
      <c r="K204" s="694"/>
    </row>
    <row r="205" spans="1:19" s="227" customFormat="1" ht="13.5" customHeight="1">
      <c r="A205" s="695"/>
      <c r="B205" s="696"/>
      <c r="C205" s="696"/>
      <c r="D205" s="696"/>
      <c r="E205" s="696"/>
      <c r="F205" s="697"/>
      <c r="G205" s="698"/>
      <c r="H205" s="698"/>
      <c r="I205" s="699"/>
      <c r="J205" s="699"/>
    </row>
    <row r="206" spans="1:19" s="227" customFormat="1" ht="13.5" customHeight="1">
      <c r="A206" s="3061" t="s">
        <v>875</v>
      </c>
      <c r="B206" s="3062"/>
      <c r="C206" s="3063"/>
      <c r="D206" s="700" t="s">
        <v>1025</v>
      </c>
      <c r="E206" s="701"/>
      <c r="F206" s="702"/>
      <c r="G206" s="703"/>
      <c r="H206" s="704">
        <f>H204</f>
        <v>0</v>
      </c>
      <c r="I206" s="705"/>
      <c r="J206" s="706"/>
      <c r="L206" s="707"/>
    </row>
    <row r="207" spans="1:19" s="227" customFormat="1" ht="13.5" customHeight="1">
      <c r="A207" s="708"/>
      <c r="B207" s="709"/>
      <c r="C207" s="709"/>
      <c r="D207" s="710"/>
      <c r="E207" s="711"/>
      <c r="F207" s="712"/>
      <c r="G207" s="713"/>
      <c r="H207" s="714"/>
    </row>
    <row r="208" spans="1:19" s="129" customFormat="1" ht="15.75">
      <c r="A208" s="129" t="s">
        <v>1</v>
      </c>
      <c r="H208" s="715"/>
      <c r="I208" s="716"/>
    </row>
    <row r="209" spans="1:11" s="227" customFormat="1" ht="23.45" customHeight="1">
      <c r="A209" s="3018" t="s">
        <v>877</v>
      </c>
      <c r="B209" s="3058"/>
      <c r="C209" s="3058"/>
      <c r="D209" s="3058"/>
      <c r="E209" s="3058"/>
      <c r="F209" s="3058"/>
      <c r="G209" s="3058"/>
      <c r="H209" s="129"/>
    </row>
    <row r="210" spans="1:11" s="129" customFormat="1" ht="93.75" customHeight="1">
      <c r="A210" s="3018" t="s">
        <v>104</v>
      </c>
      <c r="B210" s="3041"/>
      <c r="C210" s="3041"/>
      <c r="D210" s="3041"/>
      <c r="E210" s="3041"/>
      <c r="F210" s="3041"/>
      <c r="G210" s="3041"/>
      <c r="H210" s="717"/>
      <c r="I210" s="716"/>
      <c r="J210" s="718"/>
    </row>
    <row r="211" spans="1:11" s="670" customFormat="1" ht="13.5" customHeight="1">
      <c r="A211" s="3018" t="s">
        <v>105</v>
      </c>
      <c r="B211" s="3064"/>
      <c r="C211" s="3064"/>
      <c r="D211" s="3064"/>
      <c r="E211" s="3064"/>
      <c r="F211" s="3064"/>
      <c r="G211" s="3064"/>
      <c r="H211" s="507"/>
      <c r="I211" s="507"/>
    </row>
    <row r="212" spans="1:11" s="670" customFormat="1" ht="13.5" customHeight="1">
      <c r="A212" s="3018" t="s">
        <v>106</v>
      </c>
      <c r="B212" s="3064"/>
      <c r="C212" s="3064"/>
      <c r="D212" s="3064"/>
      <c r="E212" s="3064"/>
      <c r="F212" s="3064"/>
      <c r="G212" s="3064"/>
      <c r="H212" s="507"/>
      <c r="I212" s="507"/>
    </row>
    <row r="213" spans="1:11" s="722" customFormat="1" ht="108" customHeight="1">
      <c r="A213" s="3057" t="s">
        <v>1026</v>
      </c>
      <c r="B213" s="3057"/>
      <c r="C213" s="3057"/>
      <c r="D213" s="3057"/>
      <c r="E213" s="3057"/>
      <c r="F213" s="3057"/>
      <c r="G213" s="3057"/>
      <c r="H213" s="720"/>
      <c r="I213" s="721"/>
      <c r="K213" s="723"/>
    </row>
    <row r="214" spans="1:11" s="670" customFormat="1" ht="13.5" customHeight="1">
      <c r="A214" s="132"/>
      <c r="B214" s="719"/>
      <c r="C214" s="719"/>
      <c r="D214" s="719"/>
      <c r="E214" s="719"/>
      <c r="F214" s="719"/>
      <c r="G214" s="719"/>
      <c r="H214" s="507"/>
      <c r="I214" s="507"/>
    </row>
    <row r="215" spans="1:11" s="129" customFormat="1" ht="23.45" customHeight="1">
      <c r="A215" s="3018"/>
      <c r="B215" s="3058"/>
      <c r="C215" s="3058"/>
      <c r="D215" s="3058"/>
      <c r="E215" s="3058"/>
      <c r="F215" s="3058"/>
      <c r="G215" s="3058"/>
    </row>
  </sheetData>
  <mergeCells count="8">
    <mergeCell ref="A213:G213"/>
    <mergeCell ref="A215:G215"/>
    <mergeCell ref="A3:D3"/>
    <mergeCell ref="A206:C206"/>
    <mergeCell ref="A209:G209"/>
    <mergeCell ref="A210:G210"/>
    <mergeCell ref="A211:G211"/>
    <mergeCell ref="A212:G21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0" fitToHeight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3BB2-9C74-499E-8790-7D30B4D72051}">
  <sheetPr>
    <pageSetUpPr fitToPage="1"/>
  </sheetPr>
  <dimension ref="A1:BK807"/>
  <sheetViews>
    <sheetView zoomScaleNormal="100" workbookViewId="0"/>
  </sheetViews>
  <sheetFormatPr defaultRowHeight="15"/>
  <cols>
    <col min="1" max="1" width="4.83203125" style="498" customWidth="1"/>
    <col min="2" max="2" width="5" style="499" customWidth="1"/>
    <col min="3" max="3" width="16.83203125" style="499" customWidth="1"/>
    <col min="4" max="4" width="71.33203125" style="499" customWidth="1"/>
    <col min="5" max="5" width="7.83203125" style="499" customWidth="1"/>
    <col min="6" max="6" width="10.1640625" style="782" customWidth="1"/>
    <col min="7" max="7" width="13.6640625" style="800" customWidth="1"/>
    <col min="8" max="8" width="18.33203125" style="783" customWidth="1"/>
    <col min="9" max="10" width="20.1640625" style="135" customWidth="1"/>
    <col min="11" max="11" width="16.5" style="725" customWidth="1"/>
    <col min="12" max="12" width="15.6640625" style="141" customWidth="1"/>
    <col min="13" max="13" width="9.33203125" style="141"/>
    <col min="14" max="14" width="17.33203125" style="141" customWidth="1"/>
    <col min="15" max="17" width="9.33203125" style="141"/>
    <col min="18" max="18" width="12.1640625" style="141" bestFit="1" customWidth="1"/>
    <col min="19" max="16384" width="9.33203125" style="141"/>
  </cols>
  <sheetData>
    <row r="1" spans="1:15" ht="18">
      <c r="A1" s="133" t="s">
        <v>2956</v>
      </c>
      <c r="B1" s="134"/>
      <c r="C1" s="134"/>
      <c r="D1" s="134"/>
      <c r="E1" s="134"/>
      <c r="F1" s="724"/>
      <c r="G1" s="134"/>
      <c r="H1" s="134"/>
      <c r="N1" s="726"/>
    </row>
    <row r="2" spans="1:15" ht="13.5" customHeight="1">
      <c r="A2" s="3065" t="s">
        <v>116</v>
      </c>
      <c r="B2" s="3066"/>
      <c r="C2" s="3066"/>
      <c r="D2" s="3066"/>
      <c r="E2" s="3066"/>
      <c r="F2" s="3066"/>
      <c r="G2" s="3066"/>
      <c r="H2" s="3066"/>
      <c r="I2" s="3066"/>
      <c r="K2" s="727"/>
      <c r="L2" s="728"/>
      <c r="N2" s="726"/>
    </row>
    <row r="3" spans="1:15" ht="13.5" customHeight="1">
      <c r="A3" s="139" t="s">
        <v>1027</v>
      </c>
      <c r="B3" s="729"/>
      <c r="C3" s="140"/>
      <c r="D3" s="140"/>
      <c r="E3" s="140"/>
      <c r="F3" s="724"/>
      <c r="G3" s="134"/>
      <c r="H3" s="135"/>
      <c r="K3" s="727"/>
      <c r="L3" s="728"/>
    </row>
    <row r="4" spans="1:15" ht="13.5" customHeight="1">
      <c r="A4" s="139"/>
      <c r="B4" s="140"/>
      <c r="C4" s="140"/>
      <c r="D4" s="140"/>
      <c r="E4" s="140"/>
      <c r="F4" s="724"/>
      <c r="G4" s="134"/>
      <c r="H4" s="135"/>
      <c r="L4" s="730"/>
      <c r="M4" s="730"/>
      <c r="N4" s="730"/>
      <c r="O4" s="730"/>
    </row>
    <row r="5" spans="1:15" ht="15.75">
      <c r="A5" s="134"/>
      <c r="B5" s="134"/>
      <c r="C5" s="134"/>
      <c r="D5" s="725"/>
      <c r="E5" s="134"/>
      <c r="F5" s="724"/>
      <c r="G5" s="134"/>
      <c r="H5" s="134"/>
      <c r="K5" s="731"/>
      <c r="L5" s="730"/>
      <c r="M5" s="730"/>
      <c r="N5" s="730"/>
      <c r="O5" s="730"/>
    </row>
    <row r="6" spans="1:15" ht="22.5">
      <c r="A6" s="145" t="s">
        <v>119</v>
      </c>
      <c r="B6" s="145" t="s">
        <v>120</v>
      </c>
      <c r="C6" s="145" t="s">
        <v>121</v>
      </c>
      <c r="D6" s="145" t="s">
        <v>122</v>
      </c>
      <c r="E6" s="145" t="s">
        <v>123</v>
      </c>
      <c r="F6" s="732" t="s">
        <v>124</v>
      </c>
      <c r="G6" s="145" t="s">
        <v>125</v>
      </c>
      <c r="H6" s="145" t="s">
        <v>2</v>
      </c>
      <c r="I6" s="145" t="s">
        <v>46</v>
      </c>
      <c r="J6" s="733"/>
      <c r="K6" s="347"/>
    </row>
    <row r="7" spans="1:15">
      <c r="A7" s="145" t="s">
        <v>126</v>
      </c>
      <c r="B7" s="145" t="s">
        <v>127</v>
      </c>
      <c r="C7" s="145" t="s">
        <v>128</v>
      </c>
      <c r="D7" s="145" t="s">
        <v>129</v>
      </c>
      <c r="E7" s="145" t="s">
        <v>130</v>
      </c>
      <c r="F7" s="732" t="s">
        <v>131</v>
      </c>
      <c r="G7" s="145" t="s">
        <v>132</v>
      </c>
      <c r="H7" s="145">
        <v>8</v>
      </c>
      <c r="I7" s="145">
        <v>9</v>
      </c>
      <c r="J7" s="733"/>
      <c r="N7" s="725"/>
    </row>
    <row r="8" spans="1:15" s="135" customFormat="1" ht="21" customHeight="1">
      <c r="A8" s="146"/>
      <c r="B8" s="147"/>
      <c r="C8" s="147" t="s">
        <v>373</v>
      </c>
      <c r="D8" s="147" t="s">
        <v>374</v>
      </c>
      <c r="E8" s="147"/>
      <c r="F8" s="734"/>
      <c r="G8" s="735"/>
      <c r="H8" s="735">
        <f>H9+H109+H118</f>
        <v>0</v>
      </c>
      <c r="K8" s="736"/>
    </row>
    <row r="9" spans="1:15" ht="13.5" customHeight="1">
      <c r="A9" s="148"/>
      <c r="B9" s="149"/>
      <c r="C9" s="149">
        <v>766</v>
      </c>
      <c r="D9" s="149" t="s">
        <v>1028</v>
      </c>
      <c r="E9" s="149"/>
      <c r="F9" s="737"/>
      <c r="G9" s="738"/>
      <c r="H9" s="738">
        <f>SUM(H10:H108)</f>
        <v>0</v>
      </c>
      <c r="I9" s="150"/>
      <c r="K9" s="736"/>
    </row>
    <row r="10" spans="1:15" ht="13.5" customHeight="1">
      <c r="A10" s="739">
        <v>1</v>
      </c>
      <c r="B10" s="177">
        <v>766</v>
      </c>
      <c r="C10" s="177" t="s">
        <v>1029</v>
      </c>
      <c r="D10" s="177" t="s">
        <v>1030</v>
      </c>
      <c r="E10" s="177" t="s">
        <v>210</v>
      </c>
      <c r="F10" s="740">
        <f>F12</f>
        <v>2</v>
      </c>
      <c r="G10" s="178"/>
      <c r="H10" s="741">
        <f t="shared" ref="H10" si="0">ROUND(F10*G10,2)</f>
        <v>0</v>
      </c>
      <c r="I10" s="216" t="s">
        <v>112</v>
      </c>
      <c r="J10" s="185"/>
      <c r="K10" s="736"/>
      <c r="N10" s="726"/>
    </row>
    <row r="11" spans="1:15" ht="13.5" customHeight="1">
      <c r="A11" s="739"/>
      <c r="B11" s="177"/>
      <c r="C11" s="177"/>
      <c r="D11" s="183" t="s">
        <v>1031</v>
      </c>
      <c r="E11" s="177"/>
      <c r="F11" s="740"/>
      <c r="G11" s="178"/>
      <c r="H11" s="178"/>
      <c r="I11" s="216"/>
      <c r="J11" s="185"/>
      <c r="K11" s="736"/>
    </row>
    <row r="12" spans="1:15" ht="13.5" customHeight="1">
      <c r="A12" s="739"/>
      <c r="B12" s="177"/>
      <c r="C12" s="177"/>
      <c r="D12" s="183" t="s">
        <v>1032</v>
      </c>
      <c r="E12" s="177"/>
      <c r="F12" s="742">
        <v>2</v>
      </c>
      <c r="G12" s="178"/>
      <c r="H12" s="178"/>
      <c r="I12" s="216"/>
      <c r="J12" s="185"/>
      <c r="K12" s="736"/>
    </row>
    <row r="13" spans="1:15" ht="13.5" customHeight="1">
      <c r="A13" s="739"/>
      <c r="B13" s="177"/>
      <c r="C13" s="177"/>
      <c r="D13" s="300" t="s">
        <v>1033</v>
      </c>
      <c r="E13" s="177"/>
      <c r="F13" s="742"/>
      <c r="G13" s="178"/>
      <c r="H13" s="178"/>
      <c r="I13" s="743"/>
      <c r="J13" s="744"/>
      <c r="K13" s="736"/>
      <c r="N13" s="726"/>
    </row>
    <row r="14" spans="1:15" ht="13.5" customHeight="1">
      <c r="A14" s="739">
        <v>2</v>
      </c>
      <c r="B14" s="177">
        <v>766</v>
      </c>
      <c r="C14" s="177" t="s">
        <v>1034</v>
      </c>
      <c r="D14" s="177" t="s">
        <v>1035</v>
      </c>
      <c r="E14" s="177" t="s">
        <v>210</v>
      </c>
      <c r="F14" s="740">
        <f>F16</f>
        <v>1</v>
      </c>
      <c r="G14" s="178"/>
      <c r="H14" s="741">
        <f t="shared" ref="H14" si="1">ROUND(F14*G14,2)</f>
        <v>0</v>
      </c>
      <c r="I14" s="216" t="s">
        <v>112</v>
      </c>
      <c r="J14" s="185"/>
      <c r="N14" s="726"/>
    </row>
    <row r="15" spans="1:15" ht="13.5" customHeight="1">
      <c r="A15" s="739"/>
      <c r="B15" s="177"/>
      <c r="C15" s="177"/>
      <c r="D15" s="183" t="s">
        <v>1036</v>
      </c>
      <c r="E15" s="177"/>
      <c r="F15" s="740"/>
      <c r="G15" s="178"/>
      <c r="H15" s="178"/>
      <c r="I15" s="216"/>
      <c r="J15" s="185"/>
      <c r="K15" s="736"/>
      <c r="N15" s="726"/>
    </row>
    <row r="16" spans="1:15" ht="13.5" customHeight="1">
      <c r="A16" s="739"/>
      <c r="B16" s="177"/>
      <c r="C16" s="177"/>
      <c r="D16" s="183" t="s">
        <v>1032</v>
      </c>
      <c r="E16" s="177"/>
      <c r="F16" s="742">
        <v>1</v>
      </c>
      <c r="G16" s="178"/>
      <c r="H16" s="178"/>
      <c r="I16" s="216"/>
      <c r="J16" s="744"/>
      <c r="N16" s="726"/>
    </row>
    <row r="17" spans="1:14" ht="13.5" customHeight="1">
      <c r="A17" s="739"/>
      <c r="B17" s="177"/>
      <c r="C17" s="177"/>
      <c r="D17" s="300" t="s">
        <v>1033</v>
      </c>
      <c r="E17" s="177"/>
      <c r="F17" s="742"/>
      <c r="G17" s="178"/>
      <c r="H17" s="178"/>
      <c r="I17" s="743"/>
      <c r="J17" s="185"/>
      <c r="N17" s="726"/>
    </row>
    <row r="18" spans="1:14" ht="27" customHeight="1">
      <c r="A18" s="739">
        <v>3</v>
      </c>
      <c r="B18" s="177">
        <v>766</v>
      </c>
      <c r="C18" s="177" t="s">
        <v>1037</v>
      </c>
      <c r="D18" s="177" t="s">
        <v>1038</v>
      </c>
      <c r="E18" s="177" t="s">
        <v>210</v>
      </c>
      <c r="F18" s="740">
        <f>F20</f>
        <v>3</v>
      </c>
      <c r="G18" s="178"/>
      <c r="H18" s="741">
        <f t="shared" ref="H18" si="2">ROUND(F18*G18,2)</f>
        <v>0</v>
      </c>
      <c r="I18" s="216" t="s">
        <v>112</v>
      </c>
      <c r="J18" s="185"/>
      <c r="N18" s="726"/>
    </row>
    <row r="19" spans="1:14" ht="13.5" customHeight="1">
      <c r="A19" s="739"/>
      <c r="B19" s="177"/>
      <c r="C19" s="177"/>
      <c r="D19" s="183" t="s">
        <v>1039</v>
      </c>
      <c r="E19" s="177"/>
      <c r="F19" s="740"/>
      <c r="G19" s="178"/>
      <c r="H19" s="178"/>
      <c r="I19" s="216"/>
      <c r="J19" s="185"/>
      <c r="N19" s="726"/>
    </row>
    <row r="20" spans="1:14" ht="13.5" customHeight="1">
      <c r="A20" s="739"/>
      <c r="B20" s="177"/>
      <c r="C20" s="177"/>
      <c r="D20" s="183" t="s">
        <v>1040</v>
      </c>
      <c r="E20" s="177"/>
      <c r="F20" s="742">
        <v>3</v>
      </c>
      <c r="G20" s="178"/>
      <c r="H20" s="178"/>
      <c r="I20" s="216"/>
      <c r="J20" s="185"/>
      <c r="N20" s="726"/>
    </row>
    <row r="21" spans="1:14" ht="13.5" customHeight="1">
      <c r="A21" s="739"/>
      <c r="B21" s="177"/>
      <c r="C21" s="177"/>
      <c r="D21" s="300" t="s">
        <v>1033</v>
      </c>
      <c r="E21" s="177"/>
      <c r="F21" s="742"/>
      <c r="G21" s="178"/>
      <c r="H21" s="178"/>
      <c r="I21" s="743"/>
      <c r="J21" s="185"/>
      <c r="N21" s="726"/>
    </row>
    <row r="22" spans="1:14" ht="27" customHeight="1">
      <c r="A22" s="739"/>
      <c r="B22" s="177"/>
      <c r="C22" s="177"/>
      <c r="D22" s="300" t="s">
        <v>1041</v>
      </c>
      <c r="E22" s="177"/>
      <c r="F22" s="742"/>
      <c r="G22" s="178"/>
      <c r="H22" s="178"/>
      <c r="I22" s="743"/>
      <c r="J22" s="744"/>
      <c r="K22" s="736"/>
      <c r="N22" s="726"/>
    </row>
    <row r="23" spans="1:14" ht="13.5" customHeight="1">
      <c r="A23" s="739">
        <v>4</v>
      </c>
      <c r="B23" s="177">
        <v>766</v>
      </c>
      <c r="C23" s="177" t="s">
        <v>1042</v>
      </c>
      <c r="D23" s="177" t="s">
        <v>1043</v>
      </c>
      <c r="E23" s="177" t="s">
        <v>210</v>
      </c>
      <c r="F23" s="740">
        <f>F25</f>
        <v>1</v>
      </c>
      <c r="G23" s="178"/>
      <c r="H23" s="741">
        <f t="shared" ref="H23" si="3">ROUND(F23*G23,2)</f>
        <v>0</v>
      </c>
      <c r="I23" s="216" t="s">
        <v>112</v>
      </c>
      <c r="J23" s="744"/>
      <c r="N23" s="726"/>
    </row>
    <row r="24" spans="1:14" ht="13.5" customHeight="1">
      <c r="A24" s="739"/>
      <c r="B24" s="177"/>
      <c r="C24" s="177"/>
      <c r="D24" s="183" t="s">
        <v>1039</v>
      </c>
      <c r="E24" s="177"/>
      <c r="F24" s="740"/>
      <c r="G24" s="178"/>
      <c r="H24" s="178"/>
      <c r="I24" s="216"/>
      <c r="J24" s="185"/>
      <c r="N24" s="726"/>
    </row>
    <row r="25" spans="1:14" ht="13.5" customHeight="1">
      <c r="A25" s="739"/>
      <c r="B25" s="177"/>
      <c r="C25" s="177"/>
      <c r="D25" s="183" t="s">
        <v>1040</v>
      </c>
      <c r="E25" s="177"/>
      <c r="F25" s="742">
        <v>1</v>
      </c>
      <c r="G25" s="178"/>
      <c r="H25" s="178"/>
      <c r="I25" s="216"/>
      <c r="J25" s="185"/>
      <c r="N25" s="726"/>
    </row>
    <row r="26" spans="1:14" ht="13.5" customHeight="1">
      <c r="A26" s="739"/>
      <c r="B26" s="177"/>
      <c r="C26" s="177"/>
      <c r="D26" s="300" t="s">
        <v>1033</v>
      </c>
      <c r="E26" s="177"/>
      <c r="F26" s="742"/>
      <c r="G26" s="178"/>
      <c r="H26" s="178"/>
      <c r="I26" s="743"/>
      <c r="J26" s="185"/>
      <c r="N26" s="726"/>
    </row>
    <row r="27" spans="1:14" ht="27" customHeight="1">
      <c r="A27" s="739"/>
      <c r="B27" s="177"/>
      <c r="C27" s="177"/>
      <c r="D27" s="300" t="s">
        <v>1041</v>
      </c>
      <c r="E27" s="177"/>
      <c r="F27" s="742"/>
      <c r="G27" s="178"/>
      <c r="H27" s="178"/>
      <c r="I27" s="743"/>
      <c r="J27" s="744"/>
      <c r="K27" s="745"/>
      <c r="N27" s="726"/>
    </row>
    <row r="28" spans="1:14" ht="27" customHeight="1">
      <c r="A28" s="739">
        <v>5</v>
      </c>
      <c r="B28" s="177">
        <v>766</v>
      </c>
      <c r="C28" s="177" t="s">
        <v>1044</v>
      </c>
      <c r="D28" s="177" t="s">
        <v>1045</v>
      </c>
      <c r="E28" s="177" t="s">
        <v>210</v>
      </c>
      <c r="F28" s="740">
        <f>F30</f>
        <v>6</v>
      </c>
      <c r="G28" s="178"/>
      <c r="H28" s="741">
        <f t="shared" ref="H28" si="4">ROUND(F28*G28,2)</f>
        <v>0</v>
      </c>
      <c r="I28" s="216" t="s">
        <v>112</v>
      </c>
      <c r="J28" s="185"/>
      <c r="N28" s="726"/>
    </row>
    <row r="29" spans="1:14" ht="13.5" customHeight="1">
      <c r="A29" s="739"/>
      <c r="B29" s="177"/>
      <c r="C29" s="177"/>
      <c r="D29" s="183" t="s">
        <v>1046</v>
      </c>
      <c r="E29" s="177"/>
      <c r="F29" s="740"/>
      <c r="G29" s="178"/>
      <c r="H29" s="178"/>
      <c r="I29" s="216"/>
      <c r="J29" s="185"/>
      <c r="K29" s="736"/>
    </row>
    <row r="30" spans="1:14" ht="13.5" customHeight="1">
      <c r="A30" s="739"/>
      <c r="B30" s="177"/>
      <c r="C30" s="177"/>
      <c r="D30" s="183" t="s">
        <v>1040</v>
      </c>
      <c r="E30" s="177"/>
      <c r="F30" s="742">
        <v>6</v>
      </c>
      <c r="G30" s="178"/>
      <c r="H30" s="178"/>
      <c r="I30" s="216"/>
      <c r="J30" s="185"/>
      <c r="K30" s="736"/>
    </row>
    <row r="31" spans="1:14" ht="13.5" customHeight="1">
      <c r="A31" s="739"/>
      <c r="B31" s="177"/>
      <c r="C31" s="177"/>
      <c r="D31" s="300" t="s">
        <v>1033</v>
      </c>
      <c r="E31" s="177"/>
      <c r="F31" s="742"/>
      <c r="G31" s="178"/>
      <c r="H31" s="178"/>
      <c r="I31" s="743"/>
      <c r="J31" s="744"/>
      <c r="K31" s="736"/>
      <c r="N31" s="726"/>
    </row>
    <row r="32" spans="1:14" ht="27" customHeight="1">
      <c r="A32" s="739"/>
      <c r="B32" s="177"/>
      <c r="C32" s="177"/>
      <c r="D32" s="300" t="s">
        <v>1041</v>
      </c>
      <c r="E32" s="177"/>
      <c r="F32" s="742"/>
      <c r="G32" s="178"/>
      <c r="H32" s="178"/>
      <c r="I32" s="743"/>
      <c r="J32" s="744"/>
      <c r="K32" s="736"/>
      <c r="N32" s="726"/>
    </row>
    <row r="33" spans="1:14" ht="27" customHeight="1">
      <c r="A33" s="739">
        <v>6</v>
      </c>
      <c r="B33" s="177">
        <v>766</v>
      </c>
      <c r="C33" s="177" t="s">
        <v>1047</v>
      </c>
      <c r="D33" s="177" t="s">
        <v>1048</v>
      </c>
      <c r="E33" s="177" t="s">
        <v>210</v>
      </c>
      <c r="F33" s="740">
        <f>F35</f>
        <v>2</v>
      </c>
      <c r="G33" s="178"/>
      <c r="H33" s="741">
        <f t="shared" ref="H33" si="5">ROUND(F33*G33,2)</f>
        <v>0</v>
      </c>
      <c r="I33" s="216" t="s">
        <v>112</v>
      </c>
      <c r="J33" s="185"/>
      <c r="N33" s="726"/>
    </row>
    <row r="34" spans="1:14" ht="13.5" customHeight="1">
      <c r="A34" s="739"/>
      <c r="B34" s="177"/>
      <c r="C34" s="177"/>
      <c r="D34" s="183" t="s">
        <v>1046</v>
      </c>
      <c r="E34" s="177"/>
      <c r="F34" s="740"/>
      <c r="G34" s="178"/>
      <c r="H34" s="178"/>
      <c r="I34" s="216"/>
      <c r="J34" s="185"/>
      <c r="K34" s="736"/>
      <c r="N34" s="726"/>
    </row>
    <row r="35" spans="1:14" ht="13.5" customHeight="1">
      <c r="A35" s="739"/>
      <c r="B35" s="177"/>
      <c r="C35" s="177"/>
      <c r="D35" s="183" t="s">
        <v>1040</v>
      </c>
      <c r="E35" s="177"/>
      <c r="F35" s="742">
        <v>2</v>
      </c>
      <c r="G35" s="178"/>
      <c r="H35" s="178"/>
      <c r="I35" s="216"/>
      <c r="J35" s="744"/>
      <c r="N35" s="726"/>
    </row>
    <row r="36" spans="1:14" ht="13.5" customHeight="1">
      <c r="A36" s="739"/>
      <c r="B36" s="177"/>
      <c r="C36" s="177"/>
      <c r="D36" s="300" t="s">
        <v>1033</v>
      </c>
      <c r="E36" s="177"/>
      <c r="F36" s="742"/>
      <c r="G36" s="178"/>
      <c r="H36" s="178"/>
      <c r="I36" s="743"/>
      <c r="J36" s="185"/>
      <c r="N36" s="726"/>
    </row>
    <row r="37" spans="1:14" ht="27" customHeight="1">
      <c r="A37" s="739"/>
      <c r="B37" s="177"/>
      <c r="C37" s="177"/>
      <c r="D37" s="300" t="s">
        <v>1041</v>
      </c>
      <c r="E37" s="177"/>
      <c r="F37" s="742"/>
      <c r="G37" s="178"/>
      <c r="H37" s="178"/>
      <c r="I37" s="743"/>
      <c r="J37" s="744"/>
      <c r="K37" s="736"/>
      <c r="N37" s="726"/>
    </row>
    <row r="38" spans="1:14" ht="13.5" customHeight="1">
      <c r="A38" s="739">
        <v>7</v>
      </c>
      <c r="B38" s="177">
        <v>766</v>
      </c>
      <c r="C38" s="177" t="s">
        <v>1049</v>
      </c>
      <c r="D38" s="177" t="s">
        <v>1050</v>
      </c>
      <c r="E38" s="177" t="s">
        <v>210</v>
      </c>
      <c r="F38" s="740">
        <f>F40</f>
        <v>3</v>
      </c>
      <c r="G38" s="178"/>
      <c r="H38" s="741">
        <f t="shared" ref="H38" si="6">ROUND(F38*G38,2)</f>
        <v>0</v>
      </c>
      <c r="I38" s="216" t="s">
        <v>112</v>
      </c>
      <c r="J38" s="185"/>
      <c r="N38" s="726"/>
    </row>
    <row r="39" spans="1:14" ht="13.5" customHeight="1">
      <c r="A39" s="739"/>
      <c r="B39" s="177"/>
      <c r="C39" s="177"/>
      <c r="D39" s="183" t="s">
        <v>1039</v>
      </c>
      <c r="E39" s="177"/>
      <c r="F39" s="740"/>
      <c r="G39" s="178"/>
      <c r="H39" s="178"/>
      <c r="I39" s="216"/>
      <c r="J39" s="185"/>
      <c r="N39" s="726"/>
    </row>
    <row r="40" spans="1:14" ht="13.5" customHeight="1">
      <c r="A40" s="739"/>
      <c r="B40" s="177"/>
      <c r="C40" s="177"/>
      <c r="D40" s="183" t="s">
        <v>1040</v>
      </c>
      <c r="E40" s="177"/>
      <c r="F40" s="742">
        <v>3</v>
      </c>
      <c r="G40" s="178"/>
      <c r="H40" s="178"/>
      <c r="I40" s="216"/>
      <c r="J40" s="185"/>
      <c r="N40" s="726"/>
    </row>
    <row r="41" spans="1:14" ht="13.5" customHeight="1">
      <c r="A41" s="739"/>
      <c r="B41" s="177"/>
      <c r="C41" s="177"/>
      <c r="D41" s="300" t="s">
        <v>1033</v>
      </c>
      <c r="E41" s="177"/>
      <c r="F41" s="742"/>
      <c r="G41" s="178"/>
      <c r="H41" s="178"/>
      <c r="I41" s="743"/>
      <c r="J41" s="185"/>
      <c r="N41" s="726"/>
    </row>
    <row r="42" spans="1:14" ht="27" customHeight="1">
      <c r="A42" s="739"/>
      <c r="B42" s="177"/>
      <c r="C42" s="177"/>
      <c r="D42" s="300" t="s">
        <v>1041</v>
      </c>
      <c r="E42" s="177"/>
      <c r="F42" s="742"/>
      <c r="G42" s="178"/>
      <c r="H42" s="178"/>
      <c r="I42" s="743"/>
      <c r="J42" s="744"/>
      <c r="K42" s="736"/>
      <c r="N42" s="726"/>
    </row>
    <row r="43" spans="1:14" ht="13.5" customHeight="1">
      <c r="A43" s="739">
        <v>8</v>
      </c>
      <c r="B43" s="177">
        <v>766</v>
      </c>
      <c r="C43" s="177" t="s">
        <v>1051</v>
      </c>
      <c r="D43" s="177" t="s">
        <v>1052</v>
      </c>
      <c r="E43" s="177" t="s">
        <v>210</v>
      </c>
      <c r="F43" s="740">
        <f>F45</f>
        <v>4</v>
      </c>
      <c r="G43" s="178"/>
      <c r="H43" s="741">
        <f t="shared" ref="H43" si="7">ROUND(F43*G43,2)</f>
        <v>0</v>
      </c>
      <c r="I43" s="216" t="s">
        <v>112</v>
      </c>
      <c r="J43" s="744"/>
      <c r="N43" s="726"/>
    </row>
    <row r="44" spans="1:14" ht="13.5" customHeight="1">
      <c r="A44" s="739"/>
      <c r="B44" s="177"/>
      <c r="C44" s="177"/>
      <c r="D44" s="183" t="s">
        <v>1053</v>
      </c>
      <c r="E44" s="177"/>
      <c r="F44" s="740"/>
      <c r="G44" s="178"/>
      <c r="H44" s="178"/>
      <c r="I44" s="216"/>
      <c r="J44" s="185"/>
      <c r="N44" s="726"/>
    </row>
    <row r="45" spans="1:14" ht="13.5" customHeight="1">
      <c r="A45" s="739"/>
      <c r="B45" s="177"/>
      <c r="C45" s="177"/>
      <c r="D45" s="183" t="s">
        <v>1040</v>
      </c>
      <c r="E45" s="177"/>
      <c r="F45" s="742">
        <v>4</v>
      </c>
      <c r="G45" s="178"/>
      <c r="H45" s="178"/>
      <c r="I45" s="216"/>
      <c r="J45" s="185"/>
      <c r="N45" s="726"/>
    </row>
    <row r="46" spans="1:14" ht="13.5" customHeight="1">
      <c r="A46" s="739"/>
      <c r="B46" s="177"/>
      <c r="C46" s="177"/>
      <c r="D46" s="300" t="s">
        <v>1033</v>
      </c>
      <c r="E46" s="177"/>
      <c r="F46" s="742"/>
      <c r="G46" s="178"/>
      <c r="H46" s="178"/>
      <c r="I46" s="743"/>
      <c r="J46" s="185"/>
      <c r="N46" s="726"/>
    </row>
    <row r="47" spans="1:14" ht="13.5" customHeight="1">
      <c r="A47" s="739">
        <v>9</v>
      </c>
      <c r="B47" s="177">
        <v>766</v>
      </c>
      <c r="C47" s="177" t="s">
        <v>1054</v>
      </c>
      <c r="D47" s="177" t="s">
        <v>1055</v>
      </c>
      <c r="E47" s="177" t="s">
        <v>210</v>
      </c>
      <c r="F47" s="740">
        <f>F49</f>
        <v>2</v>
      </c>
      <c r="G47" s="178"/>
      <c r="H47" s="741">
        <f t="shared" ref="H47" si="8">ROUND(F47*G47,2)</f>
        <v>0</v>
      </c>
      <c r="I47" s="216" t="s">
        <v>112</v>
      </c>
      <c r="J47" s="185"/>
      <c r="N47" s="726"/>
    </row>
    <row r="48" spans="1:14" ht="13.5" customHeight="1">
      <c r="A48" s="739"/>
      <c r="B48" s="177"/>
      <c r="C48" s="177"/>
      <c r="D48" s="183" t="s">
        <v>1056</v>
      </c>
      <c r="E48" s="177"/>
      <c r="F48" s="740"/>
      <c r="G48" s="178"/>
      <c r="H48" s="178"/>
      <c r="I48" s="216"/>
      <c r="J48" s="185"/>
      <c r="K48" s="736"/>
    </row>
    <row r="49" spans="1:14" ht="13.5" customHeight="1">
      <c r="A49" s="739"/>
      <c r="B49" s="177"/>
      <c r="C49" s="177"/>
      <c r="D49" s="183" t="s">
        <v>1040</v>
      </c>
      <c r="E49" s="177"/>
      <c r="F49" s="742">
        <v>2</v>
      </c>
      <c r="G49" s="178"/>
      <c r="H49" s="178"/>
      <c r="I49" s="216"/>
      <c r="J49" s="185"/>
      <c r="K49" s="736"/>
    </row>
    <row r="50" spans="1:14" ht="13.5" customHeight="1">
      <c r="A50" s="739"/>
      <c r="B50" s="177"/>
      <c r="C50" s="177"/>
      <c r="D50" s="300" t="s">
        <v>1033</v>
      </c>
      <c r="E50" s="177"/>
      <c r="F50" s="742"/>
      <c r="G50" s="178"/>
      <c r="H50" s="178"/>
      <c r="I50" s="743"/>
      <c r="J50" s="744"/>
      <c r="K50" s="736"/>
      <c r="N50" s="726"/>
    </row>
    <row r="51" spans="1:14" ht="13.5" customHeight="1">
      <c r="A51" s="739">
        <v>10</v>
      </c>
      <c r="B51" s="177">
        <v>766</v>
      </c>
      <c r="C51" s="177" t="s">
        <v>1057</v>
      </c>
      <c r="D51" s="177" t="s">
        <v>1058</v>
      </c>
      <c r="E51" s="177" t="s">
        <v>210</v>
      </c>
      <c r="F51" s="740">
        <f>F53</f>
        <v>6</v>
      </c>
      <c r="G51" s="178"/>
      <c r="H51" s="741">
        <f t="shared" ref="H51" si="9">ROUND(F51*G51,2)</f>
        <v>0</v>
      </c>
      <c r="I51" s="216" t="s">
        <v>112</v>
      </c>
      <c r="J51" s="185"/>
      <c r="N51" s="726"/>
    </row>
    <row r="52" spans="1:14" ht="13.5" customHeight="1">
      <c r="A52" s="739"/>
      <c r="B52" s="177"/>
      <c r="C52" s="177"/>
      <c r="D52" s="183" t="s">
        <v>1056</v>
      </c>
      <c r="E52" s="177"/>
      <c r="F52" s="740"/>
      <c r="G52" s="178"/>
      <c r="H52" s="178"/>
      <c r="I52" s="216"/>
      <c r="J52" s="185"/>
      <c r="K52" s="736"/>
      <c r="N52" s="726"/>
    </row>
    <row r="53" spans="1:14" ht="13.5" customHeight="1">
      <c r="A53" s="739"/>
      <c r="B53" s="177"/>
      <c r="C53" s="177"/>
      <c r="D53" s="183" t="s">
        <v>1040</v>
      </c>
      <c r="E53" s="177"/>
      <c r="F53" s="742">
        <v>6</v>
      </c>
      <c r="G53" s="178"/>
      <c r="H53" s="178"/>
      <c r="I53" s="216"/>
      <c r="J53" s="744"/>
      <c r="N53" s="726"/>
    </row>
    <row r="54" spans="1:14" ht="13.5" customHeight="1">
      <c r="A54" s="739"/>
      <c r="B54" s="177"/>
      <c r="C54" s="177"/>
      <c r="D54" s="300" t="s">
        <v>1033</v>
      </c>
      <c r="E54" s="177"/>
      <c r="F54" s="742"/>
      <c r="G54" s="178"/>
      <c r="H54" s="178"/>
      <c r="I54" s="743"/>
      <c r="J54" s="185"/>
      <c r="N54" s="726"/>
    </row>
    <row r="55" spans="1:14" ht="27" customHeight="1">
      <c r="A55" s="739"/>
      <c r="B55" s="177"/>
      <c r="C55" s="177"/>
      <c r="D55" s="300" t="s">
        <v>1041</v>
      </c>
      <c r="E55" s="177"/>
      <c r="F55" s="742"/>
      <c r="G55" s="178"/>
      <c r="H55" s="178"/>
      <c r="I55" s="743"/>
      <c r="J55" s="744"/>
      <c r="K55" s="736"/>
      <c r="N55" s="726"/>
    </row>
    <row r="56" spans="1:14" ht="13.5" customHeight="1">
      <c r="A56" s="739">
        <v>11</v>
      </c>
      <c r="B56" s="177">
        <v>766</v>
      </c>
      <c r="C56" s="177" t="s">
        <v>1059</v>
      </c>
      <c r="D56" s="177" t="s">
        <v>1060</v>
      </c>
      <c r="E56" s="177" t="s">
        <v>210</v>
      </c>
      <c r="F56" s="740">
        <f>F58</f>
        <v>1</v>
      </c>
      <c r="G56" s="178"/>
      <c r="H56" s="741">
        <f t="shared" ref="H56" si="10">ROUND(F56*G56,2)</f>
        <v>0</v>
      </c>
      <c r="I56" s="216" t="s">
        <v>112</v>
      </c>
      <c r="J56" s="185"/>
      <c r="N56" s="726"/>
    </row>
    <row r="57" spans="1:14" ht="13.5" customHeight="1">
      <c r="A57" s="739"/>
      <c r="B57" s="177"/>
      <c r="C57" s="177"/>
      <c r="D57" s="183" t="s">
        <v>1056</v>
      </c>
      <c r="E57" s="177"/>
      <c r="F57" s="740"/>
      <c r="G57" s="178"/>
      <c r="H57" s="178"/>
      <c r="I57" s="216"/>
      <c r="J57" s="185"/>
      <c r="N57" s="726"/>
    </row>
    <row r="58" spans="1:14" ht="13.5" customHeight="1">
      <c r="A58" s="739"/>
      <c r="B58" s="177"/>
      <c r="C58" s="177"/>
      <c r="D58" s="183" t="s">
        <v>1040</v>
      </c>
      <c r="E58" s="177"/>
      <c r="F58" s="742">
        <v>1</v>
      </c>
      <c r="G58" s="178"/>
      <c r="H58" s="178"/>
      <c r="I58" s="216"/>
      <c r="J58" s="185"/>
      <c r="N58" s="726"/>
    </row>
    <row r="59" spans="1:14" ht="13.5" customHeight="1">
      <c r="A59" s="739"/>
      <c r="B59" s="177"/>
      <c r="C59" s="177"/>
      <c r="D59" s="300" t="s">
        <v>1033</v>
      </c>
      <c r="E59" s="177"/>
      <c r="F59" s="742"/>
      <c r="G59" s="178"/>
      <c r="H59" s="178"/>
      <c r="I59" s="743"/>
      <c r="J59" s="185"/>
      <c r="N59" s="726"/>
    </row>
    <row r="60" spans="1:14" ht="27" customHeight="1">
      <c r="A60" s="739"/>
      <c r="B60" s="177"/>
      <c r="C60" s="177"/>
      <c r="D60" s="300" t="s">
        <v>1041</v>
      </c>
      <c r="E60" s="177"/>
      <c r="F60" s="742"/>
      <c r="G60" s="178"/>
      <c r="H60" s="178"/>
      <c r="I60" s="743"/>
      <c r="J60" s="744"/>
      <c r="K60" s="736"/>
      <c r="N60" s="726"/>
    </row>
    <row r="61" spans="1:14" ht="13.5" customHeight="1">
      <c r="A61" s="739">
        <v>12</v>
      </c>
      <c r="B61" s="177">
        <v>766</v>
      </c>
      <c r="C61" s="177" t="s">
        <v>1061</v>
      </c>
      <c r="D61" s="177" t="s">
        <v>1062</v>
      </c>
      <c r="E61" s="177" t="s">
        <v>210</v>
      </c>
      <c r="F61" s="740">
        <f>F63</f>
        <v>2</v>
      </c>
      <c r="G61" s="178"/>
      <c r="H61" s="741">
        <f t="shared" ref="H61" si="11">ROUND(F61*G61,2)</f>
        <v>0</v>
      </c>
      <c r="I61" s="216" t="s">
        <v>112</v>
      </c>
      <c r="J61" s="744"/>
      <c r="N61" s="726"/>
    </row>
    <row r="62" spans="1:14" ht="13.5" customHeight="1">
      <c r="A62" s="739"/>
      <c r="B62" s="177"/>
      <c r="C62" s="177"/>
      <c r="D62" s="183" t="s">
        <v>1053</v>
      </c>
      <c r="E62" s="177"/>
      <c r="F62" s="740"/>
      <c r="G62" s="178"/>
      <c r="H62" s="178"/>
      <c r="I62" s="216"/>
      <c r="J62" s="185"/>
      <c r="N62" s="726"/>
    </row>
    <row r="63" spans="1:14" ht="13.5" customHeight="1">
      <c r="A63" s="739"/>
      <c r="B63" s="177"/>
      <c r="C63" s="177"/>
      <c r="D63" s="183" t="s">
        <v>1040</v>
      </c>
      <c r="E63" s="177"/>
      <c r="F63" s="742">
        <v>2</v>
      </c>
      <c r="G63" s="178"/>
      <c r="H63" s="178"/>
      <c r="I63" s="216"/>
      <c r="J63" s="185"/>
      <c r="N63" s="726"/>
    </row>
    <row r="64" spans="1:14" ht="13.5" customHeight="1">
      <c r="A64" s="739"/>
      <c r="B64" s="177"/>
      <c r="C64" s="177"/>
      <c r="D64" s="300" t="s">
        <v>1033</v>
      </c>
      <c r="E64" s="177"/>
      <c r="F64" s="742"/>
      <c r="G64" s="178"/>
      <c r="H64" s="178"/>
      <c r="I64" s="743"/>
      <c r="J64" s="185"/>
      <c r="N64" s="726"/>
    </row>
    <row r="65" spans="1:14" ht="13.5" customHeight="1">
      <c r="A65" s="739">
        <v>13</v>
      </c>
      <c r="B65" s="177">
        <v>766</v>
      </c>
      <c r="C65" s="177" t="s">
        <v>1063</v>
      </c>
      <c r="D65" s="177" t="s">
        <v>1064</v>
      </c>
      <c r="E65" s="177" t="s">
        <v>210</v>
      </c>
      <c r="F65" s="740">
        <f>F67</f>
        <v>2</v>
      </c>
      <c r="G65" s="178"/>
      <c r="H65" s="741">
        <f t="shared" ref="H65" si="12">ROUND(F65*G65,2)</f>
        <v>0</v>
      </c>
      <c r="I65" s="216" t="s">
        <v>112</v>
      </c>
      <c r="J65" s="185"/>
      <c r="N65" s="726"/>
    </row>
    <row r="66" spans="1:14" ht="13.5" customHeight="1">
      <c r="A66" s="739"/>
      <c r="B66" s="177"/>
      <c r="C66" s="177"/>
      <c r="D66" s="183" t="s">
        <v>1053</v>
      </c>
      <c r="E66" s="177"/>
      <c r="F66" s="740"/>
      <c r="G66" s="178"/>
      <c r="H66" s="178"/>
      <c r="I66" s="216"/>
      <c r="J66" s="185"/>
      <c r="K66" s="736"/>
    </row>
    <row r="67" spans="1:14" ht="13.5" customHeight="1">
      <c r="A67" s="739"/>
      <c r="B67" s="177"/>
      <c r="C67" s="177"/>
      <c r="D67" s="183" t="s">
        <v>1040</v>
      </c>
      <c r="E67" s="177"/>
      <c r="F67" s="742">
        <v>2</v>
      </c>
      <c r="G67" s="178"/>
      <c r="H67" s="178"/>
      <c r="I67" s="216"/>
      <c r="J67" s="185"/>
      <c r="K67" s="736"/>
    </row>
    <row r="68" spans="1:14" ht="13.5" customHeight="1">
      <c r="A68" s="739"/>
      <c r="B68" s="177"/>
      <c r="C68" s="177"/>
      <c r="D68" s="300" t="s">
        <v>1033</v>
      </c>
      <c r="E68" s="177"/>
      <c r="F68" s="742"/>
      <c r="G68" s="178"/>
      <c r="H68" s="178"/>
      <c r="I68" s="743"/>
      <c r="J68" s="744"/>
      <c r="K68" s="736"/>
      <c r="N68" s="726"/>
    </row>
    <row r="69" spans="1:14" ht="13.5" customHeight="1">
      <c r="A69" s="739">
        <v>14</v>
      </c>
      <c r="B69" s="177">
        <v>766</v>
      </c>
      <c r="C69" s="177" t="s">
        <v>1065</v>
      </c>
      <c r="D69" s="177" t="s">
        <v>1066</v>
      </c>
      <c r="E69" s="177" t="s">
        <v>210</v>
      </c>
      <c r="F69" s="740">
        <f>F71</f>
        <v>4</v>
      </c>
      <c r="G69" s="178"/>
      <c r="H69" s="741">
        <f t="shared" ref="H69" si="13">ROUND(F69*G69,2)</f>
        <v>0</v>
      </c>
      <c r="I69" s="216" t="s">
        <v>112</v>
      </c>
      <c r="J69" s="185"/>
      <c r="N69" s="726"/>
    </row>
    <row r="70" spans="1:14" ht="13.5" customHeight="1">
      <c r="A70" s="739"/>
      <c r="B70" s="177"/>
      <c r="C70" s="177"/>
      <c r="D70" s="183" t="s">
        <v>1046</v>
      </c>
      <c r="E70" s="177"/>
      <c r="F70" s="740"/>
      <c r="G70" s="178"/>
      <c r="H70" s="178"/>
      <c r="I70" s="216"/>
      <c r="J70" s="185"/>
      <c r="K70" s="736"/>
      <c r="N70" s="726"/>
    </row>
    <row r="71" spans="1:14" ht="13.5" customHeight="1">
      <c r="A71" s="739"/>
      <c r="B71" s="177"/>
      <c r="C71" s="177"/>
      <c r="D71" s="183" t="s">
        <v>1040</v>
      </c>
      <c r="E71" s="177"/>
      <c r="F71" s="742">
        <v>4</v>
      </c>
      <c r="G71" s="178"/>
      <c r="H71" s="178"/>
      <c r="I71" s="216"/>
      <c r="J71" s="744"/>
      <c r="N71" s="726"/>
    </row>
    <row r="72" spans="1:14" ht="13.5" customHeight="1">
      <c r="A72" s="739"/>
      <c r="B72" s="177"/>
      <c r="C72" s="177"/>
      <c r="D72" s="300" t="s">
        <v>1033</v>
      </c>
      <c r="E72" s="177"/>
      <c r="F72" s="742"/>
      <c r="G72" s="178"/>
      <c r="H72" s="178"/>
      <c r="I72" s="743"/>
      <c r="J72" s="185"/>
      <c r="N72" s="726"/>
    </row>
    <row r="73" spans="1:14" ht="13.5" customHeight="1">
      <c r="A73" s="739">
        <v>15</v>
      </c>
      <c r="B73" s="177">
        <v>766</v>
      </c>
      <c r="C73" s="177" t="s">
        <v>1067</v>
      </c>
      <c r="D73" s="177" t="s">
        <v>1068</v>
      </c>
      <c r="E73" s="177" t="s">
        <v>210</v>
      </c>
      <c r="F73" s="740">
        <f>F75</f>
        <v>1</v>
      </c>
      <c r="G73" s="178"/>
      <c r="H73" s="741">
        <f t="shared" ref="H73" si="14">ROUND(F73*G73,2)</f>
        <v>0</v>
      </c>
      <c r="I73" s="216" t="s">
        <v>112</v>
      </c>
      <c r="J73" s="185"/>
      <c r="N73" s="726"/>
    </row>
    <row r="74" spans="1:14" ht="13.5" customHeight="1">
      <c r="A74" s="739"/>
      <c r="B74" s="177"/>
      <c r="C74" s="177"/>
      <c r="D74" s="183" t="s">
        <v>1039</v>
      </c>
      <c r="E74" s="177"/>
      <c r="F74" s="740"/>
      <c r="G74" s="178"/>
      <c r="H74" s="178"/>
      <c r="I74" s="216"/>
      <c r="J74" s="185"/>
      <c r="N74" s="726"/>
    </row>
    <row r="75" spans="1:14" ht="13.5" customHeight="1">
      <c r="A75" s="739"/>
      <c r="B75" s="177"/>
      <c r="C75" s="177"/>
      <c r="D75" s="183" t="s">
        <v>1040</v>
      </c>
      <c r="E75" s="177"/>
      <c r="F75" s="742">
        <v>1</v>
      </c>
      <c r="G75" s="178"/>
      <c r="H75" s="178"/>
      <c r="I75" s="216"/>
      <c r="J75" s="185"/>
      <c r="N75" s="726"/>
    </row>
    <row r="76" spans="1:14" ht="13.5" customHeight="1">
      <c r="A76" s="739"/>
      <c r="B76" s="177"/>
      <c r="C76" s="177"/>
      <c r="D76" s="300" t="s">
        <v>1033</v>
      </c>
      <c r="E76" s="177"/>
      <c r="F76" s="742"/>
      <c r="G76" s="178"/>
      <c r="H76" s="178"/>
      <c r="I76" s="743"/>
      <c r="J76" s="185"/>
      <c r="N76" s="726"/>
    </row>
    <row r="77" spans="1:14" ht="27" customHeight="1">
      <c r="A77" s="739"/>
      <c r="B77" s="177"/>
      <c r="C77" s="177"/>
      <c r="D77" s="300" t="s">
        <v>1041</v>
      </c>
      <c r="E77" s="177"/>
      <c r="F77" s="742"/>
      <c r="G77" s="178"/>
      <c r="H77" s="178"/>
      <c r="I77" s="743"/>
      <c r="J77" s="744"/>
      <c r="K77" s="736"/>
      <c r="N77" s="726"/>
    </row>
    <row r="78" spans="1:14" ht="13.5" customHeight="1">
      <c r="A78" s="739">
        <v>16</v>
      </c>
      <c r="B78" s="177">
        <v>766</v>
      </c>
      <c r="C78" s="177" t="s">
        <v>1069</v>
      </c>
      <c r="D78" s="177" t="s">
        <v>1070</v>
      </c>
      <c r="E78" s="177" t="s">
        <v>210</v>
      </c>
      <c r="F78" s="740">
        <f>F80</f>
        <v>2</v>
      </c>
      <c r="G78" s="178"/>
      <c r="H78" s="741">
        <f t="shared" ref="H78" si="15">ROUND(F78*G78,2)</f>
        <v>0</v>
      </c>
      <c r="I78" s="216" t="s">
        <v>112</v>
      </c>
      <c r="J78" s="744"/>
      <c r="N78" s="726"/>
    </row>
    <row r="79" spans="1:14" ht="13.5" customHeight="1">
      <c r="A79" s="739"/>
      <c r="B79" s="177"/>
      <c r="C79" s="177"/>
      <c r="D79" s="183" t="s">
        <v>1053</v>
      </c>
      <c r="E79" s="177"/>
      <c r="F79" s="740"/>
      <c r="G79" s="178"/>
      <c r="H79" s="178"/>
      <c r="I79" s="216"/>
      <c r="J79" s="185"/>
      <c r="N79" s="726"/>
    </row>
    <row r="80" spans="1:14" ht="13.5" customHeight="1">
      <c r="A80" s="739"/>
      <c r="B80" s="177"/>
      <c r="C80" s="177"/>
      <c r="D80" s="183" t="s">
        <v>1071</v>
      </c>
      <c r="E80" s="177"/>
      <c r="F80" s="742">
        <v>2</v>
      </c>
      <c r="G80" s="178"/>
      <c r="H80" s="178"/>
      <c r="I80" s="216"/>
      <c r="J80" s="185"/>
      <c r="N80" s="726"/>
    </row>
    <row r="81" spans="1:14" ht="13.5" customHeight="1">
      <c r="A81" s="739"/>
      <c r="B81" s="177"/>
      <c r="C81" s="177"/>
      <c r="D81" s="300" t="s">
        <v>1033</v>
      </c>
      <c r="E81" s="177"/>
      <c r="F81" s="742"/>
      <c r="G81" s="178"/>
      <c r="H81" s="178"/>
      <c r="I81" s="743"/>
      <c r="J81" s="185"/>
      <c r="N81" s="726"/>
    </row>
    <row r="82" spans="1:14" ht="13.5" customHeight="1">
      <c r="A82" s="739">
        <v>17</v>
      </c>
      <c r="B82" s="177">
        <v>766</v>
      </c>
      <c r="C82" s="177" t="s">
        <v>1072</v>
      </c>
      <c r="D82" s="177" t="s">
        <v>1073</v>
      </c>
      <c r="E82" s="177" t="s">
        <v>210</v>
      </c>
      <c r="F82" s="740">
        <f>F84</f>
        <v>21</v>
      </c>
      <c r="G82" s="178"/>
      <c r="H82" s="741">
        <f t="shared" ref="H82" si="16">ROUND(F82*G82,2)</f>
        <v>0</v>
      </c>
      <c r="I82" s="216" t="s">
        <v>112</v>
      </c>
      <c r="J82" s="185"/>
      <c r="N82" s="726"/>
    </row>
    <row r="83" spans="1:14" ht="13.5" customHeight="1">
      <c r="A83" s="739"/>
      <c r="B83" s="177"/>
      <c r="C83" s="177"/>
      <c r="D83" s="183" t="s">
        <v>1074</v>
      </c>
      <c r="E83" s="177"/>
      <c r="F83" s="740"/>
      <c r="G83" s="178"/>
      <c r="H83" s="178"/>
      <c r="I83" s="216"/>
      <c r="J83" s="185"/>
      <c r="N83" s="726"/>
    </row>
    <row r="84" spans="1:14" ht="13.5" customHeight="1">
      <c r="A84" s="739"/>
      <c r="B84" s="177"/>
      <c r="C84" s="177"/>
      <c r="D84" s="183" t="s">
        <v>1071</v>
      </c>
      <c r="E84" s="177"/>
      <c r="F84" s="742">
        <v>21</v>
      </c>
      <c r="G84" s="178"/>
      <c r="H84" s="178"/>
      <c r="I84" s="216"/>
      <c r="J84" s="185"/>
      <c r="N84" s="726"/>
    </row>
    <row r="85" spans="1:14" ht="13.5" customHeight="1">
      <c r="A85" s="739"/>
      <c r="B85" s="177"/>
      <c r="C85" s="177"/>
      <c r="D85" s="300" t="s">
        <v>1033</v>
      </c>
      <c r="E85" s="177"/>
      <c r="F85" s="742"/>
      <c r="G85" s="178"/>
      <c r="H85" s="178"/>
      <c r="I85" s="743"/>
      <c r="J85" s="185"/>
      <c r="N85" s="726"/>
    </row>
    <row r="86" spans="1:14" ht="27" customHeight="1">
      <c r="A86" s="739"/>
      <c r="B86" s="177"/>
      <c r="C86" s="177"/>
      <c r="D86" s="300" t="s">
        <v>1041</v>
      </c>
      <c r="E86" s="177"/>
      <c r="F86" s="742"/>
      <c r="G86" s="178"/>
      <c r="H86" s="178"/>
      <c r="I86" s="743"/>
      <c r="J86" s="744"/>
      <c r="K86" s="736"/>
      <c r="N86" s="726"/>
    </row>
    <row r="87" spans="1:14" ht="13.5" customHeight="1">
      <c r="A87" s="739">
        <v>18</v>
      </c>
      <c r="B87" s="177">
        <v>766</v>
      </c>
      <c r="C87" s="177" t="s">
        <v>1075</v>
      </c>
      <c r="D87" s="177" t="s">
        <v>1076</v>
      </c>
      <c r="E87" s="177" t="s">
        <v>210</v>
      </c>
      <c r="F87" s="740">
        <f>F89</f>
        <v>2</v>
      </c>
      <c r="G87" s="178"/>
      <c r="H87" s="741">
        <f t="shared" ref="H87" si="17">ROUND(F87*G87,2)</f>
        <v>0</v>
      </c>
      <c r="I87" s="216" t="s">
        <v>112</v>
      </c>
      <c r="J87" s="744"/>
      <c r="N87" s="726"/>
    </row>
    <row r="88" spans="1:14" ht="13.5" customHeight="1">
      <c r="A88" s="739"/>
      <c r="B88" s="177"/>
      <c r="C88" s="177"/>
      <c r="D88" s="183" t="s">
        <v>1053</v>
      </c>
      <c r="E88" s="177"/>
      <c r="F88" s="740"/>
      <c r="G88" s="178"/>
      <c r="H88" s="178"/>
      <c r="I88" s="216"/>
      <c r="J88" s="185"/>
      <c r="N88" s="726"/>
    </row>
    <row r="89" spans="1:14" ht="13.5" customHeight="1">
      <c r="A89" s="739"/>
      <c r="B89" s="177"/>
      <c r="C89" s="177"/>
      <c r="D89" s="183" t="s">
        <v>1071</v>
      </c>
      <c r="E89" s="177"/>
      <c r="F89" s="742">
        <v>2</v>
      </c>
      <c r="G89" s="178"/>
      <c r="H89" s="178"/>
      <c r="I89" s="216"/>
      <c r="J89" s="185"/>
      <c r="N89" s="726"/>
    </row>
    <row r="90" spans="1:14" ht="13.5" customHeight="1">
      <c r="A90" s="739"/>
      <c r="B90" s="177"/>
      <c r="C90" s="177"/>
      <c r="D90" s="300" t="s">
        <v>1033</v>
      </c>
      <c r="E90" s="177"/>
      <c r="F90" s="742"/>
      <c r="G90" s="178"/>
      <c r="H90" s="178"/>
      <c r="I90" s="743"/>
      <c r="J90" s="185"/>
      <c r="N90" s="726"/>
    </row>
    <row r="91" spans="1:14" ht="27" customHeight="1">
      <c r="A91" s="739"/>
      <c r="B91" s="177"/>
      <c r="C91" s="177"/>
      <c r="D91" s="300" t="s">
        <v>1041</v>
      </c>
      <c r="E91" s="177"/>
      <c r="F91" s="742"/>
      <c r="G91" s="178"/>
      <c r="H91" s="178"/>
      <c r="I91" s="743"/>
      <c r="J91" s="744"/>
      <c r="K91" s="745"/>
      <c r="N91" s="726"/>
    </row>
    <row r="92" spans="1:14" ht="13.5" customHeight="1">
      <c r="A92" s="739">
        <v>19</v>
      </c>
      <c r="B92" s="177">
        <v>766</v>
      </c>
      <c r="C92" s="177" t="s">
        <v>1077</v>
      </c>
      <c r="D92" s="177" t="s">
        <v>1078</v>
      </c>
      <c r="E92" s="177" t="s">
        <v>210</v>
      </c>
      <c r="F92" s="740">
        <f>F94</f>
        <v>3</v>
      </c>
      <c r="G92" s="178"/>
      <c r="H92" s="741">
        <f t="shared" ref="H92" si="18">ROUND(F92*G92,2)</f>
        <v>0</v>
      </c>
      <c r="I92" s="216" t="s">
        <v>112</v>
      </c>
      <c r="J92" s="185"/>
      <c r="N92" s="726"/>
    </row>
    <row r="93" spans="1:14" ht="13.5" customHeight="1">
      <c r="A93" s="739"/>
      <c r="B93" s="177"/>
      <c r="C93" s="177"/>
      <c r="D93" s="183" t="s">
        <v>1053</v>
      </c>
      <c r="E93" s="177"/>
      <c r="F93" s="740"/>
      <c r="G93" s="178"/>
      <c r="H93" s="178"/>
      <c r="I93" s="216"/>
      <c r="J93" s="185"/>
      <c r="N93" s="726"/>
    </row>
    <row r="94" spans="1:14" ht="13.5" customHeight="1">
      <c r="A94" s="739"/>
      <c r="B94" s="177"/>
      <c r="C94" s="177"/>
      <c r="D94" s="183" t="s">
        <v>1071</v>
      </c>
      <c r="E94" s="177"/>
      <c r="F94" s="742">
        <v>3</v>
      </c>
      <c r="G94" s="178"/>
      <c r="H94" s="178"/>
      <c r="I94" s="216"/>
      <c r="J94" s="185"/>
      <c r="N94" s="726"/>
    </row>
    <row r="95" spans="1:14" ht="13.5" customHeight="1">
      <c r="A95" s="739"/>
      <c r="B95" s="177"/>
      <c r="C95" s="177"/>
      <c r="D95" s="300" t="s">
        <v>1033</v>
      </c>
      <c r="E95" s="177"/>
      <c r="F95" s="742"/>
      <c r="G95" s="178"/>
      <c r="H95" s="178"/>
      <c r="I95" s="743"/>
      <c r="J95" s="185"/>
      <c r="N95" s="726"/>
    </row>
    <row r="96" spans="1:14" ht="13.5" customHeight="1">
      <c r="A96" s="739">
        <v>20</v>
      </c>
      <c r="B96" s="177">
        <v>766</v>
      </c>
      <c r="C96" s="177" t="s">
        <v>1079</v>
      </c>
      <c r="D96" s="177" t="s">
        <v>1080</v>
      </c>
      <c r="E96" s="177" t="s">
        <v>210</v>
      </c>
      <c r="F96" s="740">
        <f>F98</f>
        <v>2</v>
      </c>
      <c r="G96" s="178"/>
      <c r="H96" s="741">
        <f t="shared" ref="H96" si="19">ROUND(F96*G96,2)</f>
        <v>0</v>
      </c>
      <c r="I96" s="216" t="s">
        <v>112</v>
      </c>
      <c r="J96" s="185"/>
      <c r="N96" s="726"/>
    </row>
    <row r="97" spans="1:19" ht="13.5" customHeight="1">
      <c r="A97" s="739"/>
      <c r="B97" s="177"/>
      <c r="C97" s="177"/>
      <c r="D97" s="183" t="s">
        <v>1053</v>
      </c>
      <c r="E97" s="177"/>
      <c r="F97" s="740"/>
      <c r="G97" s="178"/>
      <c r="H97" s="178"/>
      <c r="I97" s="216"/>
      <c r="J97" s="185"/>
      <c r="N97" s="726"/>
    </row>
    <row r="98" spans="1:19" ht="13.5" customHeight="1">
      <c r="A98" s="739"/>
      <c r="B98" s="177"/>
      <c r="C98" s="177"/>
      <c r="D98" s="183" t="s">
        <v>1071</v>
      </c>
      <c r="E98" s="177"/>
      <c r="F98" s="742">
        <v>2</v>
      </c>
      <c r="G98" s="178"/>
      <c r="H98" s="178"/>
      <c r="I98" s="216"/>
      <c r="J98" s="185"/>
      <c r="N98" s="726"/>
    </row>
    <row r="99" spans="1:19" ht="13.5" customHeight="1">
      <c r="A99" s="739"/>
      <c r="B99" s="177"/>
      <c r="C99" s="177"/>
      <c r="D99" s="300" t="s">
        <v>1033</v>
      </c>
      <c r="E99" s="177"/>
      <c r="F99" s="742"/>
      <c r="G99" s="178"/>
      <c r="H99" s="178"/>
      <c r="I99" s="743"/>
      <c r="J99" s="185"/>
      <c r="N99" s="726"/>
    </row>
    <row r="100" spans="1:19" ht="27" customHeight="1">
      <c r="A100" s="739"/>
      <c r="B100" s="177"/>
      <c r="C100" s="177"/>
      <c r="D100" s="300" t="s">
        <v>1041</v>
      </c>
      <c r="E100" s="177"/>
      <c r="F100" s="742"/>
      <c r="G100" s="178"/>
      <c r="H100" s="178"/>
      <c r="I100" s="743"/>
      <c r="J100" s="744"/>
      <c r="K100" s="736"/>
      <c r="N100" s="726"/>
    </row>
    <row r="101" spans="1:19" ht="13.5" customHeight="1">
      <c r="A101" s="739">
        <v>21</v>
      </c>
      <c r="B101" s="177">
        <v>766</v>
      </c>
      <c r="C101" s="177" t="s">
        <v>1081</v>
      </c>
      <c r="D101" s="177" t="s">
        <v>1082</v>
      </c>
      <c r="E101" s="177" t="s">
        <v>210</v>
      </c>
      <c r="F101" s="740">
        <f>F103</f>
        <v>1</v>
      </c>
      <c r="G101" s="178"/>
      <c r="H101" s="741">
        <f t="shared" ref="H101" si="20">ROUND(F101*G101,2)</f>
        <v>0</v>
      </c>
      <c r="I101" s="216" t="s">
        <v>112</v>
      </c>
      <c r="J101" s="744"/>
      <c r="N101" s="726"/>
    </row>
    <row r="102" spans="1:19" ht="13.5" customHeight="1">
      <c r="A102" s="739"/>
      <c r="B102" s="177"/>
      <c r="C102" s="177"/>
      <c r="D102" s="183" t="s">
        <v>1074</v>
      </c>
      <c r="E102" s="177"/>
      <c r="F102" s="740"/>
      <c r="G102" s="178"/>
      <c r="H102" s="178"/>
      <c r="I102" s="216"/>
      <c r="J102" s="185"/>
      <c r="N102" s="726"/>
    </row>
    <row r="103" spans="1:19" ht="13.5" customHeight="1">
      <c r="A103" s="739"/>
      <c r="B103" s="177"/>
      <c r="C103" s="177"/>
      <c r="D103" s="183" t="s">
        <v>1071</v>
      </c>
      <c r="E103" s="177"/>
      <c r="F103" s="742">
        <v>1</v>
      </c>
      <c r="G103" s="178"/>
      <c r="H103" s="178"/>
      <c r="I103" s="216"/>
      <c r="J103" s="185"/>
      <c r="N103" s="726"/>
    </row>
    <row r="104" spans="1:19" ht="13.5" customHeight="1">
      <c r="A104" s="739"/>
      <c r="B104" s="177"/>
      <c r="C104" s="177"/>
      <c r="D104" s="300" t="s">
        <v>1033</v>
      </c>
      <c r="E104" s="177"/>
      <c r="F104" s="742"/>
      <c r="G104" s="178"/>
      <c r="H104" s="178"/>
      <c r="I104" s="743"/>
      <c r="J104" s="185"/>
      <c r="N104" s="726"/>
    </row>
    <row r="105" spans="1:19" ht="13.5" customHeight="1">
      <c r="A105" s="746" t="s">
        <v>897</v>
      </c>
      <c r="B105" s="177">
        <v>766</v>
      </c>
      <c r="C105" s="177">
        <v>998766202</v>
      </c>
      <c r="D105" s="177" t="s">
        <v>1083</v>
      </c>
      <c r="E105" s="177" t="s">
        <v>10</v>
      </c>
      <c r="F105" s="740">
        <v>0.59</v>
      </c>
      <c r="G105" s="178"/>
      <c r="H105" s="315">
        <f t="shared" ref="H105:H106" si="21">ROUND(F105*G105,2)</f>
        <v>0</v>
      </c>
      <c r="I105" s="216" t="s">
        <v>138</v>
      </c>
      <c r="J105" s="182"/>
      <c r="K105" s="747"/>
      <c r="L105" s="748"/>
    </row>
    <row r="106" spans="1:19" s="325" customFormat="1" ht="13.5" customHeight="1">
      <c r="A106" s="746" t="s">
        <v>1084</v>
      </c>
      <c r="B106" s="177" t="s">
        <v>369</v>
      </c>
      <c r="C106" s="177" t="s">
        <v>1022</v>
      </c>
      <c r="D106" s="177" t="s">
        <v>1023</v>
      </c>
      <c r="E106" s="177" t="s">
        <v>69</v>
      </c>
      <c r="F106" s="740">
        <f>F107</f>
        <v>15</v>
      </c>
      <c r="G106" s="178"/>
      <c r="H106" s="315">
        <f t="shared" si="21"/>
        <v>0</v>
      </c>
      <c r="I106" s="216" t="s">
        <v>138</v>
      </c>
      <c r="J106" s="182"/>
      <c r="K106" s="749"/>
      <c r="L106" s="141"/>
    </row>
    <row r="107" spans="1:19" s="135" customFormat="1" ht="13.5" customHeight="1">
      <c r="A107" s="298"/>
      <c r="B107" s="299"/>
      <c r="C107" s="299"/>
      <c r="D107" s="183" t="s">
        <v>1024</v>
      </c>
      <c r="E107" s="299"/>
      <c r="F107" s="742">
        <v>15</v>
      </c>
      <c r="G107" s="178"/>
      <c r="H107" s="178"/>
      <c r="I107" s="150"/>
      <c r="K107" s="750"/>
      <c r="L107" s="141"/>
    </row>
    <row r="108" spans="1:19" s="135" customFormat="1" ht="13.5" customHeight="1">
      <c r="A108" s="298"/>
      <c r="B108" s="299"/>
      <c r="C108" s="299"/>
      <c r="D108" s="183" t="s">
        <v>540</v>
      </c>
      <c r="E108" s="299"/>
      <c r="F108" s="742"/>
      <c r="G108" s="178"/>
      <c r="H108" s="178"/>
      <c r="I108" s="150"/>
      <c r="K108" s="750"/>
      <c r="L108" s="141"/>
    </row>
    <row r="109" spans="1:19" s="158" customFormat="1" ht="13.5" customHeight="1">
      <c r="A109" s="751"/>
      <c r="B109" s="752"/>
      <c r="C109" s="149">
        <v>767</v>
      </c>
      <c r="D109" s="149" t="s">
        <v>1085</v>
      </c>
      <c r="E109" s="752"/>
      <c r="F109" s="753"/>
      <c r="G109" s="753"/>
      <c r="H109" s="753">
        <f>SUM(H110:H117)</f>
        <v>0</v>
      </c>
      <c r="I109" s="754"/>
      <c r="J109" s="755"/>
      <c r="K109" s="756"/>
    </row>
    <row r="110" spans="1:19" s="158" customFormat="1" ht="27" customHeight="1">
      <c r="A110" s="356">
        <v>24</v>
      </c>
      <c r="B110" s="180">
        <v>767</v>
      </c>
      <c r="C110" s="177" t="s">
        <v>1086</v>
      </c>
      <c r="D110" s="757" t="s">
        <v>1087</v>
      </c>
      <c r="E110" s="662" t="s">
        <v>210</v>
      </c>
      <c r="F110" s="740">
        <f>ROUND(SUM(F112),3)</f>
        <v>1</v>
      </c>
      <c r="G110" s="664"/>
      <c r="H110" s="741">
        <f>ROUND(F110*G110,2)</f>
        <v>0</v>
      </c>
      <c r="I110" s="676" t="s">
        <v>112</v>
      </c>
      <c r="J110" s="758"/>
      <c r="K110" s="759"/>
      <c r="L110" s="760"/>
      <c r="M110" s="761"/>
      <c r="N110" s="762"/>
      <c r="O110" s="763"/>
    </row>
    <row r="111" spans="1:19" s="135" customFormat="1" ht="13.5" customHeight="1">
      <c r="A111" s="179"/>
      <c r="B111" s="180"/>
      <c r="C111" s="177"/>
      <c r="D111" s="183" t="s">
        <v>1088</v>
      </c>
      <c r="E111" s="177"/>
      <c r="F111" s="742"/>
      <c r="G111" s="181"/>
      <c r="H111" s="181"/>
      <c r="I111" s="764"/>
      <c r="J111" s="633"/>
      <c r="K111" s="725"/>
      <c r="L111" s="141"/>
      <c r="M111" s="141"/>
      <c r="N111" s="141"/>
      <c r="O111" s="141"/>
      <c r="P111" s="141"/>
      <c r="Q111" s="141"/>
      <c r="R111" s="141"/>
      <c r="S111" s="141"/>
    </row>
    <row r="112" spans="1:19" s="135" customFormat="1" ht="13.5" customHeight="1">
      <c r="A112" s="179"/>
      <c r="B112" s="180"/>
      <c r="C112" s="177"/>
      <c r="D112" s="183" t="s">
        <v>1089</v>
      </c>
      <c r="E112" s="177"/>
      <c r="F112" s="742">
        <v>1</v>
      </c>
      <c r="G112" s="181"/>
      <c r="H112" s="181"/>
      <c r="I112" s="765"/>
      <c r="J112" s="766"/>
      <c r="K112" s="767"/>
      <c r="L112" s="325"/>
      <c r="M112" s="325"/>
      <c r="N112" s="325"/>
      <c r="O112" s="325"/>
      <c r="P112" s="325"/>
      <c r="Q112" s="325"/>
      <c r="R112" s="442"/>
      <c r="S112" s="182"/>
    </row>
    <row r="113" spans="1:22" s="135" customFormat="1" ht="13.5" customHeight="1">
      <c r="A113" s="179"/>
      <c r="B113" s="180"/>
      <c r="C113" s="177"/>
      <c r="D113" s="183" t="s">
        <v>1033</v>
      </c>
      <c r="E113" s="177"/>
      <c r="F113" s="742"/>
      <c r="G113" s="181"/>
      <c r="H113" s="181"/>
      <c r="I113" s="765"/>
      <c r="J113" s="766"/>
      <c r="K113" s="767"/>
      <c r="L113" s="325"/>
      <c r="M113" s="325"/>
      <c r="N113" s="325"/>
      <c r="O113" s="325"/>
      <c r="P113" s="325"/>
      <c r="Q113" s="325"/>
      <c r="R113" s="442"/>
      <c r="S113" s="182"/>
    </row>
    <row r="114" spans="1:22" s="158" customFormat="1" ht="13.5" customHeight="1">
      <c r="A114" s="356">
        <v>25</v>
      </c>
      <c r="B114" s="180" t="s">
        <v>1090</v>
      </c>
      <c r="C114" s="177">
        <v>998767202</v>
      </c>
      <c r="D114" s="177" t="s">
        <v>1091</v>
      </c>
      <c r="E114" s="357" t="s">
        <v>10</v>
      </c>
      <c r="F114" s="768">
        <v>0.98</v>
      </c>
      <c r="G114" s="664"/>
      <c r="H114" s="741">
        <f>ROUND(F114*G114,2)</f>
        <v>0</v>
      </c>
      <c r="I114" s="676" t="s">
        <v>138</v>
      </c>
      <c r="J114" s="769"/>
      <c r="K114" s="770"/>
      <c r="L114" s="771"/>
      <c r="M114" s="761"/>
    </row>
    <row r="115" spans="1:22" s="158" customFormat="1" ht="13.5" customHeight="1">
      <c r="A115" s="356">
        <v>26</v>
      </c>
      <c r="B115" s="180" t="s">
        <v>369</v>
      </c>
      <c r="C115" s="177" t="s">
        <v>1092</v>
      </c>
      <c r="D115" s="177" t="s">
        <v>1093</v>
      </c>
      <c r="E115" s="357" t="s">
        <v>69</v>
      </c>
      <c r="F115" s="740">
        <f>ROUND(SUM(F116),3)</f>
        <v>5</v>
      </c>
      <c r="G115" s="664"/>
      <c r="H115" s="741">
        <f>ROUND(F115*G115,2)</f>
        <v>0</v>
      </c>
      <c r="I115" s="676" t="s">
        <v>138</v>
      </c>
      <c r="J115" s="769"/>
      <c r="K115" s="770"/>
      <c r="L115" s="771"/>
      <c r="M115" s="761"/>
    </row>
    <row r="116" spans="1:22" s="135" customFormat="1" ht="13.5" customHeight="1">
      <c r="A116" s="179"/>
      <c r="B116" s="180"/>
      <c r="C116" s="177"/>
      <c r="D116" s="183" t="s">
        <v>1024</v>
      </c>
      <c r="E116" s="177"/>
      <c r="F116" s="742">
        <v>5</v>
      </c>
      <c r="G116" s="181"/>
      <c r="H116" s="181"/>
      <c r="I116" s="765"/>
      <c r="J116" s="766"/>
      <c r="K116" s="767"/>
      <c r="L116" s="325"/>
      <c r="M116" s="325"/>
      <c r="N116" s="325"/>
      <c r="O116" s="325"/>
      <c r="P116" s="325"/>
      <c r="Q116" s="325"/>
      <c r="R116" s="442"/>
      <c r="S116" s="182"/>
    </row>
    <row r="117" spans="1:22" s="135" customFormat="1" ht="13.5" customHeight="1">
      <c r="A117" s="179"/>
      <c r="B117" s="180"/>
      <c r="C117" s="177"/>
      <c r="D117" s="183" t="s">
        <v>540</v>
      </c>
      <c r="E117" s="177"/>
      <c r="F117" s="742"/>
      <c r="G117" s="181"/>
      <c r="H117" s="181"/>
      <c r="I117" s="765"/>
      <c r="J117" s="766"/>
      <c r="K117" s="767"/>
      <c r="L117" s="325"/>
      <c r="M117" s="325"/>
      <c r="N117" s="325"/>
      <c r="O117" s="325"/>
      <c r="P117" s="325"/>
      <c r="Q117" s="325"/>
      <c r="R117" s="442"/>
      <c r="S117" s="182"/>
    </row>
    <row r="118" spans="1:22" s="158" customFormat="1" ht="13.5" customHeight="1">
      <c r="A118" s="148"/>
      <c r="B118" s="149"/>
      <c r="C118" s="149">
        <v>786</v>
      </c>
      <c r="D118" s="149" t="s">
        <v>1094</v>
      </c>
      <c r="E118" s="149"/>
      <c r="F118" s="772"/>
      <c r="G118" s="738"/>
      <c r="H118" s="738">
        <f>SUM(H119:H154)</f>
        <v>0</v>
      </c>
      <c r="I118" s="150"/>
      <c r="J118" s="135"/>
      <c r="K118" s="756"/>
    </row>
    <row r="119" spans="1:22" s="135" customFormat="1" ht="27" customHeight="1">
      <c r="A119" s="176">
        <v>28</v>
      </c>
      <c r="B119" s="177">
        <v>786</v>
      </c>
      <c r="C119" s="177" t="s">
        <v>1095</v>
      </c>
      <c r="D119" s="177" t="s">
        <v>1096</v>
      </c>
      <c r="E119" s="177" t="s">
        <v>49</v>
      </c>
      <c r="F119" s="773">
        <f>ROUND(SUM(F121),3)</f>
        <v>1</v>
      </c>
      <c r="G119" s="178"/>
      <c r="H119" s="315">
        <f t="shared" ref="H119" si="22">ROUND(F119*G119,2)</f>
        <v>0</v>
      </c>
      <c r="I119" s="216" t="s">
        <v>112</v>
      </c>
      <c r="J119" s="758"/>
      <c r="K119" s="283"/>
      <c r="L119" s="218"/>
      <c r="M119" s="218"/>
      <c r="N119" s="726"/>
      <c r="O119" s="218"/>
      <c r="P119" s="218"/>
      <c r="Q119" s="218"/>
      <c r="R119" s="218"/>
      <c r="S119" s="218"/>
      <c r="T119" s="218"/>
      <c r="U119" s="218"/>
      <c r="V119" s="218"/>
    </row>
    <row r="120" spans="1:22" s="135" customFormat="1" ht="13.5" customHeight="1">
      <c r="A120" s="176"/>
      <c r="B120" s="177"/>
      <c r="C120" s="177"/>
      <c r="D120" s="300" t="s">
        <v>1097</v>
      </c>
      <c r="E120" s="177"/>
      <c r="F120" s="740"/>
      <c r="G120" s="178"/>
      <c r="H120" s="178"/>
      <c r="I120" s="216"/>
      <c r="J120" s="633"/>
      <c r="K120" s="347"/>
      <c r="N120" s="726"/>
    </row>
    <row r="121" spans="1:22" s="158" customFormat="1" ht="13.5" customHeight="1">
      <c r="A121" s="343"/>
      <c r="B121" s="149"/>
      <c r="C121" s="149"/>
      <c r="D121" s="300" t="s">
        <v>1098</v>
      </c>
      <c r="E121" s="149"/>
      <c r="F121" s="742">
        <v>1</v>
      </c>
      <c r="G121" s="345"/>
      <c r="H121" s="345"/>
      <c r="I121" s="216"/>
      <c r="J121" s="766"/>
      <c r="K121" s="774"/>
      <c r="N121" s="726"/>
    </row>
    <row r="122" spans="1:22" s="158" customFormat="1" ht="40.5" customHeight="1">
      <c r="A122" s="148"/>
      <c r="B122" s="149"/>
      <c r="C122" s="149"/>
      <c r="D122" s="300" t="s">
        <v>1099</v>
      </c>
      <c r="E122" s="149"/>
      <c r="F122" s="772"/>
      <c r="G122" s="738"/>
      <c r="H122" s="738"/>
      <c r="I122" s="150"/>
      <c r="J122" s="766"/>
      <c r="K122" s="756"/>
    </row>
    <row r="123" spans="1:22" s="135" customFormat="1" ht="27" customHeight="1">
      <c r="A123" s="176">
        <v>29</v>
      </c>
      <c r="B123" s="177">
        <v>786</v>
      </c>
      <c r="C123" s="177" t="s">
        <v>1100</v>
      </c>
      <c r="D123" s="177" t="s">
        <v>1101</v>
      </c>
      <c r="E123" s="177" t="s">
        <v>49</v>
      </c>
      <c r="F123" s="773">
        <f>ROUND(SUM(F125),3)</f>
        <v>3</v>
      </c>
      <c r="G123" s="178"/>
      <c r="H123" s="315">
        <f t="shared" ref="H123" si="23">ROUND(F123*G123,2)</f>
        <v>0</v>
      </c>
      <c r="I123" s="216" t="s">
        <v>112</v>
      </c>
      <c r="J123" s="758"/>
      <c r="K123" s="283"/>
      <c r="L123" s="218"/>
      <c r="M123" s="218"/>
      <c r="N123" s="726"/>
      <c r="O123" s="218"/>
      <c r="P123" s="218"/>
      <c r="Q123" s="218"/>
      <c r="R123" s="218"/>
      <c r="S123" s="218"/>
      <c r="T123" s="218"/>
      <c r="U123" s="218"/>
      <c r="V123" s="218"/>
    </row>
    <row r="124" spans="1:22" s="135" customFormat="1" ht="13.5" customHeight="1">
      <c r="A124" s="176"/>
      <c r="B124" s="177"/>
      <c r="C124" s="177"/>
      <c r="D124" s="300" t="s">
        <v>1097</v>
      </c>
      <c r="E124" s="177"/>
      <c r="F124" s="740"/>
      <c r="G124" s="178"/>
      <c r="H124" s="178"/>
      <c r="I124" s="216"/>
      <c r="J124" s="766"/>
      <c r="K124" s="347"/>
      <c r="N124" s="726"/>
    </row>
    <row r="125" spans="1:22" s="158" customFormat="1" ht="13.5" customHeight="1">
      <c r="A125" s="343"/>
      <c r="B125" s="149"/>
      <c r="C125" s="149"/>
      <c r="D125" s="300" t="s">
        <v>1098</v>
      </c>
      <c r="E125" s="149"/>
      <c r="F125" s="742">
        <v>3</v>
      </c>
      <c r="G125" s="345"/>
      <c r="H125" s="345"/>
      <c r="I125" s="216"/>
      <c r="J125" s="633"/>
      <c r="K125" s="774"/>
      <c r="N125" s="726"/>
    </row>
    <row r="126" spans="1:22" s="158" customFormat="1" ht="40.5" customHeight="1">
      <c r="A126" s="148"/>
      <c r="B126" s="149"/>
      <c r="C126" s="149"/>
      <c r="D126" s="300" t="s">
        <v>1099</v>
      </c>
      <c r="E126" s="149"/>
      <c r="F126" s="772"/>
      <c r="G126" s="738"/>
      <c r="H126" s="738"/>
      <c r="I126" s="150"/>
      <c r="K126" s="756"/>
    </row>
    <row r="127" spans="1:22" s="135" customFormat="1" ht="27" customHeight="1">
      <c r="A127" s="176">
        <v>30</v>
      </c>
      <c r="B127" s="177">
        <v>786</v>
      </c>
      <c r="C127" s="177" t="s">
        <v>1102</v>
      </c>
      <c r="D127" s="177" t="s">
        <v>1103</v>
      </c>
      <c r="E127" s="177" t="s">
        <v>49</v>
      </c>
      <c r="F127" s="773">
        <f>ROUND(SUM(F129),3)</f>
        <v>1</v>
      </c>
      <c r="G127" s="178"/>
      <c r="H127" s="315">
        <f t="shared" ref="H127" si="24">ROUND(F127*G127,2)</f>
        <v>0</v>
      </c>
      <c r="I127" s="216" t="s">
        <v>112</v>
      </c>
      <c r="J127" s="758"/>
      <c r="K127" s="283"/>
      <c r="L127" s="218"/>
      <c r="M127" s="218"/>
      <c r="N127" s="726"/>
      <c r="O127" s="218"/>
      <c r="P127" s="218"/>
      <c r="Q127" s="218"/>
      <c r="R127" s="218"/>
      <c r="S127" s="218"/>
      <c r="T127" s="218"/>
      <c r="U127" s="218"/>
      <c r="V127" s="218"/>
    </row>
    <row r="128" spans="1:22" s="135" customFormat="1" ht="13.5" customHeight="1">
      <c r="A128" s="176"/>
      <c r="B128" s="177"/>
      <c r="C128" s="177"/>
      <c r="D128" s="300" t="s">
        <v>1097</v>
      </c>
      <c r="E128" s="177"/>
      <c r="F128" s="740"/>
      <c r="G128" s="178"/>
      <c r="H128" s="178"/>
      <c r="I128" s="216"/>
      <c r="J128" s="633"/>
      <c r="K128" s="347"/>
      <c r="N128" s="726"/>
    </row>
    <row r="129" spans="1:22" s="158" customFormat="1" ht="13.5" customHeight="1">
      <c r="A129" s="343"/>
      <c r="B129" s="149"/>
      <c r="C129" s="149"/>
      <c r="D129" s="300" t="s">
        <v>1098</v>
      </c>
      <c r="E129" s="149"/>
      <c r="F129" s="742">
        <v>1</v>
      </c>
      <c r="G129" s="345"/>
      <c r="H129" s="345"/>
      <c r="I129" s="216"/>
      <c r="J129" s="766"/>
      <c r="K129" s="774"/>
      <c r="N129" s="726"/>
    </row>
    <row r="130" spans="1:22" s="158" customFormat="1" ht="40.5" customHeight="1">
      <c r="A130" s="148"/>
      <c r="B130" s="149"/>
      <c r="C130" s="149"/>
      <c r="D130" s="300" t="s">
        <v>1099</v>
      </c>
      <c r="E130" s="149"/>
      <c r="F130" s="772"/>
      <c r="G130" s="738"/>
      <c r="H130" s="738"/>
      <c r="I130" s="150"/>
      <c r="J130" s="766"/>
      <c r="K130" s="756"/>
    </row>
    <row r="131" spans="1:22" s="135" customFormat="1" ht="27" customHeight="1">
      <c r="A131" s="176">
        <v>31</v>
      </c>
      <c r="B131" s="177">
        <v>786</v>
      </c>
      <c r="C131" s="177" t="s">
        <v>1104</v>
      </c>
      <c r="D131" s="177" t="s">
        <v>1105</v>
      </c>
      <c r="E131" s="177" t="s">
        <v>49</v>
      </c>
      <c r="F131" s="773">
        <f>ROUND(SUM(F133),3)</f>
        <v>1</v>
      </c>
      <c r="G131" s="178"/>
      <c r="H131" s="315">
        <f t="shared" ref="H131" si="25">ROUND(F131*G131,2)</f>
        <v>0</v>
      </c>
      <c r="I131" s="216" t="s">
        <v>112</v>
      </c>
      <c r="J131" s="758"/>
      <c r="K131" s="283"/>
      <c r="L131" s="218"/>
      <c r="M131" s="218"/>
      <c r="N131" s="726"/>
      <c r="O131" s="218"/>
      <c r="P131" s="218"/>
      <c r="Q131" s="218"/>
      <c r="R131" s="218"/>
      <c r="S131" s="218"/>
      <c r="T131" s="218"/>
      <c r="U131" s="218"/>
      <c r="V131" s="218"/>
    </row>
    <row r="132" spans="1:22" s="135" customFormat="1" ht="13.5" customHeight="1">
      <c r="A132" s="176"/>
      <c r="B132" s="177"/>
      <c r="C132" s="177"/>
      <c r="D132" s="300" t="s">
        <v>1097</v>
      </c>
      <c r="E132" s="177"/>
      <c r="F132" s="740"/>
      <c r="G132" s="178"/>
      <c r="H132" s="178"/>
      <c r="I132" s="216"/>
      <c r="K132" s="347"/>
      <c r="N132" s="726"/>
    </row>
    <row r="133" spans="1:22" s="158" customFormat="1" ht="13.5" customHeight="1">
      <c r="A133" s="343"/>
      <c r="B133" s="149"/>
      <c r="C133" s="149"/>
      <c r="D133" s="300" t="s">
        <v>1098</v>
      </c>
      <c r="E133" s="149"/>
      <c r="F133" s="742">
        <v>1</v>
      </c>
      <c r="G133" s="345"/>
      <c r="H133" s="345"/>
      <c r="I133" s="216"/>
      <c r="J133" s="633"/>
      <c r="K133" s="774"/>
      <c r="N133" s="726"/>
    </row>
    <row r="134" spans="1:22" s="158" customFormat="1" ht="40.5" customHeight="1">
      <c r="A134" s="148"/>
      <c r="B134" s="149"/>
      <c r="C134" s="149"/>
      <c r="D134" s="300" t="s">
        <v>1099</v>
      </c>
      <c r="E134" s="149"/>
      <c r="F134" s="772"/>
      <c r="G134" s="738"/>
      <c r="H134" s="738"/>
      <c r="I134" s="150"/>
      <c r="J134" s="766"/>
      <c r="K134" s="756"/>
    </row>
    <row r="135" spans="1:22" s="158" customFormat="1" ht="13.5" customHeight="1">
      <c r="A135" s="356">
        <v>32</v>
      </c>
      <c r="B135" s="180" t="s">
        <v>1106</v>
      </c>
      <c r="C135" s="177" t="s">
        <v>1107</v>
      </c>
      <c r="D135" s="177" t="s">
        <v>1108</v>
      </c>
      <c r="E135" s="357" t="s">
        <v>165</v>
      </c>
      <c r="F135" s="740">
        <f>ROUND(SUM(F139:F146),3)</f>
        <v>185.94</v>
      </c>
      <c r="G135" s="664"/>
      <c r="H135" s="741">
        <f>ROUND(F135*G135,2)</f>
        <v>0</v>
      </c>
      <c r="I135" s="216" t="s">
        <v>112</v>
      </c>
      <c r="J135" s="769"/>
      <c r="K135" s="770"/>
      <c r="L135" s="771"/>
      <c r="M135" s="761"/>
    </row>
    <row r="136" spans="1:22" s="135" customFormat="1" ht="27" customHeight="1">
      <c r="A136" s="179"/>
      <c r="B136" s="180"/>
      <c r="C136" s="177"/>
      <c r="D136" s="183" t="s">
        <v>1109</v>
      </c>
      <c r="E136" s="177"/>
      <c r="F136" s="742"/>
      <c r="G136" s="181"/>
      <c r="H136" s="181"/>
      <c r="I136" s="764"/>
      <c r="J136" s="775"/>
      <c r="K136" s="725"/>
      <c r="L136" s="141"/>
      <c r="M136" s="141"/>
      <c r="N136" s="141"/>
      <c r="O136" s="141"/>
      <c r="P136" s="141"/>
      <c r="Q136" s="141"/>
      <c r="R136" s="141"/>
      <c r="S136" s="141"/>
    </row>
    <row r="137" spans="1:22" s="135" customFormat="1" ht="13.5" customHeight="1">
      <c r="A137" s="179"/>
      <c r="B137" s="180"/>
      <c r="C137" s="177"/>
      <c r="D137" s="183" t="s">
        <v>1110</v>
      </c>
      <c r="E137" s="177"/>
      <c r="F137" s="742"/>
      <c r="G137" s="181"/>
      <c r="H137" s="181"/>
      <c r="I137" s="765"/>
      <c r="J137" s="766"/>
      <c r="K137" s="767"/>
      <c r="L137" s="325"/>
      <c r="M137" s="325"/>
      <c r="N137" s="325"/>
      <c r="O137" s="325"/>
      <c r="P137" s="325"/>
      <c r="Q137" s="325"/>
      <c r="R137" s="442"/>
      <c r="S137" s="182"/>
    </row>
    <row r="138" spans="1:22" s="135" customFormat="1" ht="13.5" customHeight="1">
      <c r="A138" s="179"/>
      <c r="B138" s="180"/>
      <c r="C138" s="177"/>
      <c r="D138" s="183" t="s">
        <v>1040</v>
      </c>
      <c r="E138" s="177"/>
      <c r="F138" s="742"/>
      <c r="G138" s="181"/>
      <c r="H138" s="181"/>
      <c r="I138" s="765"/>
      <c r="J138" s="766"/>
      <c r="K138" s="767"/>
      <c r="L138" s="325"/>
      <c r="M138" s="325"/>
      <c r="N138" s="325"/>
      <c r="O138" s="325"/>
      <c r="P138" s="325"/>
      <c r="Q138" s="325"/>
      <c r="R138" s="442"/>
      <c r="S138" s="182"/>
    </row>
    <row r="139" spans="1:22" s="135" customFormat="1" ht="13.5" customHeight="1">
      <c r="A139" s="179"/>
      <c r="B139" s="180"/>
      <c r="C139" s="177"/>
      <c r="D139" s="183" t="s">
        <v>1111</v>
      </c>
      <c r="E139" s="177"/>
      <c r="F139" s="742">
        <f>(1.2*1.8)*3</f>
        <v>6.48</v>
      </c>
      <c r="G139" s="181"/>
      <c r="H139" s="181"/>
      <c r="I139" s="765"/>
      <c r="J139" s="766"/>
      <c r="K139" s="767"/>
      <c r="L139" s="325"/>
      <c r="M139" s="325"/>
      <c r="N139" s="325"/>
      <c r="O139" s="325"/>
      <c r="P139" s="325"/>
      <c r="Q139" s="325"/>
      <c r="R139" s="442"/>
      <c r="S139" s="182"/>
    </row>
    <row r="140" spans="1:22" s="135" customFormat="1" ht="13.5" customHeight="1">
      <c r="A140" s="179"/>
      <c r="B140" s="180"/>
      <c r="C140" s="177"/>
      <c r="D140" s="183" t="s">
        <v>1112</v>
      </c>
      <c r="E140" s="177"/>
      <c r="F140" s="742">
        <f>(2.4*1.8)*6</f>
        <v>25.92</v>
      </c>
      <c r="G140" s="181"/>
      <c r="H140" s="181"/>
      <c r="I140" s="765"/>
      <c r="J140" s="766"/>
      <c r="K140" s="767"/>
      <c r="L140" s="325"/>
      <c r="M140" s="325"/>
      <c r="N140" s="325"/>
      <c r="O140" s="325"/>
      <c r="P140" s="325"/>
      <c r="Q140" s="325"/>
      <c r="R140" s="442"/>
      <c r="S140" s="182"/>
    </row>
    <row r="141" spans="1:22" s="135" customFormat="1" ht="13.5" customHeight="1">
      <c r="A141" s="179"/>
      <c r="B141" s="180"/>
      <c r="C141" s="177"/>
      <c r="D141" s="183" t="s">
        <v>1113</v>
      </c>
      <c r="E141" s="177"/>
      <c r="F141" s="742">
        <f>(2.4*1.8)*2</f>
        <v>8.64</v>
      </c>
      <c r="G141" s="181"/>
      <c r="H141" s="181"/>
      <c r="I141" s="765"/>
      <c r="J141" s="766"/>
      <c r="K141" s="767"/>
      <c r="L141" s="325"/>
      <c r="M141" s="325"/>
      <c r="N141" s="325"/>
      <c r="O141" s="325"/>
      <c r="P141" s="325"/>
      <c r="Q141" s="325"/>
      <c r="R141" s="442"/>
      <c r="S141" s="182"/>
    </row>
    <row r="142" spans="1:22" s="135" customFormat="1" ht="13.5" customHeight="1">
      <c r="A142" s="179"/>
      <c r="B142" s="180"/>
      <c r="C142" s="177"/>
      <c r="D142" s="183" t="s">
        <v>1114</v>
      </c>
      <c r="E142" s="177"/>
      <c r="F142" s="742">
        <f>(2.4*2.1)*6</f>
        <v>30.240000000000002</v>
      </c>
      <c r="G142" s="181"/>
      <c r="H142" s="181"/>
      <c r="I142" s="765"/>
      <c r="J142" s="766"/>
      <c r="K142" s="767"/>
      <c r="L142" s="325"/>
      <c r="M142" s="325"/>
      <c r="N142" s="325"/>
      <c r="O142" s="325"/>
      <c r="P142" s="325"/>
      <c r="Q142" s="325"/>
      <c r="R142" s="442"/>
      <c r="S142" s="182"/>
    </row>
    <row r="143" spans="1:22" s="135" customFormat="1" ht="13.5" customHeight="1">
      <c r="A143" s="179"/>
      <c r="B143" s="180"/>
      <c r="C143" s="177"/>
      <c r="D143" s="183" t="s">
        <v>1071</v>
      </c>
      <c r="E143" s="177"/>
      <c r="F143" s="742"/>
      <c r="G143" s="181"/>
      <c r="H143" s="181"/>
      <c r="I143" s="765"/>
      <c r="J143" s="766"/>
      <c r="K143" s="767"/>
      <c r="L143" s="325"/>
      <c r="M143" s="325"/>
      <c r="N143" s="325"/>
      <c r="O143" s="325"/>
      <c r="P143" s="325"/>
      <c r="Q143" s="325"/>
      <c r="R143" s="442"/>
      <c r="S143" s="182"/>
    </row>
    <row r="144" spans="1:22" s="135" customFormat="1" ht="13.5" customHeight="1">
      <c r="A144" s="179"/>
      <c r="B144" s="180"/>
      <c r="C144" s="177"/>
      <c r="D144" s="183" t="s">
        <v>1115</v>
      </c>
      <c r="E144" s="177"/>
      <c r="F144" s="742">
        <f>(2.4*2.1)*21</f>
        <v>105.84</v>
      </c>
      <c r="G144" s="181"/>
      <c r="H144" s="181"/>
      <c r="I144" s="765"/>
      <c r="J144" s="766"/>
      <c r="K144" s="767"/>
      <c r="L144" s="325"/>
      <c r="M144" s="325"/>
      <c r="N144" s="325"/>
      <c r="O144" s="325"/>
      <c r="P144" s="325"/>
      <c r="Q144" s="325"/>
      <c r="R144" s="442"/>
      <c r="S144" s="182"/>
    </row>
    <row r="145" spans="1:63" s="135" customFormat="1" ht="13.5" customHeight="1">
      <c r="A145" s="179"/>
      <c r="B145" s="180"/>
      <c r="C145" s="177"/>
      <c r="D145" s="183" t="s">
        <v>1116</v>
      </c>
      <c r="E145" s="177"/>
      <c r="F145" s="742">
        <f>(0.9*2.1)*2</f>
        <v>3.7800000000000002</v>
      </c>
      <c r="G145" s="181"/>
      <c r="H145" s="181"/>
      <c r="I145" s="765"/>
      <c r="J145" s="766"/>
      <c r="K145" s="767"/>
      <c r="L145" s="325"/>
      <c r="M145" s="325"/>
      <c r="N145" s="325"/>
      <c r="O145" s="325"/>
      <c r="P145" s="325"/>
      <c r="Q145" s="325"/>
      <c r="R145" s="442"/>
      <c r="S145" s="182"/>
    </row>
    <row r="146" spans="1:63" s="135" customFormat="1" ht="13.5" customHeight="1">
      <c r="A146" s="179"/>
      <c r="B146" s="180"/>
      <c r="C146" s="177"/>
      <c r="D146" s="183" t="s">
        <v>1117</v>
      </c>
      <c r="E146" s="177"/>
      <c r="F146" s="742">
        <f>(1.2*2.1)*2</f>
        <v>5.04</v>
      </c>
      <c r="G146" s="181"/>
      <c r="H146" s="181"/>
      <c r="I146" s="765"/>
      <c r="J146" s="766"/>
      <c r="K146" s="767"/>
      <c r="L146" s="325"/>
      <c r="M146" s="325"/>
      <c r="N146" s="325"/>
      <c r="O146" s="325"/>
      <c r="P146" s="325"/>
      <c r="Q146" s="325"/>
      <c r="R146" s="442"/>
      <c r="S146" s="182"/>
    </row>
    <row r="147" spans="1:63" s="135" customFormat="1" ht="27" customHeight="1">
      <c r="A147" s="179"/>
      <c r="B147" s="180"/>
      <c r="C147" s="177"/>
      <c r="D147" s="183" t="s">
        <v>1118</v>
      </c>
      <c r="E147" s="177"/>
      <c r="F147" s="742"/>
      <c r="G147" s="181"/>
      <c r="H147" s="181"/>
      <c r="I147" s="764"/>
      <c r="J147" s="775"/>
      <c r="K147" s="725"/>
      <c r="L147" s="141"/>
      <c r="M147" s="141"/>
      <c r="N147" s="141"/>
      <c r="O147" s="141"/>
      <c r="P147" s="141"/>
      <c r="Q147" s="141"/>
      <c r="R147" s="141"/>
      <c r="S147" s="141"/>
    </row>
    <row r="148" spans="1:63" s="135" customFormat="1" ht="40.5" customHeight="1">
      <c r="A148" s="179"/>
      <c r="B148" s="180"/>
      <c r="C148" s="177"/>
      <c r="D148" s="183" t="s">
        <v>1119</v>
      </c>
      <c r="E148" s="177"/>
      <c r="F148" s="742"/>
      <c r="G148" s="181"/>
      <c r="H148" s="181"/>
      <c r="I148" s="764"/>
      <c r="J148" s="775"/>
      <c r="K148" s="725"/>
      <c r="L148" s="141"/>
      <c r="M148" s="141"/>
      <c r="N148" s="141"/>
      <c r="O148" s="141"/>
      <c r="P148" s="141"/>
      <c r="Q148" s="141"/>
      <c r="R148" s="141"/>
      <c r="S148" s="141"/>
    </row>
    <row r="149" spans="1:63" s="135" customFormat="1" ht="13.5" customHeight="1">
      <c r="A149" s="179"/>
      <c r="B149" s="180"/>
      <c r="C149" s="177"/>
      <c r="D149" s="183" t="s">
        <v>1120</v>
      </c>
      <c r="E149" s="177"/>
      <c r="F149" s="742"/>
      <c r="G149" s="181"/>
      <c r="H149" s="181"/>
      <c r="I149" s="765"/>
      <c r="J149" s="766"/>
      <c r="K149" s="767"/>
      <c r="L149" s="325"/>
      <c r="M149" s="325"/>
      <c r="N149" s="325"/>
      <c r="O149" s="325"/>
      <c r="P149" s="325"/>
      <c r="Q149" s="325"/>
      <c r="R149" s="442"/>
      <c r="S149" s="182"/>
    </row>
    <row r="150" spans="1:63" s="135" customFormat="1" ht="13.5" customHeight="1">
      <c r="A150" s="179"/>
      <c r="B150" s="180"/>
      <c r="C150" s="177"/>
      <c r="D150" s="776" t="s">
        <v>1121</v>
      </c>
      <c r="E150" s="177"/>
      <c r="F150" s="742"/>
      <c r="G150" s="181"/>
      <c r="H150" s="181"/>
      <c r="I150" s="765"/>
      <c r="J150" s="766"/>
      <c r="K150" s="767"/>
      <c r="L150" s="325"/>
      <c r="M150" s="325"/>
      <c r="N150" s="325"/>
      <c r="O150" s="325"/>
      <c r="P150" s="325"/>
      <c r="Q150" s="325"/>
      <c r="R150" s="442"/>
      <c r="S150" s="182"/>
    </row>
    <row r="151" spans="1:63" s="135" customFormat="1" ht="13.5" customHeight="1">
      <c r="A151" s="176">
        <v>33</v>
      </c>
      <c r="B151" s="177">
        <v>786</v>
      </c>
      <c r="C151" s="177">
        <v>998786202</v>
      </c>
      <c r="D151" s="177" t="s">
        <v>1122</v>
      </c>
      <c r="E151" s="177" t="s">
        <v>10</v>
      </c>
      <c r="F151" s="740">
        <v>0.23</v>
      </c>
      <c r="G151" s="178"/>
      <c r="H151" s="315">
        <f t="shared" ref="H151:H152" si="26">ROUND(F151*G151,2)</f>
        <v>0</v>
      </c>
      <c r="I151" s="216" t="s">
        <v>138</v>
      </c>
      <c r="J151" s="775"/>
      <c r="K151" s="777"/>
    </row>
    <row r="152" spans="1:63" s="135" customFormat="1" ht="13.5" customHeight="1">
      <c r="A152" s="176">
        <v>34</v>
      </c>
      <c r="B152" s="177" t="s">
        <v>369</v>
      </c>
      <c r="C152" s="177" t="s">
        <v>856</v>
      </c>
      <c r="D152" s="177" t="s">
        <v>857</v>
      </c>
      <c r="E152" s="177" t="s">
        <v>69</v>
      </c>
      <c r="F152" s="740">
        <f>F153</f>
        <v>15</v>
      </c>
      <c r="G152" s="178"/>
      <c r="H152" s="315">
        <f t="shared" si="26"/>
        <v>0</v>
      </c>
      <c r="I152" s="216" t="s">
        <v>138</v>
      </c>
      <c r="J152" s="766"/>
      <c r="K152" s="347"/>
    </row>
    <row r="153" spans="1:63" s="135" customFormat="1" ht="13.5" customHeight="1">
      <c r="A153" s="307"/>
      <c r="B153" s="299"/>
      <c r="C153" s="299"/>
      <c r="D153" s="183" t="s">
        <v>1123</v>
      </c>
      <c r="E153" s="299"/>
      <c r="F153" s="742">
        <v>15</v>
      </c>
      <c r="G153" s="309"/>
      <c r="H153" s="178"/>
      <c r="I153" s="150"/>
      <c r="J153" s="766"/>
      <c r="K153" s="347"/>
    </row>
    <row r="154" spans="1:63" s="135" customFormat="1" ht="13.5" customHeight="1">
      <c r="A154" s="307"/>
      <c r="B154" s="299"/>
      <c r="C154" s="299"/>
      <c r="D154" s="183" t="s">
        <v>540</v>
      </c>
      <c r="E154" s="299"/>
      <c r="F154" s="742"/>
      <c r="G154" s="309"/>
      <c r="H154" s="178"/>
      <c r="I154" s="150"/>
      <c r="J154" s="633"/>
      <c r="K154" s="347"/>
    </row>
    <row r="155" spans="1:63" s="135" customFormat="1" ht="13.5" customHeight="1">
      <c r="A155" s="778"/>
      <c r="B155" s="503"/>
      <c r="C155" s="503"/>
      <c r="D155" s="349"/>
      <c r="E155" s="503"/>
      <c r="F155" s="779"/>
      <c r="G155" s="574"/>
      <c r="H155" s="582"/>
      <c r="K155" s="347"/>
    </row>
    <row r="156" spans="1:63" s="135" customFormat="1" ht="21" customHeight="1">
      <c r="A156" s="496"/>
      <c r="B156" s="497"/>
      <c r="C156" s="497"/>
      <c r="D156" s="497" t="s">
        <v>0</v>
      </c>
      <c r="E156" s="497"/>
      <c r="F156" s="780"/>
      <c r="G156" s="781"/>
      <c r="H156" s="781">
        <f>H8</f>
        <v>0</v>
      </c>
      <c r="J156" s="633"/>
      <c r="K156" s="725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</row>
    <row r="157" spans="1:63">
      <c r="G157" s="783"/>
      <c r="J157" s="766"/>
      <c r="K157" s="347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</row>
    <row r="158" spans="1:63" ht="13.5" customHeight="1">
      <c r="A158" s="3038" t="s">
        <v>875</v>
      </c>
      <c r="B158" s="3067"/>
      <c r="C158" s="3068"/>
      <c r="D158" s="500" t="s">
        <v>1124</v>
      </c>
      <c r="E158" s="501"/>
      <c r="F158" s="784"/>
      <c r="G158" s="785"/>
      <c r="H158" s="786">
        <f>H156</f>
        <v>0</v>
      </c>
      <c r="J158" s="766"/>
      <c r="K158" s="787"/>
    </row>
    <row r="159" spans="1:63">
      <c r="G159" s="783"/>
      <c r="K159" s="788"/>
      <c r="M159" s="789"/>
      <c r="N159" s="790"/>
      <c r="O159" s="791"/>
      <c r="P159" s="792"/>
      <c r="Q159" s="735"/>
      <c r="R159" s="735"/>
      <c r="S159" s="135"/>
      <c r="T159" s="146"/>
      <c r="U159" s="147"/>
      <c r="V159" s="789"/>
      <c r="W159" s="790"/>
      <c r="X159" s="791"/>
      <c r="Y159" s="792"/>
      <c r="Z159" s="735"/>
      <c r="AA159" s="735"/>
      <c r="AB159" s="135"/>
      <c r="AC159" s="146"/>
      <c r="AD159" s="147"/>
      <c r="AE159" s="789"/>
      <c r="AF159" s="790"/>
      <c r="AG159" s="791"/>
      <c r="AH159" s="792"/>
      <c r="AI159" s="735"/>
      <c r="AJ159" s="735"/>
      <c r="AK159" s="135"/>
      <c r="AL159" s="146"/>
      <c r="AM159" s="147"/>
      <c r="AN159" s="789"/>
      <c r="AO159" s="790"/>
      <c r="AP159" s="791"/>
      <c r="AQ159" s="792"/>
      <c r="AR159" s="735"/>
      <c r="AS159" s="735"/>
      <c r="AT159" s="135"/>
      <c r="AU159" s="146"/>
      <c r="AV159" s="147"/>
      <c r="AW159" s="789"/>
      <c r="AX159" s="790"/>
      <c r="AY159" s="791"/>
      <c r="AZ159" s="792"/>
      <c r="BA159" s="735"/>
      <c r="BB159" s="735"/>
      <c r="BC159" s="135"/>
      <c r="BD159" s="146"/>
      <c r="BE159" s="147"/>
      <c r="BF159" s="789"/>
      <c r="BG159" s="790"/>
      <c r="BH159" s="791"/>
      <c r="BI159" s="792"/>
      <c r="BJ159" s="735"/>
      <c r="BK159" s="735"/>
    </row>
    <row r="160" spans="1:63">
      <c r="A160" s="129" t="s">
        <v>1</v>
      </c>
      <c r="B160" s="130"/>
      <c r="C160" s="129"/>
      <c r="D160" s="129"/>
      <c r="E160" s="129"/>
      <c r="F160" s="793"/>
      <c r="G160" s="129"/>
      <c r="H160" s="129"/>
      <c r="I160" s="182"/>
      <c r="J160" s="633"/>
      <c r="K160" s="794"/>
      <c r="M160" s="789"/>
      <c r="N160" s="790"/>
      <c r="O160" s="791"/>
      <c r="P160" s="792"/>
      <c r="Q160" s="735"/>
      <c r="R160" s="735"/>
      <c r="S160" s="135"/>
      <c r="T160" s="146"/>
      <c r="U160" s="147"/>
      <c r="V160" s="789"/>
      <c r="W160" s="790"/>
      <c r="X160" s="791"/>
      <c r="Y160" s="792"/>
      <c r="Z160" s="735"/>
      <c r="AA160" s="735"/>
      <c r="AB160" s="135"/>
      <c r="AC160" s="146"/>
      <c r="AD160" s="147"/>
      <c r="AE160" s="789"/>
      <c r="AF160" s="790"/>
      <c r="AG160" s="791"/>
      <c r="AH160" s="792"/>
      <c r="AI160" s="735"/>
      <c r="AJ160" s="735"/>
      <c r="AK160" s="135"/>
      <c r="AL160" s="146"/>
      <c r="AM160" s="147"/>
      <c r="AN160" s="789"/>
      <c r="AO160" s="790"/>
      <c r="AP160" s="791"/>
      <c r="AQ160" s="792"/>
      <c r="AR160" s="735"/>
      <c r="AS160" s="735"/>
      <c r="AT160" s="135"/>
      <c r="AU160" s="146"/>
      <c r="AV160" s="147"/>
      <c r="AW160" s="789"/>
      <c r="AX160" s="790"/>
      <c r="AY160" s="791"/>
      <c r="AZ160" s="792"/>
      <c r="BA160" s="735"/>
      <c r="BB160" s="735"/>
      <c r="BC160" s="135"/>
      <c r="BD160" s="146"/>
      <c r="BE160" s="147"/>
      <c r="BF160" s="789"/>
      <c r="BG160" s="790"/>
      <c r="BH160" s="791"/>
      <c r="BI160" s="792"/>
      <c r="BJ160" s="735"/>
      <c r="BK160" s="735"/>
    </row>
    <row r="161" spans="1:63" ht="27" customHeight="1">
      <c r="A161" s="3018" t="s">
        <v>1125</v>
      </c>
      <c r="B161" s="3037"/>
      <c r="C161" s="3037"/>
      <c r="D161" s="3037"/>
      <c r="E161" s="3037"/>
      <c r="F161" s="3037"/>
      <c r="G161" s="3037"/>
      <c r="H161" s="129"/>
      <c r="I161" s="795"/>
      <c r="J161" s="766"/>
      <c r="K161" s="796"/>
      <c r="M161" s="789"/>
      <c r="N161" s="790"/>
      <c r="O161" s="791"/>
      <c r="P161" s="792"/>
      <c r="Q161" s="735"/>
      <c r="R161" s="735"/>
      <c r="S161" s="135"/>
      <c r="T161" s="146"/>
      <c r="U161" s="147"/>
      <c r="V161" s="789"/>
      <c r="W161" s="790"/>
      <c r="X161" s="791"/>
      <c r="Y161" s="792"/>
      <c r="Z161" s="735"/>
      <c r="AA161" s="735"/>
      <c r="AB161" s="135"/>
      <c r="AC161" s="146"/>
      <c r="AD161" s="147"/>
      <c r="AE161" s="789"/>
      <c r="AF161" s="790"/>
      <c r="AG161" s="791"/>
      <c r="AH161" s="792"/>
      <c r="AI161" s="735"/>
      <c r="AJ161" s="735"/>
      <c r="AK161" s="135"/>
      <c r="AL161" s="146"/>
      <c r="AM161" s="147"/>
      <c r="AN161" s="789"/>
      <c r="AO161" s="790"/>
      <c r="AP161" s="791"/>
      <c r="AQ161" s="792"/>
      <c r="AR161" s="735"/>
      <c r="AS161" s="735"/>
      <c r="AT161" s="135"/>
      <c r="AU161" s="146"/>
      <c r="AV161" s="147"/>
      <c r="AW161" s="789"/>
      <c r="AX161" s="790"/>
      <c r="AY161" s="791"/>
      <c r="AZ161" s="792"/>
      <c r="BA161" s="735"/>
      <c r="BB161" s="735"/>
      <c r="BC161" s="135"/>
      <c r="BD161" s="146"/>
      <c r="BE161" s="147"/>
      <c r="BF161" s="789"/>
      <c r="BG161" s="790"/>
      <c r="BH161" s="791"/>
      <c r="BI161" s="792"/>
      <c r="BJ161" s="735"/>
      <c r="BK161" s="735"/>
    </row>
    <row r="162" spans="1:63" ht="90" customHeight="1">
      <c r="A162" s="3018" t="s">
        <v>1126</v>
      </c>
      <c r="B162" s="3041"/>
      <c r="C162" s="3041"/>
      <c r="D162" s="3041"/>
      <c r="E162" s="3041"/>
      <c r="F162" s="3041"/>
      <c r="G162" s="3041"/>
      <c r="H162" s="129"/>
      <c r="I162" s="129"/>
      <c r="J162" s="766"/>
      <c r="K162" s="787"/>
      <c r="M162" s="789"/>
      <c r="N162" s="790"/>
      <c r="O162" s="791"/>
      <c r="P162" s="792"/>
      <c r="Q162" s="735"/>
      <c r="R162" s="735"/>
      <c r="S162" s="135"/>
      <c r="T162" s="146"/>
      <c r="U162" s="147"/>
      <c r="V162" s="789"/>
      <c r="W162" s="790"/>
      <c r="X162" s="791"/>
      <c r="Y162" s="792"/>
      <c r="Z162" s="735"/>
      <c r="AA162" s="735"/>
      <c r="AB162" s="135"/>
      <c r="AC162" s="146"/>
      <c r="AD162" s="147"/>
      <c r="AE162" s="789"/>
      <c r="AF162" s="790"/>
      <c r="AG162" s="791"/>
      <c r="AH162" s="792"/>
      <c r="AI162" s="735"/>
      <c r="AJ162" s="735"/>
      <c r="AK162" s="135"/>
      <c r="AL162" s="146"/>
      <c r="AM162" s="147"/>
      <c r="AN162" s="789"/>
      <c r="AO162" s="790"/>
      <c r="AP162" s="791"/>
      <c r="AQ162" s="792"/>
      <c r="AR162" s="735"/>
      <c r="AS162" s="735"/>
      <c r="AT162" s="135"/>
      <c r="AU162" s="146"/>
      <c r="AV162" s="147"/>
      <c r="AW162" s="789"/>
      <c r="AX162" s="790"/>
      <c r="AY162" s="791"/>
      <c r="AZ162" s="792"/>
      <c r="BA162" s="735"/>
      <c r="BB162" s="735"/>
      <c r="BC162" s="135"/>
      <c r="BD162" s="146"/>
      <c r="BE162" s="147"/>
      <c r="BF162" s="789"/>
      <c r="BG162" s="790"/>
      <c r="BH162" s="791"/>
      <c r="BI162" s="792"/>
      <c r="BJ162" s="735"/>
      <c r="BK162" s="735"/>
    </row>
    <row r="163" spans="1:63">
      <c r="A163" s="3018" t="s">
        <v>105</v>
      </c>
      <c r="B163" s="3042"/>
      <c r="C163" s="3042"/>
      <c r="D163" s="3042"/>
      <c r="E163" s="3042"/>
      <c r="F163" s="3042"/>
      <c r="G163" s="3042"/>
      <c r="H163" s="507"/>
      <c r="I163" s="507"/>
      <c r="J163" s="633"/>
      <c r="K163" s="787"/>
      <c r="M163" s="789"/>
      <c r="N163" s="790"/>
      <c r="O163" s="791"/>
      <c r="P163" s="792"/>
      <c r="Q163" s="735"/>
      <c r="R163" s="735"/>
      <c r="S163" s="135"/>
      <c r="T163" s="146"/>
      <c r="U163" s="147"/>
      <c r="V163" s="789"/>
      <c r="W163" s="790"/>
      <c r="X163" s="791"/>
      <c r="Y163" s="792"/>
      <c r="Z163" s="735"/>
      <c r="AA163" s="735"/>
      <c r="AB163" s="135"/>
      <c r="AC163" s="146"/>
      <c r="AD163" s="147"/>
      <c r="AE163" s="789"/>
      <c r="AF163" s="790"/>
      <c r="AG163" s="791"/>
      <c r="AH163" s="792"/>
      <c r="AI163" s="735"/>
      <c r="AJ163" s="735"/>
      <c r="AK163" s="135"/>
      <c r="AL163" s="146"/>
      <c r="AM163" s="147"/>
      <c r="AN163" s="789"/>
      <c r="AO163" s="790"/>
      <c r="AP163" s="791"/>
      <c r="AQ163" s="792"/>
      <c r="AR163" s="735"/>
      <c r="AS163" s="735"/>
      <c r="AT163" s="135"/>
      <c r="AU163" s="146"/>
      <c r="AV163" s="147"/>
      <c r="AW163" s="789"/>
      <c r="AX163" s="790"/>
      <c r="AY163" s="791"/>
      <c r="AZ163" s="792"/>
      <c r="BA163" s="735"/>
      <c r="BB163" s="735"/>
      <c r="BC163" s="135"/>
      <c r="BD163" s="146"/>
      <c r="BE163" s="147"/>
      <c r="BF163" s="789"/>
      <c r="BG163" s="790"/>
      <c r="BH163" s="791"/>
      <c r="BI163" s="792"/>
      <c r="BJ163" s="735"/>
      <c r="BK163" s="735"/>
    </row>
    <row r="164" spans="1:63">
      <c r="A164" s="3018" t="s">
        <v>106</v>
      </c>
      <c r="B164" s="3042"/>
      <c r="C164" s="3042"/>
      <c r="D164" s="3042"/>
      <c r="E164" s="3042"/>
      <c r="F164" s="3042"/>
      <c r="G164" s="3042"/>
      <c r="H164" s="507"/>
      <c r="I164" s="507"/>
      <c r="K164" s="347"/>
      <c r="M164" s="789"/>
      <c r="N164" s="790"/>
      <c r="O164" s="791"/>
      <c r="P164" s="792"/>
      <c r="Q164" s="735"/>
      <c r="R164" s="735"/>
      <c r="S164" s="135"/>
      <c r="T164" s="146"/>
      <c r="U164" s="147"/>
      <c r="V164" s="789"/>
      <c r="W164" s="790"/>
      <c r="X164" s="791"/>
      <c r="Y164" s="792"/>
      <c r="Z164" s="735"/>
      <c r="AA164" s="735"/>
      <c r="AB164" s="135"/>
      <c r="AC164" s="146"/>
      <c r="AD164" s="147"/>
      <c r="AE164" s="789"/>
      <c r="AF164" s="790"/>
      <c r="AG164" s="791"/>
      <c r="AH164" s="792"/>
      <c r="AI164" s="735"/>
      <c r="AJ164" s="735"/>
      <c r="AK164" s="135"/>
      <c r="AL164" s="146"/>
      <c r="AM164" s="147"/>
      <c r="AN164" s="789"/>
      <c r="AO164" s="790"/>
      <c r="AP164" s="791"/>
      <c r="AQ164" s="792"/>
      <c r="AR164" s="735"/>
      <c r="AS164" s="735"/>
      <c r="AT164" s="135"/>
      <c r="AU164" s="146"/>
      <c r="AV164" s="147"/>
      <c r="AW164" s="789"/>
      <c r="AX164" s="790"/>
      <c r="AY164" s="791"/>
      <c r="AZ164" s="792"/>
      <c r="BA164" s="735"/>
      <c r="BB164" s="735"/>
      <c r="BC164" s="135"/>
      <c r="BD164" s="146"/>
      <c r="BE164" s="147"/>
      <c r="BF164" s="789"/>
      <c r="BG164" s="790"/>
      <c r="BH164" s="791"/>
      <c r="BI164" s="792"/>
      <c r="BJ164" s="735"/>
      <c r="BK164" s="735"/>
    </row>
    <row r="165" spans="1:63" ht="108" customHeight="1">
      <c r="A165" s="3057" t="s">
        <v>1026</v>
      </c>
      <c r="B165" s="3057"/>
      <c r="C165" s="3057"/>
      <c r="D165" s="3057"/>
      <c r="E165" s="3057"/>
      <c r="F165" s="3057"/>
      <c r="G165" s="3057"/>
      <c r="H165" s="325"/>
      <c r="I165" s="797"/>
      <c r="J165" s="141"/>
    </row>
    <row r="166" spans="1:63">
      <c r="G166" s="783"/>
      <c r="K166" s="787"/>
      <c r="M166" s="789"/>
      <c r="N166" s="790"/>
      <c r="O166" s="791"/>
      <c r="P166" s="792"/>
      <c r="Q166" s="735"/>
      <c r="R166" s="735"/>
      <c r="S166" s="135"/>
      <c r="T166" s="146"/>
      <c r="U166" s="147"/>
      <c r="V166" s="789"/>
      <c r="W166" s="790"/>
      <c r="X166" s="791"/>
      <c r="Y166" s="792"/>
      <c r="Z166" s="735"/>
      <c r="AA166" s="735"/>
      <c r="AB166" s="135"/>
      <c r="AC166" s="146"/>
      <c r="AD166" s="147"/>
      <c r="AE166" s="789"/>
      <c r="AF166" s="790"/>
      <c r="AG166" s="791"/>
      <c r="AH166" s="792"/>
      <c r="AI166" s="735"/>
      <c r="AJ166" s="735"/>
      <c r="AK166" s="135"/>
      <c r="AL166" s="146"/>
      <c r="AM166" s="147"/>
      <c r="AN166" s="789"/>
      <c r="AO166" s="790"/>
      <c r="AP166" s="791"/>
      <c r="AQ166" s="792"/>
      <c r="AR166" s="735"/>
      <c r="AS166" s="735"/>
      <c r="AT166" s="135"/>
      <c r="AU166" s="146"/>
      <c r="AV166" s="147"/>
      <c r="AW166" s="789"/>
      <c r="AX166" s="790"/>
      <c r="AY166" s="791"/>
      <c r="AZ166" s="792"/>
      <c r="BA166" s="735"/>
      <c r="BB166" s="735"/>
      <c r="BC166" s="135"/>
      <c r="BD166" s="146"/>
      <c r="BE166" s="147"/>
      <c r="BF166" s="789"/>
      <c r="BG166" s="790"/>
      <c r="BH166" s="791"/>
      <c r="BI166" s="792"/>
      <c r="BJ166" s="735"/>
      <c r="BK166" s="735"/>
    </row>
    <row r="167" spans="1:63">
      <c r="G167" s="783"/>
      <c r="K167" s="787"/>
      <c r="M167" s="789"/>
      <c r="N167" s="790"/>
      <c r="O167" s="791"/>
      <c r="P167" s="792"/>
      <c r="Q167" s="735"/>
      <c r="R167" s="735"/>
      <c r="S167" s="135"/>
      <c r="T167" s="146"/>
      <c r="U167" s="147"/>
      <c r="V167" s="789"/>
      <c r="W167" s="790"/>
      <c r="X167" s="791"/>
      <c r="Y167" s="792"/>
      <c r="Z167" s="735"/>
      <c r="AA167" s="735"/>
      <c r="AB167" s="135"/>
      <c r="AC167" s="146"/>
      <c r="AD167" s="147"/>
      <c r="AE167" s="789"/>
      <c r="AF167" s="790"/>
      <c r="AG167" s="791"/>
      <c r="AH167" s="792"/>
      <c r="AI167" s="735"/>
      <c r="AJ167" s="735"/>
      <c r="AK167" s="135"/>
      <c r="AL167" s="146"/>
      <c r="AM167" s="147"/>
      <c r="AN167" s="789"/>
      <c r="AO167" s="790"/>
      <c r="AP167" s="791"/>
      <c r="AQ167" s="792"/>
      <c r="AR167" s="735"/>
      <c r="AS167" s="735"/>
      <c r="AT167" s="135"/>
      <c r="AU167" s="146"/>
      <c r="AV167" s="147"/>
      <c r="AW167" s="789"/>
      <c r="AX167" s="790"/>
      <c r="AY167" s="791"/>
      <c r="AZ167" s="792"/>
      <c r="BA167" s="735"/>
      <c r="BB167" s="735"/>
      <c r="BC167" s="135"/>
      <c r="BD167" s="146"/>
      <c r="BE167" s="147"/>
      <c r="BF167" s="789"/>
      <c r="BG167" s="790"/>
      <c r="BH167" s="791"/>
      <c r="BI167" s="792"/>
      <c r="BJ167" s="735"/>
      <c r="BK167" s="735"/>
    </row>
    <row r="168" spans="1:63">
      <c r="G168" s="783"/>
      <c r="K168" s="347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</row>
    <row r="169" spans="1:63">
      <c r="G169" s="783"/>
    </row>
    <row r="170" spans="1:63">
      <c r="G170" s="783"/>
    </row>
    <row r="171" spans="1:63">
      <c r="G171" s="783"/>
    </row>
    <row r="172" spans="1:63">
      <c r="G172" s="783"/>
    </row>
    <row r="173" spans="1:63">
      <c r="G173" s="783"/>
    </row>
    <row r="174" spans="1:63">
      <c r="G174" s="783"/>
    </row>
    <row r="175" spans="1:63">
      <c r="G175" s="783"/>
    </row>
    <row r="176" spans="1:63">
      <c r="G176" s="783"/>
    </row>
    <row r="177" spans="7:7">
      <c r="G177" s="783"/>
    </row>
    <row r="178" spans="7:7">
      <c r="G178" s="783"/>
    </row>
    <row r="179" spans="7:7">
      <c r="G179" s="783"/>
    </row>
    <row r="180" spans="7:7">
      <c r="G180" s="783"/>
    </row>
    <row r="181" spans="7:7">
      <c r="G181" s="783"/>
    </row>
    <row r="182" spans="7:7">
      <c r="G182" s="783"/>
    </row>
    <row r="183" spans="7:7">
      <c r="G183" s="783"/>
    </row>
    <row r="184" spans="7:7">
      <c r="G184" s="783"/>
    </row>
    <row r="185" spans="7:7">
      <c r="G185" s="783"/>
    </row>
    <row r="186" spans="7:7">
      <c r="G186" s="783"/>
    </row>
    <row r="187" spans="7:7">
      <c r="G187" s="783"/>
    </row>
    <row r="188" spans="7:7">
      <c r="G188" s="783"/>
    </row>
    <row r="189" spans="7:7">
      <c r="G189" s="783"/>
    </row>
    <row r="190" spans="7:7">
      <c r="G190" s="783"/>
    </row>
    <row r="191" spans="7:7">
      <c r="G191" s="783"/>
    </row>
    <row r="192" spans="7:7">
      <c r="G192" s="783"/>
    </row>
    <row r="193" spans="7:7">
      <c r="G193" s="783"/>
    </row>
    <row r="194" spans="7:7">
      <c r="G194" s="783"/>
    </row>
    <row r="195" spans="7:7">
      <c r="G195" s="783"/>
    </row>
    <row r="196" spans="7:7">
      <c r="G196" s="783"/>
    </row>
    <row r="197" spans="7:7">
      <c r="G197" s="783"/>
    </row>
    <row r="198" spans="7:7">
      <c r="G198" s="783"/>
    </row>
    <row r="199" spans="7:7">
      <c r="G199" s="783"/>
    </row>
    <row r="200" spans="7:7">
      <c r="G200" s="783"/>
    </row>
    <row r="201" spans="7:7">
      <c r="G201" s="783"/>
    </row>
    <row r="202" spans="7:7">
      <c r="G202" s="783"/>
    </row>
    <row r="203" spans="7:7">
      <c r="G203" s="783"/>
    </row>
    <row r="204" spans="7:7">
      <c r="G204" s="783"/>
    </row>
    <row r="205" spans="7:7">
      <c r="G205" s="783"/>
    </row>
    <row r="206" spans="7:7">
      <c r="G206" s="783"/>
    </row>
    <row r="207" spans="7:7">
      <c r="G207" s="783"/>
    </row>
    <row r="208" spans="7:7">
      <c r="G208" s="783"/>
    </row>
    <row r="209" spans="7:7">
      <c r="G209" s="783"/>
    </row>
    <row r="210" spans="7:7">
      <c r="G210" s="783"/>
    </row>
    <row r="211" spans="7:7">
      <c r="G211" s="783"/>
    </row>
    <row r="212" spans="7:7">
      <c r="G212" s="783"/>
    </row>
    <row r="213" spans="7:7">
      <c r="G213" s="783"/>
    </row>
    <row r="214" spans="7:7">
      <c r="G214" s="783"/>
    </row>
    <row r="215" spans="7:7">
      <c r="G215" s="783"/>
    </row>
    <row r="216" spans="7:7">
      <c r="G216" s="783"/>
    </row>
    <row r="217" spans="7:7">
      <c r="G217" s="783"/>
    </row>
    <row r="218" spans="7:7">
      <c r="G218" s="783"/>
    </row>
    <row r="219" spans="7:7">
      <c r="G219" s="783"/>
    </row>
    <row r="220" spans="7:7">
      <c r="G220" s="783"/>
    </row>
    <row r="221" spans="7:7">
      <c r="G221" s="783"/>
    </row>
    <row r="222" spans="7:7">
      <c r="G222" s="783"/>
    </row>
    <row r="223" spans="7:7">
      <c r="G223" s="783"/>
    </row>
    <row r="224" spans="7:7">
      <c r="G224" s="783"/>
    </row>
    <row r="225" spans="7:7">
      <c r="G225" s="783"/>
    </row>
    <row r="226" spans="7:7">
      <c r="G226" s="783"/>
    </row>
    <row r="227" spans="7:7">
      <c r="G227" s="783"/>
    </row>
    <row r="228" spans="7:7">
      <c r="G228" s="783"/>
    </row>
    <row r="229" spans="7:7">
      <c r="G229" s="783"/>
    </row>
    <row r="230" spans="7:7">
      <c r="G230" s="783"/>
    </row>
    <row r="231" spans="7:7">
      <c r="G231" s="783"/>
    </row>
    <row r="232" spans="7:7">
      <c r="G232" s="783"/>
    </row>
    <row r="233" spans="7:7">
      <c r="G233" s="783"/>
    </row>
    <row r="234" spans="7:7">
      <c r="G234" s="783"/>
    </row>
    <row r="235" spans="7:7">
      <c r="G235" s="783"/>
    </row>
    <row r="236" spans="7:7">
      <c r="G236" s="783"/>
    </row>
    <row r="237" spans="7:7">
      <c r="G237" s="783"/>
    </row>
    <row r="238" spans="7:7">
      <c r="G238" s="783"/>
    </row>
    <row r="239" spans="7:7">
      <c r="G239" s="783"/>
    </row>
    <row r="240" spans="7:7">
      <c r="G240" s="783"/>
    </row>
    <row r="241" spans="7:7">
      <c r="G241" s="783"/>
    </row>
    <row r="242" spans="7:7">
      <c r="G242" s="783"/>
    </row>
    <row r="243" spans="7:7">
      <c r="G243" s="783"/>
    </row>
    <row r="244" spans="7:7">
      <c r="G244" s="783"/>
    </row>
    <row r="245" spans="7:7">
      <c r="G245" s="783"/>
    </row>
    <row r="246" spans="7:7">
      <c r="G246" s="783"/>
    </row>
    <row r="247" spans="7:7">
      <c r="G247" s="783"/>
    </row>
    <row r="248" spans="7:7">
      <c r="G248" s="783"/>
    </row>
    <row r="249" spans="7:7">
      <c r="G249" s="783"/>
    </row>
    <row r="250" spans="7:7">
      <c r="G250" s="783"/>
    </row>
    <row r="251" spans="7:7">
      <c r="G251" s="783"/>
    </row>
    <row r="252" spans="7:7">
      <c r="G252" s="783"/>
    </row>
    <row r="253" spans="7:7">
      <c r="G253" s="783"/>
    </row>
    <row r="254" spans="7:7">
      <c r="G254" s="783"/>
    </row>
    <row r="255" spans="7:7">
      <c r="G255" s="783"/>
    </row>
    <row r="256" spans="7:7">
      <c r="G256" s="783"/>
    </row>
    <row r="257" spans="7:7">
      <c r="G257" s="783"/>
    </row>
    <row r="258" spans="7:7">
      <c r="G258" s="783"/>
    </row>
    <row r="259" spans="7:7">
      <c r="G259" s="783"/>
    </row>
    <row r="260" spans="7:7">
      <c r="G260" s="783"/>
    </row>
    <row r="261" spans="7:7">
      <c r="G261" s="783"/>
    </row>
    <row r="262" spans="7:7">
      <c r="G262" s="783"/>
    </row>
    <row r="263" spans="7:7">
      <c r="G263" s="783"/>
    </row>
    <row r="264" spans="7:7">
      <c r="G264" s="783"/>
    </row>
    <row r="265" spans="7:7">
      <c r="G265" s="783"/>
    </row>
    <row r="266" spans="7:7">
      <c r="G266" s="783"/>
    </row>
    <row r="267" spans="7:7">
      <c r="G267" s="783"/>
    </row>
    <row r="268" spans="7:7">
      <c r="G268" s="783"/>
    </row>
    <row r="269" spans="7:7">
      <c r="G269" s="783"/>
    </row>
    <row r="270" spans="7:7">
      <c r="G270" s="783"/>
    </row>
    <row r="271" spans="7:7">
      <c r="G271" s="783"/>
    </row>
    <row r="272" spans="7:7">
      <c r="G272" s="783"/>
    </row>
    <row r="273" spans="7:7">
      <c r="G273" s="783"/>
    </row>
    <row r="274" spans="7:7">
      <c r="G274" s="783"/>
    </row>
    <row r="275" spans="7:7">
      <c r="G275" s="783"/>
    </row>
    <row r="276" spans="7:7">
      <c r="G276" s="783"/>
    </row>
    <row r="277" spans="7:7">
      <c r="G277" s="783"/>
    </row>
    <row r="278" spans="7:7">
      <c r="G278" s="783"/>
    </row>
    <row r="279" spans="7:7">
      <c r="G279" s="783"/>
    </row>
    <row r="280" spans="7:7">
      <c r="G280" s="783"/>
    </row>
    <row r="281" spans="7:7">
      <c r="G281" s="783"/>
    </row>
    <row r="282" spans="7:7">
      <c r="G282" s="783"/>
    </row>
    <row r="283" spans="7:7">
      <c r="G283" s="783"/>
    </row>
    <row r="284" spans="7:7">
      <c r="G284" s="783"/>
    </row>
    <row r="285" spans="7:7">
      <c r="G285" s="783"/>
    </row>
    <row r="286" spans="7:7">
      <c r="G286" s="783"/>
    </row>
    <row r="287" spans="7:7">
      <c r="G287" s="783"/>
    </row>
    <row r="288" spans="7:7">
      <c r="G288" s="783"/>
    </row>
    <row r="289" spans="7:7">
      <c r="G289" s="783"/>
    </row>
    <row r="290" spans="7:7">
      <c r="G290" s="783"/>
    </row>
    <row r="291" spans="7:7">
      <c r="G291" s="783"/>
    </row>
    <row r="292" spans="7:7">
      <c r="G292" s="783"/>
    </row>
    <row r="293" spans="7:7">
      <c r="G293" s="783"/>
    </row>
    <row r="294" spans="7:7">
      <c r="G294" s="783"/>
    </row>
    <row r="295" spans="7:7">
      <c r="G295" s="783"/>
    </row>
    <row r="296" spans="7:7">
      <c r="G296" s="783"/>
    </row>
    <row r="297" spans="7:7">
      <c r="G297" s="783"/>
    </row>
    <row r="298" spans="7:7">
      <c r="G298" s="783"/>
    </row>
    <row r="299" spans="7:7">
      <c r="G299" s="783"/>
    </row>
    <row r="300" spans="7:7">
      <c r="G300" s="783"/>
    </row>
    <row r="301" spans="7:7">
      <c r="G301" s="783"/>
    </row>
    <row r="302" spans="7:7">
      <c r="G302" s="783"/>
    </row>
    <row r="303" spans="7:7">
      <c r="G303" s="783"/>
    </row>
    <row r="304" spans="7:7">
      <c r="G304" s="783"/>
    </row>
    <row r="305" spans="7:7">
      <c r="G305" s="783"/>
    </row>
    <row r="306" spans="7:7">
      <c r="G306" s="783"/>
    </row>
    <row r="307" spans="7:7">
      <c r="G307" s="783"/>
    </row>
    <row r="308" spans="7:7">
      <c r="G308" s="783"/>
    </row>
    <row r="309" spans="7:7">
      <c r="G309" s="783"/>
    </row>
    <row r="310" spans="7:7">
      <c r="G310" s="783"/>
    </row>
    <row r="311" spans="7:7">
      <c r="G311" s="783"/>
    </row>
    <row r="312" spans="7:7">
      <c r="G312" s="783"/>
    </row>
    <row r="313" spans="7:7">
      <c r="G313" s="783"/>
    </row>
    <row r="314" spans="7:7">
      <c r="G314" s="783"/>
    </row>
    <row r="315" spans="7:7">
      <c r="G315" s="783"/>
    </row>
    <row r="316" spans="7:7">
      <c r="G316" s="783"/>
    </row>
    <row r="317" spans="7:7">
      <c r="G317" s="783"/>
    </row>
    <row r="318" spans="7:7">
      <c r="G318" s="783"/>
    </row>
    <row r="319" spans="7:7">
      <c r="G319" s="783"/>
    </row>
    <row r="320" spans="7:7">
      <c r="G320" s="783"/>
    </row>
    <row r="321" spans="7:7">
      <c r="G321" s="783"/>
    </row>
    <row r="322" spans="7:7">
      <c r="G322" s="783"/>
    </row>
    <row r="323" spans="7:7">
      <c r="G323" s="783"/>
    </row>
    <row r="324" spans="7:7">
      <c r="G324" s="783"/>
    </row>
    <row r="325" spans="7:7">
      <c r="G325" s="783"/>
    </row>
    <row r="326" spans="7:7">
      <c r="G326" s="783"/>
    </row>
    <row r="327" spans="7:7">
      <c r="G327" s="783"/>
    </row>
    <row r="328" spans="7:7">
      <c r="G328" s="783"/>
    </row>
    <row r="329" spans="7:7">
      <c r="G329" s="783"/>
    </row>
    <row r="330" spans="7:7">
      <c r="G330" s="783"/>
    </row>
    <row r="331" spans="7:7">
      <c r="G331" s="783"/>
    </row>
    <row r="332" spans="7:7">
      <c r="G332" s="783"/>
    </row>
    <row r="333" spans="7:7">
      <c r="G333" s="783"/>
    </row>
    <row r="334" spans="7:7">
      <c r="G334" s="783"/>
    </row>
    <row r="335" spans="7:7">
      <c r="G335" s="783"/>
    </row>
    <row r="336" spans="7:7">
      <c r="G336" s="783"/>
    </row>
    <row r="337" spans="7:7">
      <c r="G337" s="783"/>
    </row>
    <row r="338" spans="7:7">
      <c r="G338" s="783"/>
    </row>
    <row r="339" spans="7:7">
      <c r="G339" s="783"/>
    </row>
    <row r="340" spans="7:7">
      <c r="G340" s="783"/>
    </row>
    <row r="341" spans="7:7">
      <c r="G341" s="783"/>
    </row>
    <row r="342" spans="7:7">
      <c r="G342" s="783"/>
    </row>
    <row r="343" spans="7:7">
      <c r="G343" s="783"/>
    </row>
    <row r="344" spans="7:7">
      <c r="G344" s="783"/>
    </row>
    <row r="345" spans="7:7">
      <c r="G345" s="783"/>
    </row>
    <row r="346" spans="7:7">
      <c r="G346" s="783"/>
    </row>
    <row r="347" spans="7:7">
      <c r="G347" s="783"/>
    </row>
    <row r="348" spans="7:7">
      <c r="G348" s="783"/>
    </row>
    <row r="349" spans="7:7">
      <c r="G349" s="783"/>
    </row>
    <row r="350" spans="7:7">
      <c r="G350" s="783"/>
    </row>
    <row r="351" spans="7:7">
      <c r="G351" s="783"/>
    </row>
    <row r="352" spans="7:7">
      <c r="G352" s="783"/>
    </row>
    <row r="353" spans="7:7">
      <c r="G353" s="783"/>
    </row>
    <row r="354" spans="7:7">
      <c r="G354" s="783"/>
    </row>
    <row r="355" spans="7:7">
      <c r="G355" s="783"/>
    </row>
    <row r="356" spans="7:7">
      <c r="G356" s="783"/>
    </row>
    <row r="357" spans="7:7">
      <c r="G357" s="783"/>
    </row>
    <row r="358" spans="7:7">
      <c r="G358" s="783"/>
    </row>
    <row r="359" spans="7:7">
      <c r="G359" s="783"/>
    </row>
    <row r="360" spans="7:7">
      <c r="G360" s="783"/>
    </row>
    <row r="361" spans="7:7">
      <c r="G361" s="783"/>
    </row>
    <row r="362" spans="7:7">
      <c r="G362" s="783"/>
    </row>
    <row r="363" spans="7:7">
      <c r="G363" s="783"/>
    </row>
    <row r="364" spans="7:7">
      <c r="G364" s="783"/>
    </row>
    <row r="365" spans="7:7">
      <c r="G365" s="783"/>
    </row>
    <row r="366" spans="7:7">
      <c r="G366" s="783"/>
    </row>
    <row r="367" spans="7:7">
      <c r="G367" s="783"/>
    </row>
    <row r="368" spans="7:7">
      <c r="G368" s="783"/>
    </row>
    <row r="369" spans="7:7">
      <c r="G369" s="783"/>
    </row>
    <row r="370" spans="7:7">
      <c r="G370" s="783"/>
    </row>
    <row r="371" spans="7:7">
      <c r="G371" s="783"/>
    </row>
    <row r="372" spans="7:7">
      <c r="G372" s="783"/>
    </row>
    <row r="373" spans="7:7">
      <c r="G373" s="783"/>
    </row>
    <row r="374" spans="7:7">
      <c r="G374" s="783"/>
    </row>
    <row r="375" spans="7:7">
      <c r="G375" s="783"/>
    </row>
    <row r="376" spans="7:7">
      <c r="G376" s="783"/>
    </row>
    <row r="377" spans="7:7">
      <c r="G377" s="783"/>
    </row>
    <row r="378" spans="7:7">
      <c r="G378" s="783"/>
    </row>
    <row r="379" spans="7:7">
      <c r="G379" s="783"/>
    </row>
    <row r="380" spans="7:7">
      <c r="G380" s="783"/>
    </row>
    <row r="381" spans="7:7">
      <c r="G381" s="783"/>
    </row>
    <row r="382" spans="7:7">
      <c r="G382" s="783"/>
    </row>
    <row r="383" spans="7:7">
      <c r="G383" s="783"/>
    </row>
    <row r="384" spans="7:7">
      <c r="G384" s="783"/>
    </row>
    <row r="385" spans="7:7">
      <c r="G385" s="783"/>
    </row>
    <row r="386" spans="7:7">
      <c r="G386" s="783"/>
    </row>
    <row r="387" spans="7:7">
      <c r="G387" s="783"/>
    </row>
    <row r="388" spans="7:7">
      <c r="G388" s="783"/>
    </row>
    <row r="389" spans="7:7">
      <c r="G389" s="783"/>
    </row>
    <row r="390" spans="7:7">
      <c r="G390" s="783"/>
    </row>
    <row r="391" spans="7:7">
      <c r="G391" s="783"/>
    </row>
    <row r="392" spans="7:7">
      <c r="G392" s="783"/>
    </row>
    <row r="393" spans="7:7">
      <c r="G393" s="783"/>
    </row>
    <row r="394" spans="7:7">
      <c r="G394" s="783"/>
    </row>
    <row r="395" spans="7:7">
      <c r="G395" s="783"/>
    </row>
    <row r="396" spans="7:7">
      <c r="G396" s="783"/>
    </row>
    <row r="397" spans="7:7">
      <c r="G397" s="783"/>
    </row>
    <row r="398" spans="7:7">
      <c r="G398" s="783"/>
    </row>
    <row r="399" spans="7:7">
      <c r="G399" s="783"/>
    </row>
    <row r="400" spans="7:7">
      <c r="G400" s="783"/>
    </row>
    <row r="401" spans="7:7">
      <c r="G401" s="783"/>
    </row>
    <row r="402" spans="7:7">
      <c r="G402" s="783"/>
    </row>
    <row r="403" spans="7:7">
      <c r="G403" s="783"/>
    </row>
    <row r="404" spans="7:7">
      <c r="G404" s="783"/>
    </row>
    <row r="405" spans="7:7">
      <c r="G405" s="783"/>
    </row>
    <row r="406" spans="7:7">
      <c r="G406" s="783"/>
    </row>
    <row r="407" spans="7:7">
      <c r="G407" s="783"/>
    </row>
    <row r="408" spans="7:7">
      <c r="G408" s="783"/>
    </row>
    <row r="409" spans="7:7">
      <c r="G409" s="783"/>
    </row>
    <row r="410" spans="7:7">
      <c r="G410" s="783"/>
    </row>
    <row r="411" spans="7:7">
      <c r="G411" s="783"/>
    </row>
    <row r="412" spans="7:7">
      <c r="G412" s="783"/>
    </row>
    <row r="413" spans="7:7">
      <c r="G413" s="783"/>
    </row>
    <row r="414" spans="7:7">
      <c r="G414" s="783"/>
    </row>
    <row r="415" spans="7:7">
      <c r="G415" s="783"/>
    </row>
    <row r="416" spans="7:7">
      <c r="G416" s="783"/>
    </row>
    <row r="417" spans="7:7">
      <c r="G417" s="783"/>
    </row>
    <row r="418" spans="7:7">
      <c r="G418" s="783"/>
    </row>
    <row r="419" spans="7:7">
      <c r="G419" s="783"/>
    </row>
    <row r="420" spans="7:7">
      <c r="G420" s="783"/>
    </row>
    <row r="421" spans="7:7">
      <c r="G421" s="783"/>
    </row>
    <row r="422" spans="7:7">
      <c r="G422" s="783"/>
    </row>
    <row r="423" spans="7:7">
      <c r="G423" s="783"/>
    </row>
    <row r="424" spans="7:7">
      <c r="G424" s="783"/>
    </row>
    <row r="425" spans="7:7">
      <c r="G425" s="783"/>
    </row>
    <row r="426" spans="7:7">
      <c r="G426" s="783"/>
    </row>
    <row r="427" spans="7:7">
      <c r="G427" s="783"/>
    </row>
    <row r="428" spans="7:7">
      <c r="G428" s="783"/>
    </row>
    <row r="429" spans="7:7">
      <c r="G429" s="783"/>
    </row>
    <row r="430" spans="7:7">
      <c r="G430" s="783"/>
    </row>
    <row r="431" spans="7:7">
      <c r="G431" s="783"/>
    </row>
    <row r="432" spans="7:7">
      <c r="G432" s="783"/>
    </row>
    <row r="433" spans="7:7">
      <c r="G433" s="783"/>
    </row>
    <row r="434" spans="7:7">
      <c r="G434" s="783"/>
    </row>
    <row r="435" spans="7:7">
      <c r="G435" s="783"/>
    </row>
    <row r="436" spans="7:7">
      <c r="G436" s="783"/>
    </row>
    <row r="437" spans="7:7">
      <c r="G437" s="783"/>
    </row>
    <row r="438" spans="7:7">
      <c r="G438" s="783"/>
    </row>
    <row r="439" spans="7:7">
      <c r="G439" s="783"/>
    </row>
    <row r="440" spans="7:7">
      <c r="G440" s="783"/>
    </row>
    <row r="441" spans="7:7">
      <c r="G441" s="783"/>
    </row>
    <row r="442" spans="7:7">
      <c r="G442" s="783"/>
    </row>
    <row r="443" spans="7:7">
      <c r="G443" s="783"/>
    </row>
    <row r="444" spans="7:7">
      <c r="G444" s="783"/>
    </row>
    <row r="445" spans="7:7">
      <c r="G445" s="783"/>
    </row>
    <row r="446" spans="7:7">
      <c r="G446" s="783"/>
    </row>
    <row r="447" spans="7:7">
      <c r="G447" s="783"/>
    </row>
    <row r="448" spans="7:7">
      <c r="G448" s="783"/>
    </row>
    <row r="449" spans="7:7">
      <c r="G449" s="783"/>
    </row>
    <row r="450" spans="7:7">
      <c r="G450" s="783"/>
    </row>
    <row r="451" spans="7:7">
      <c r="G451" s="783"/>
    </row>
    <row r="452" spans="7:7">
      <c r="G452" s="783"/>
    </row>
    <row r="453" spans="7:7">
      <c r="G453" s="783"/>
    </row>
    <row r="454" spans="7:7">
      <c r="G454" s="783"/>
    </row>
    <row r="455" spans="7:7">
      <c r="G455" s="783"/>
    </row>
    <row r="456" spans="7:7">
      <c r="G456" s="783"/>
    </row>
    <row r="457" spans="7:7">
      <c r="G457" s="783"/>
    </row>
    <row r="458" spans="7:7">
      <c r="G458" s="783"/>
    </row>
    <row r="459" spans="7:7">
      <c r="G459" s="783"/>
    </row>
    <row r="460" spans="7:7">
      <c r="G460" s="783"/>
    </row>
    <row r="461" spans="7:7">
      <c r="G461" s="783"/>
    </row>
    <row r="462" spans="7:7">
      <c r="G462" s="783"/>
    </row>
    <row r="463" spans="7:7">
      <c r="G463" s="783"/>
    </row>
    <row r="464" spans="7:7">
      <c r="G464" s="783"/>
    </row>
    <row r="465" spans="7:7">
      <c r="G465" s="783"/>
    </row>
    <row r="466" spans="7:7">
      <c r="G466" s="783"/>
    </row>
    <row r="467" spans="7:7">
      <c r="G467" s="783"/>
    </row>
    <row r="468" spans="7:7">
      <c r="G468" s="783"/>
    </row>
    <row r="469" spans="7:7">
      <c r="G469" s="783"/>
    </row>
    <row r="470" spans="7:7">
      <c r="G470" s="783"/>
    </row>
    <row r="471" spans="7:7">
      <c r="G471" s="783"/>
    </row>
    <row r="472" spans="7:7">
      <c r="G472" s="783"/>
    </row>
    <row r="473" spans="7:7">
      <c r="G473" s="783"/>
    </row>
    <row r="474" spans="7:7">
      <c r="G474" s="783"/>
    </row>
    <row r="475" spans="7:7">
      <c r="G475" s="783"/>
    </row>
    <row r="476" spans="7:7">
      <c r="G476" s="783"/>
    </row>
    <row r="477" spans="7:7">
      <c r="G477" s="783"/>
    </row>
    <row r="478" spans="7:7">
      <c r="G478" s="783"/>
    </row>
    <row r="479" spans="7:7">
      <c r="G479" s="783"/>
    </row>
    <row r="480" spans="7:7">
      <c r="G480" s="783"/>
    </row>
    <row r="481" spans="7:7">
      <c r="G481" s="783"/>
    </row>
    <row r="482" spans="7:7">
      <c r="G482" s="783"/>
    </row>
    <row r="483" spans="7:7">
      <c r="G483" s="783"/>
    </row>
    <row r="484" spans="7:7">
      <c r="G484" s="783"/>
    </row>
    <row r="485" spans="7:7">
      <c r="G485" s="783"/>
    </row>
    <row r="486" spans="7:7">
      <c r="G486" s="783"/>
    </row>
    <row r="487" spans="7:7">
      <c r="G487" s="783"/>
    </row>
    <row r="488" spans="7:7">
      <c r="G488" s="783"/>
    </row>
    <row r="489" spans="7:7">
      <c r="G489" s="783"/>
    </row>
    <row r="490" spans="7:7">
      <c r="G490" s="783"/>
    </row>
    <row r="491" spans="7:7">
      <c r="G491" s="783"/>
    </row>
    <row r="492" spans="7:7">
      <c r="G492" s="783"/>
    </row>
    <row r="493" spans="7:7">
      <c r="G493" s="783"/>
    </row>
    <row r="494" spans="7:7">
      <c r="G494" s="783"/>
    </row>
    <row r="495" spans="7:7">
      <c r="G495" s="783"/>
    </row>
    <row r="496" spans="7:7">
      <c r="G496" s="783"/>
    </row>
    <row r="497" spans="7:7">
      <c r="G497" s="783"/>
    </row>
    <row r="498" spans="7:7">
      <c r="G498" s="783"/>
    </row>
    <row r="499" spans="7:7">
      <c r="G499" s="783"/>
    </row>
    <row r="500" spans="7:7">
      <c r="G500" s="783"/>
    </row>
    <row r="501" spans="7:7">
      <c r="G501" s="783"/>
    </row>
    <row r="502" spans="7:7">
      <c r="G502" s="783"/>
    </row>
    <row r="503" spans="7:7">
      <c r="G503" s="783"/>
    </row>
    <row r="504" spans="7:7">
      <c r="G504" s="783"/>
    </row>
    <row r="505" spans="7:7">
      <c r="G505" s="783"/>
    </row>
    <row r="506" spans="7:7">
      <c r="G506" s="783"/>
    </row>
    <row r="507" spans="7:7">
      <c r="G507" s="783"/>
    </row>
    <row r="508" spans="7:7">
      <c r="G508" s="783"/>
    </row>
    <row r="509" spans="7:7">
      <c r="G509" s="783"/>
    </row>
    <row r="510" spans="7:7">
      <c r="G510" s="783"/>
    </row>
    <row r="511" spans="7:7">
      <c r="G511" s="783"/>
    </row>
    <row r="512" spans="7:7">
      <c r="G512" s="783"/>
    </row>
    <row r="513" spans="7:7">
      <c r="G513" s="783"/>
    </row>
    <row r="514" spans="7:7">
      <c r="G514" s="783"/>
    </row>
    <row r="515" spans="7:7">
      <c r="G515" s="783"/>
    </row>
    <row r="516" spans="7:7">
      <c r="G516" s="783"/>
    </row>
    <row r="517" spans="7:7">
      <c r="G517" s="783"/>
    </row>
    <row r="518" spans="7:7">
      <c r="G518" s="783"/>
    </row>
    <row r="519" spans="7:7">
      <c r="G519" s="783"/>
    </row>
    <row r="520" spans="7:7">
      <c r="G520" s="783"/>
    </row>
    <row r="521" spans="7:7">
      <c r="G521" s="783"/>
    </row>
    <row r="522" spans="7:7">
      <c r="G522" s="783"/>
    </row>
    <row r="523" spans="7:7">
      <c r="G523" s="783"/>
    </row>
    <row r="524" spans="7:7">
      <c r="G524" s="783"/>
    </row>
    <row r="525" spans="7:7">
      <c r="G525" s="783"/>
    </row>
    <row r="526" spans="7:7">
      <c r="G526" s="783"/>
    </row>
    <row r="527" spans="7:7">
      <c r="G527" s="783"/>
    </row>
    <row r="528" spans="7:7">
      <c r="G528" s="783"/>
    </row>
    <row r="529" spans="7:7">
      <c r="G529" s="783"/>
    </row>
    <row r="530" spans="7:7">
      <c r="G530" s="783"/>
    </row>
    <row r="531" spans="7:7">
      <c r="G531" s="783"/>
    </row>
    <row r="532" spans="7:7">
      <c r="G532" s="783"/>
    </row>
    <row r="533" spans="7:7">
      <c r="G533" s="783"/>
    </row>
    <row r="534" spans="7:7">
      <c r="G534" s="783"/>
    </row>
    <row r="535" spans="7:7">
      <c r="G535" s="783"/>
    </row>
    <row r="536" spans="7:7">
      <c r="G536" s="783"/>
    </row>
    <row r="537" spans="7:7">
      <c r="G537" s="783"/>
    </row>
    <row r="538" spans="7:7">
      <c r="G538" s="783"/>
    </row>
    <row r="539" spans="7:7">
      <c r="G539" s="783"/>
    </row>
    <row r="540" spans="7:7">
      <c r="G540" s="783"/>
    </row>
    <row r="541" spans="7:7">
      <c r="G541" s="783"/>
    </row>
    <row r="542" spans="7:7">
      <c r="G542" s="783"/>
    </row>
    <row r="543" spans="7:7">
      <c r="G543" s="783"/>
    </row>
    <row r="544" spans="7:7">
      <c r="G544" s="783"/>
    </row>
    <row r="545" spans="7:7">
      <c r="G545" s="783"/>
    </row>
    <row r="546" spans="7:7">
      <c r="G546" s="783"/>
    </row>
    <row r="547" spans="7:7">
      <c r="G547" s="783"/>
    </row>
    <row r="548" spans="7:7">
      <c r="G548" s="783"/>
    </row>
    <row r="549" spans="7:7">
      <c r="G549" s="783"/>
    </row>
    <row r="550" spans="7:7">
      <c r="G550" s="783"/>
    </row>
    <row r="551" spans="7:7">
      <c r="G551" s="783"/>
    </row>
    <row r="552" spans="7:7">
      <c r="G552" s="783"/>
    </row>
    <row r="553" spans="7:7">
      <c r="G553" s="783"/>
    </row>
    <row r="554" spans="7:7">
      <c r="G554" s="783"/>
    </row>
    <row r="555" spans="7:7">
      <c r="G555" s="783"/>
    </row>
    <row r="556" spans="7:7">
      <c r="G556" s="783"/>
    </row>
    <row r="557" spans="7:7">
      <c r="G557" s="783"/>
    </row>
    <row r="558" spans="7:7">
      <c r="G558" s="783"/>
    </row>
    <row r="559" spans="7:7">
      <c r="G559" s="783"/>
    </row>
    <row r="560" spans="7:7">
      <c r="G560" s="783"/>
    </row>
    <row r="561" spans="7:7">
      <c r="G561" s="783"/>
    </row>
    <row r="562" spans="7:7">
      <c r="G562" s="783"/>
    </row>
    <row r="563" spans="7:7">
      <c r="G563" s="783"/>
    </row>
    <row r="564" spans="7:7">
      <c r="G564" s="783"/>
    </row>
    <row r="565" spans="7:7">
      <c r="G565" s="783"/>
    </row>
    <row r="566" spans="7:7">
      <c r="G566" s="783"/>
    </row>
    <row r="567" spans="7:7">
      <c r="G567" s="783"/>
    </row>
    <row r="568" spans="7:7">
      <c r="G568" s="783"/>
    </row>
    <row r="569" spans="7:7">
      <c r="G569" s="783"/>
    </row>
    <row r="570" spans="7:7">
      <c r="G570" s="783"/>
    </row>
    <row r="571" spans="7:7">
      <c r="G571" s="783"/>
    </row>
    <row r="572" spans="7:7">
      <c r="G572" s="783"/>
    </row>
    <row r="573" spans="7:7">
      <c r="G573" s="783"/>
    </row>
    <row r="574" spans="7:7">
      <c r="G574" s="783"/>
    </row>
    <row r="575" spans="7:7">
      <c r="G575" s="783"/>
    </row>
    <row r="576" spans="7:7">
      <c r="G576" s="783"/>
    </row>
    <row r="577" spans="7:7">
      <c r="G577" s="783"/>
    </row>
    <row r="578" spans="7:7">
      <c r="G578" s="783"/>
    </row>
    <row r="579" spans="7:7">
      <c r="G579" s="783"/>
    </row>
    <row r="580" spans="7:7">
      <c r="G580" s="783"/>
    </row>
    <row r="581" spans="7:7">
      <c r="G581" s="783"/>
    </row>
    <row r="582" spans="7:7">
      <c r="G582" s="783"/>
    </row>
    <row r="583" spans="7:7">
      <c r="G583" s="783"/>
    </row>
    <row r="584" spans="7:7">
      <c r="G584" s="783"/>
    </row>
    <row r="585" spans="7:7">
      <c r="G585" s="783"/>
    </row>
    <row r="586" spans="7:7">
      <c r="G586" s="783"/>
    </row>
    <row r="587" spans="7:7">
      <c r="G587" s="783"/>
    </row>
    <row r="588" spans="7:7">
      <c r="G588" s="783"/>
    </row>
    <row r="589" spans="7:7">
      <c r="G589" s="783"/>
    </row>
    <row r="590" spans="7:7">
      <c r="G590" s="783"/>
    </row>
    <row r="591" spans="7:7">
      <c r="G591" s="783"/>
    </row>
    <row r="592" spans="7:7">
      <c r="G592" s="783"/>
    </row>
    <row r="593" spans="7:7">
      <c r="G593" s="783"/>
    </row>
    <row r="594" spans="7:7">
      <c r="G594" s="783"/>
    </row>
    <row r="595" spans="7:7">
      <c r="G595" s="783"/>
    </row>
    <row r="596" spans="7:7">
      <c r="G596" s="783"/>
    </row>
    <row r="597" spans="7:7">
      <c r="G597" s="783"/>
    </row>
    <row r="598" spans="7:7">
      <c r="G598" s="783"/>
    </row>
    <row r="599" spans="7:7">
      <c r="G599" s="783"/>
    </row>
    <row r="600" spans="7:7">
      <c r="G600" s="783"/>
    </row>
    <row r="601" spans="7:7">
      <c r="G601" s="783"/>
    </row>
    <row r="602" spans="7:7">
      <c r="G602" s="783"/>
    </row>
    <row r="603" spans="7:7">
      <c r="G603" s="783"/>
    </row>
    <row r="604" spans="7:7">
      <c r="G604" s="783"/>
    </row>
    <row r="605" spans="7:7">
      <c r="G605" s="783"/>
    </row>
    <row r="606" spans="7:7">
      <c r="G606" s="783"/>
    </row>
    <row r="607" spans="7:7">
      <c r="G607" s="783"/>
    </row>
    <row r="608" spans="7:7">
      <c r="G608" s="783"/>
    </row>
    <row r="609" spans="7:7">
      <c r="G609" s="783"/>
    </row>
    <row r="610" spans="7:7">
      <c r="G610" s="783"/>
    </row>
    <row r="611" spans="7:7">
      <c r="G611" s="783"/>
    </row>
    <row r="612" spans="7:7">
      <c r="G612" s="783"/>
    </row>
    <row r="613" spans="7:7">
      <c r="G613" s="783"/>
    </row>
    <row r="614" spans="7:7">
      <c r="G614" s="783"/>
    </row>
    <row r="615" spans="7:7">
      <c r="G615" s="783"/>
    </row>
    <row r="616" spans="7:7">
      <c r="G616" s="783"/>
    </row>
    <row r="617" spans="7:7">
      <c r="G617" s="783"/>
    </row>
    <row r="618" spans="7:7">
      <c r="G618" s="783"/>
    </row>
    <row r="619" spans="7:7">
      <c r="G619" s="783"/>
    </row>
    <row r="620" spans="7:7">
      <c r="G620" s="783"/>
    </row>
    <row r="621" spans="7:7">
      <c r="G621" s="783"/>
    </row>
    <row r="622" spans="7:7">
      <c r="G622" s="783"/>
    </row>
    <row r="623" spans="7:7">
      <c r="G623" s="783"/>
    </row>
    <row r="624" spans="7:7">
      <c r="G624" s="783"/>
    </row>
    <row r="625" spans="7:7">
      <c r="G625" s="783"/>
    </row>
    <row r="626" spans="7:7">
      <c r="G626" s="783"/>
    </row>
    <row r="627" spans="7:7">
      <c r="G627" s="783"/>
    </row>
    <row r="628" spans="7:7">
      <c r="G628" s="783"/>
    </row>
    <row r="629" spans="7:7">
      <c r="G629" s="783"/>
    </row>
    <row r="630" spans="7:7">
      <c r="G630" s="783"/>
    </row>
    <row r="631" spans="7:7">
      <c r="G631" s="783"/>
    </row>
    <row r="632" spans="7:7">
      <c r="G632" s="783"/>
    </row>
    <row r="633" spans="7:7">
      <c r="G633" s="783"/>
    </row>
    <row r="634" spans="7:7">
      <c r="G634" s="783"/>
    </row>
    <row r="635" spans="7:7">
      <c r="G635" s="783"/>
    </row>
    <row r="636" spans="7:7">
      <c r="G636" s="783"/>
    </row>
    <row r="637" spans="7:7">
      <c r="G637" s="783"/>
    </row>
    <row r="638" spans="7:7">
      <c r="G638" s="783"/>
    </row>
    <row r="639" spans="7:7">
      <c r="G639" s="783"/>
    </row>
    <row r="640" spans="7:7">
      <c r="G640" s="783"/>
    </row>
    <row r="641" spans="7:7">
      <c r="G641" s="783"/>
    </row>
    <row r="642" spans="7:7">
      <c r="G642" s="783"/>
    </row>
    <row r="643" spans="7:7">
      <c r="G643" s="783"/>
    </row>
    <row r="644" spans="7:7">
      <c r="G644" s="783"/>
    </row>
    <row r="645" spans="7:7">
      <c r="G645" s="783"/>
    </row>
    <row r="646" spans="7:7">
      <c r="G646" s="783"/>
    </row>
    <row r="647" spans="7:7">
      <c r="G647" s="783"/>
    </row>
    <row r="648" spans="7:7">
      <c r="G648" s="783"/>
    </row>
    <row r="649" spans="7:7">
      <c r="G649" s="783"/>
    </row>
    <row r="650" spans="7:7">
      <c r="G650" s="783"/>
    </row>
    <row r="651" spans="7:7">
      <c r="G651" s="783"/>
    </row>
    <row r="652" spans="7:7">
      <c r="G652" s="783"/>
    </row>
    <row r="653" spans="7:7">
      <c r="G653" s="783"/>
    </row>
    <row r="654" spans="7:7">
      <c r="G654" s="783"/>
    </row>
    <row r="655" spans="7:7">
      <c r="G655" s="783"/>
    </row>
    <row r="656" spans="7:7">
      <c r="G656" s="783"/>
    </row>
    <row r="657" spans="7:7">
      <c r="G657" s="783"/>
    </row>
    <row r="658" spans="7:7">
      <c r="G658" s="783"/>
    </row>
    <row r="659" spans="7:7">
      <c r="G659" s="783"/>
    </row>
    <row r="660" spans="7:7">
      <c r="G660" s="783"/>
    </row>
    <row r="661" spans="7:7">
      <c r="G661" s="783"/>
    </row>
    <row r="662" spans="7:7">
      <c r="G662" s="783"/>
    </row>
    <row r="663" spans="7:7">
      <c r="G663" s="783"/>
    </row>
    <row r="664" spans="7:7">
      <c r="G664" s="783"/>
    </row>
    <row r="665" spans="7:7">
      <c r="G665" s="783"/>
    </row>
    <row r="666" spans="7:7">
      <c r="G666" s="783"/>
    </row>
    <row r="667" spans="7:7">
      <c r="G667" s="783"/>
    </row>
    <row r="668" spans="7:7">
      <c r="G668" s="783"/>
    </row>
    <row r="669" spans="7:7">
      <c r="G669" s="783"/>
    </row>
    <row r="670" spans="7:7">
      <c r="G670" s="783"/>
    </row>
    <row r="671" spans="7:7">
      <c r="G671" s="783"/>
    </row>
    <row r="672" spans="7:7">
      <c r="G672" s="783"/>
    </row>
    <row r="673" spans="7:7">
      <c r="G673" s="783"/>
    </row>
    <row r="674" spans="7:7">
      <c r="G674" s="783"/>
    </row>
    <row r="675" spans="7:7">
      <c r="G675" s="783"/>
    </row>
    <row r="676" spans="7:7">
      <c r="G676" s="783"/>
    </row>
    <row r="677" spans="7:7">
      <c r="G677" s="783"/>
    </row>
    <row r="678" spans="7:7">
      <c r="G678" s="783"/>
    </row>
    <row r="679" spans="7:7">
      <c r="G679" s="783"/>
    </row>
    <row r="680" spans="7:7">
      <c r="G680" s="783"/>
    </row>
    <row r="681" spans="7:7">
      <c r="G681" s="783"/>
    </row>
    <row r="682" spans="7:7">
      <c r="G682" s="783"/>
    </row>
    <row r="683" spans="7:7">
      <c r="G683" s="783"/>
    </row>
    <row r="684" spans="7:7">
      <c r="G684" s="783"/>
    </row>
    <row r="685" spans="7:7">
      <c r="G685" s="783"/>
    </row>
    <row r="686" spans="7:7">
      <c r="G686" s="783"/>
    </row>
    <row r="687" spans="7:7">
      <c r="G687" s="783"/>
    </row>
    <row r="688" spans="7:7">
      <c r="G688" s="783"/>
    </row>
    <row r="689" spans="7:7">
      <c r="G689" s="783"/>
    </row>
    <row r="690" spans="7:7">
      <c r="G690" s="783"/>
    </row>
    <row r="691" spans="7:7">
      <c r="G691" s="783"/>
    </row>
    <row r="692" spans="7:7">
      <c r="G692" s="783"/>
    </row>
    <row r="693" spans="7:7">
      <c r="G693" s="783"/>
    </row>
    <row r="694" spans="7:7">
      <c r="G694" s="783"/>
    </row>
    <row r="695" spans="7:7">
      <c r="G695" s="783"/>
    </row>
    <row r="696" spans="7:7">
      <c r="G696" s="783"/>
    </row>
    <row r="697" spans="7:7">
      <c r="G697" s="783"/>
    </row>
    <row r="698" spans="7:7">
      <c r="G698" s="783"/>
    </row>
    <row r="699" spans="7:7">
      <c r="G699" s="783"/>
    </row>
    <row r="700" spans="7:7">
      <c r="G700" s="783"/>
    </row>
    <row r="701" spans="7:7">
      <c r="G701" s="783"/>
    </row>
    <row r="702" spans="7:7">
      <c r="G702" s="783"/>
    </row>
    <row r="703" spans="7:7">
      <c r="G703" s="783"/>
    </row>
    <row r="704" spans="7:7">
      <c r="G704" s="783"/>
    </row>
    <row r="705" spans="7:7">
      <c r="G705" s="783"/>
    </row>
    <row r="706" spans="7:7">
      <c r="G706" s="783"/>
    </row>
    <row r="707" spans="7:7">
      <c r="G707" s="783"/>
    </row>
    <row r="708" spans="7:7">
      <c r="G708" s="783"/>
    </row>
    <row r="709" spans="7:7">
      <c r="G709" s="783"/>
    </row>
    <row r="710" spans="7:7">
      <c r="G710" s="783"/>
    </row>
    <row r="711" spans="7:7">
      <c r="G711" s="783"/>
    </row>
    <row r="712" spans="7:7">
      <c r="G712" s="783"/>
    </row>
    <row r="713" spans="7:7">
      <c r="G713" s="783"/>
    </row>
    <row r="714" spans="7:7">
      <c r="G714" s="783"/>
    </row>
    <row r="715" spans="7:7">
      <c r="G715" s="783"/>
    </row>
    <row r="716" spans="7:7">
      <c r="G716" s="783"/>
    </row>
    <row r="717" spans="7:7">
      <c r="G717" s="783"/>
    </row>
    <row r="718" spans="7:7">
      <c r="G718" s="783"/>
    </row>
    <row r="719" spans="7:7">
      <c r="G719" s="783"/>
    </row>
    <row r="720" spans="7:7">
      <c r="G720" s="783"/>
    </row>
    <row r="721" spans="7:7">
      <c r="G721" s="783"/>
    </row>
    <row r="722" spans="7:7">
      <c r="G722" s="783"/>
    </row>
    <row r="723" spans="7:7">
      <c r="G723" s="783"/>
    </row>
    <row r="724" spans="7:7">
      <c r="G724" s="783"/>
    </row>
    <row r="725" spans="7:7">
      <c r="G725" s="783"/>
    </row>
    <row r="726" spans="7:7">
      <c r="G726" s="783"/>
    </row>
    <row r="727" spans="7:7">
      <c r="G727" s="783"/>
    </row>
    <row r="728" spans="7:7">
      <c r="G728" s="783"/>
    </row>
    <row r="729" spans="7:7">
      <c r="G729" s="783"/>
    </row>
    <row r="730" spans="7:7">
      <c r="G730" s="783"/>
    </row>
    <row r="731" spans="7:7">
      <c r="G731" s="783"/>
    </row>
    <row r="732" spans="7:7">
      <c r="G732" s="783"/>
    </row>
    <row r="733" spans="7:7">
      <c r="G733" s="783"/>
    </row>
    <row r="734" spans="7:7">
      <c r="G734" s="783"/>
    </row>
    <row r="735" spans="7:7">
      <c r="G735" s="783"/>
    </row>
    <row r="736" spans="7:7">
      <c r="G736" s="783"/>
    </row>
    <row r="737" spans="7:7">
      <c r="G737" s="783"/>
    </row>
    <row r="738" spans="7:7">
      <c r="G738" s="783"/>
    </row>
    <row r="739" spans="7:7">
      <c r="G739" s="783"/>
    </row>
    <row r="740" spans="7:7">
      <c r="G740" s="783"/>
    </row>
    <row r="741" spans="7:7">
      <c r="G741" s="783"/>
    </row>
    <row r="742" spans="7:7">
      <c r="G742" s="783"/>
    </row>
    <row r="743" spans="7:7">
      <c r="G743" s="783"/>
    </row>
    <row r="744" spans="7:7">
      <c r="G744" s="783"/>
    </row>
    <row r="745" spans="7:7">
      <c r="G745" s="783"/>
    </row>
    <row r="746" spans="7:7">
      <c r="G746" s="783"/>
    </row>
    <row r="747" spans="7:7">
      <c r="G747" s="783"/>
    </row>
    <row r="748" spans="7:7">
      <c r="G748" s="783"/>
    </row>
    <row r="749" spans="7:7">
      <c r="G749" s="783"/>
    </row>
    <row r="750" spans="7:7">
      <c r="G750" s="783"/>
    </row>
    <row r="751" spans="7:7">
      <c r="G751" s="783"/>
    </row>
    <row r="752" spans="7:7">
      <c r="G752" s="783"/>
    </row>
    <row r="753" spans="7:7">
      <c r="G753" s="783"/>
    </row>
    <row r="754" spans="7:7">
      <c r="G754" s="783"/>
    </row>
    <row r="755" spans="7:7">
      <c r="G755" s="783"/>
    </row>
    <row r="756" spans="7:7">
      <c r="G756" s="783"/>
    </row>
    <row r="757" spans="7:7">
      <c r="G757" s="783"/>
    </row>
    <row r="758" spans="7:7">
      <c r="G758" s="783"/>
    </row>
    <row r="759" spans="7:7">
      <c r="G759" s="783"/>
    </row>
    <row r="760" spans="7:7">
      <c r="G760" s="783"/>
    </row>
    <row r="761" spans="7:7">
      <c r="G761" s="783"/>
    </row>
    <row r="762" spans="7:7">
      <c r="G762" s="783"/>
    </row>
    <row r="763" spans="7:7">
      <c r="G763" s="783"/>
    </row>
    <row r="764" spans="7:7">
      <c r="G764" s="783"/>
    </row>
    <row r="765" spans="7:7">
      <c r="G765" s="783"/>
    </row>
    <row r="766" spans="7:7">
      <c r="G766" s="783"/>
    </row>
    <row r="767" spans="7:7">
      <c r="G767" s="783"/>
    </row>
    <row r="768" spans="7:7">
      <c r="G768" s="783"/>
    </row>
    <row r="769" spans="7:7">
      <c r="G769" s="783"/>
    </row>
    <row r="770" spans="7:7">
      <c r="G770" s="783"/>
    </row>
    <row r="771" spans="7:7">
      <c r="G771" s="783"/>
    </row>
    <row r="772" spans="7:7">
      <c r="G772" s="783"/>
    </row>
    <row r="773" spans="7:7">
      <c r="G773" s="783"/>
    </row>
    <row r="774" spans="7:7">
      <c r="G774" s="783"/>
    </row>
    <row r="775" spans="7:7">
      <c r="G775" s="783"/>
    </row>
    <row r="776" spans="7:7">
      <c r="G776" s="783"/>
    </row>
    <row r="777" spans="7:7">
      <c r="G777" s="783"/>
    </row>
    <row r="778" spans="7:7">
      <c r="G778" s="783"/>
    </row>
    <row r="779" spans="7:7">
      <c r="G779" s="783"/>
    </row>
    <row r="780" spans="7:7">
      <c r="G780" s="783"/>
    </row>
    <row r="781" spans="7:7">
      <c r="G781" s="783"/>
    </row>
    <row r="782" spans="7:7">
      <c r="G782" s="783"/>
    </row>
    <row r="783" spans="7:7">
      <c r="G783" s="783"/>
    </row>
    <row r="784" spans="7:7">
      <c r="G784" s="783"/>
    </row>
    <row r="785" spans="7:7">
      <c r="G785" s="783"/>
    </row>
    <row r="786" spans="7:7">
      <c r="G786" s="783"/>
    </row>
    <row r="787" spans="7:7">
      <c r="G787" s="783"/>
    </row>
    <row r="788" spans="7:7">
      <c r="G788" s="783"/>
    </row>
    <row r="789" spans="7:7">
      <c r="G789" s="783"/>
    </row>
    <row r="790" spans="7:7">
      <c r="G790" s="783"/>
    </row>
    <row r="791" spans="7:7">
      <c r="G791" s="783"/>
    </row>
    <row r="792" spans="7:7">
      <c r="G792" s="783"/>
    </row>
    <row r="793" spans="7:7">
      <c r="G793" s="783"/>
    </row>
    <row r="794" spans="7:7">
      <c r="G794" s="783"/>
    </row>
    <row r="795" spans="7:7">
      <c r="G795" s="783"/>
    </row>
    <row r="796" spans="7:7">
      <c r="G796" s="783"/>
    </row>
    <row r="797" spans="7:7">
      <c r="G797" s="783"/>
    </row>
    <row r="798" spans="7:7">
      <c r="G798" s="783"/>
    </row>
    <row r="799" spans="7:7">
      <c r="G799" s="783"/>
    </row>
    <row r="800" spans="7:7">
      <c r="G800" s="783"/>
    </row>
    <row r="801" spans="7:7">
      <c r="G801" s="783"/>
    </row>
    <row r="802" spans="7:7">
      <c r="G802" s="783"/>
    </row>
    <row r="803" spans="7:7">
      <c r="G803" s="783"/>
    </row>
    <row r="804" spans="7:7">
      <c r="G804" s="783"/>
    </row>
    <row r="805" spans="7:7">
      <c r="G805" s="783"/>
    </row>
    <row r="806" spans="7:7">
      <c r="G806" s="783"/>
    </row>
    <row r="807" spans="7:7">
      <c r="G807" s="783"/>
    </row>
  </sheetData>
  <mergeCells count="7">
    <mergeCell ref="A165:G165"/>
    <mergeCell ref="A2:I2"/>
    <mergeCell ref="A158:C158"/>
    <mergeCell ref="A161:G161"/>
    <mergeCell ref="A162:G162"/>
    <mergeCell ref="A163:G163"/>
    <mergeCell ref="A164:G164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1" fitToHeight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38D6-849A-4511-89B5-AE4511561458}">
  <sheetPr>
    <pageSetUpPr fitToPage="1"/>
  </sheetPr>
  <dimension ref="A1:BK109"/>
  <sheetViews>
    <sheetView topLeftCell="A34" zoomScaleNormal="100" workbookViewId="0">
      <selection activeCell="G45" sqref="G45"/>
    </sheetView>
  </sheetViews>
  <sheetFormatPr defaultRowHeight="15"/>
  <cols>
    <col min="1" max="1" width="4.83203125" style="498" customWidth="1"/>
    <col min="2" max="2" width="5" style="499" customWidth="1"/>
    <col min="3" max="3" width="16.83203125" style="499" customWidth="1"/>
    <col min="4" max="4" width="71.33203125" style="499" customWidth="1"/>
    <col min="5" max="5" width="7.83203125" style="499" customWidth="1"/>
    <col min="6" max="6" width="10.1640625" style="949" customWidth="1"/>
    <col min="7" max="7" width="13.6640625" style="783" customWidth="1"/>
    <col min="8" max="8" width="18.33203125" style="783" customWidth="1"/>
    <col min="9" max="10" width="20.1640625" style="135" customWidth="1"/>
    <col min="11" max="11" width="16.1640625" style="855" customWidth="1"/>
    <col min="12" max="16384" width="9.33203125" style="141"/>
  </cols>
  <sheetData>
    <row r="1" spans="1:25" ht="18">
      <c r="A1" s="133" t="s">
        <v>2956</v>
      </c>
      <c r="B1" s="134"/>
      <c r="C1" s="134"/>
      <c r="D1" s="134"/>
      <c r="E1" s="134"/>
      <c r="F1" s="134"/>
      <c r="G1" s="134"/>
      <c r="H1" s="134"/>
      <c r="J1" s="730"/>
      <c r="K1" s="730"/>
      <c r="L1" s="730"/>
      <c r="M1" s="730"/>
      <c r="N1" s="730"/>
    </row>
    <row r="2" spans="1:25" ht="13.5" customHeight="1">
      <c r="A2" s="3065" t="s">
        <v>116</v>
      </c>
      <c r="B2" s="3066"/>
      <c r="C2" s="3066"/>
      <c r="D2" s="3066"/>
      <c r="E2" s="3066"/>
      <c r="F2" s="3066"/>
      <c r="G2" s="3066"/>
      <c r="H2" s="3066"/>
      <c r="I2" s="3066"/>
      <c r="J2" s="633"/>
      <c r="K2" s="730"/>
      <c r="L2" s="730"/>
      <c r="M2" s="730"/>
      <c r="N2" s="730"/>
    </row>
    <row r="3" spans="1:25" ht="13.5" customHeight="1">
      <c r="A3" s="139" t="s">
        <v>1775</v>
      </c>
      <c r="B3" s="729"/>
      <c r="C3" s="140"/>
      <c r="D3" s="140"/>
      <c r="E3" s="140"/>
      <c r="F3" s="134"/>
      <c r="G3" s="134"/>
      <c r="H3" s="135"/>
      <c r="J3" s="1079"/>
      <c r="K3" s="1080"/>
      <c r="L3" s="1080"/>
      <c r="M3" s="1080"/>
      <c r="N3" s="1080"/>
    </row>
    <row r="4" spans="1:25" ht="13.5" customHeight="1">
      <c r="A4" s="139"/>
      <c r="B4" s="140"/>
      <c r="C4" s="140"/>
      <c r="D4" s="140"/>
      <c r="E4" s="140"/>
      <c r="F4" s="134"/>
      <c r="G4" s="134"/>
      <c r="H4" s="135"/>
      <c r="L4" s="1081"/>
      <c r="M4" s="730"/>
      <c r="N4" s="730"/>
      <c r="O4" s="730"/>
    </row>
    <row r="5" spans="1:25" ht="13.5" customHeight="1">
      <c r="A5" s="139"/>
      <c r="B5" s="140"/>
      <c r="C5" s="140"/>
      <c r="D5" s="140"/>
      <c r="E5" s="140"/>
      <c r="F5" s="134"/>
      <c r="G5" s="134"/>
      <c r="H5" s="135"/>
      <c r="L5" s="1082"/>
      <c r="M5" s="730"/>
      <c r="N5" s="1083"/>
      <c r="O5" s="730"/>
    </row>
    <row r="6" spans="1:25" ht="22.5">
      <c r="A6" s="145" t="s">
        <v>119</v>
      </c>
      <c r="B6" s="145" t="s">
        <v>120</v>
      </c>
      <c r="C6" s="145" t="s">
        <v>121</v>
      </c>
      <c r="D6" s="145" t="s">
        <v>122</v>
      </c>
      <c r="E6" s="145" t="s">
        <v>123</v>
      </c>
      <c r="F6" s="145" t="s">
        <v>124</v>
      </c>
      <c r="G6" s="145" t="s">
        <v>125</v>
      </c>
      <c r="H6" s="145" t="s">
        <v>2</v>
      </c>
      <c r="I6" s="145" t="s">
        <v>46</v>
      </c>
      <c r="J6" s="1084"/>
      <c r="K6" s="1085"/>
    </row>
    <row r="7" spans="1:25">
      <c r="A7" s="145" t="s">
        <v>126</v>
      </c>
      <c r="B7" s="145" t="s">
        <v>127</v>
      </c>
      <c r="C7" s="145" t="s">
        <v>128</v>
      </c>
      <c r="D7" s="145" t="s">
        <v>129</v>
      </c>
      <c r="E7" s="145" t="s">
        <v>130</v>
      </c>
      <c r="F7" s="145" t="s">
        <v>131</v>
      </c>
      <c r="G7" s="145" t="s">
        <v>132</v>
      </c>
      <c r="H7" s="145">
        <v>8</v>
      </c>
      <c r="I7" s="145">
        <v>9</v>
      </c>
      <c r="J7" s="1084"/>
    </row>
    <row r="8" spans="1:25" s="135" customFormat="1" ht="21" customHeight="1">
      <c r="A8" s="146"/>
      <c r="B8" s="147"/>
      <c r="C8" s="147" t="s">
        <v>373</v>
      </c>
      <c r="D8" s="147" t="s">
        <v>374</v>
      </c>
      <c r="E8" s="147"/>
      <c r="F8" s="909"/>
      <c r="G8" s="539"/>
      <c r="H8" s="539">
        <f>H9</f>
        <v>0</v>
      </c>
      <c r="K8" s="801"/>
    </row>
    <row r="9" spans="1:25" ht="13.5" customHeight="1">
      <c r="A9" s="148"/>
      <c r="B9" s="149"/>
      <c r="C9" s="149">
        <v>766</v>
      </c>
      <c r="D9" s="149" t="s">
        <v>1028</v>
      </c>
      <c r="E9" s="149"/>
      <c r="F9" s="737"/>
      <c r="G9" s="345"/>
      <c r="H9" s="345">
        <f>SUM(H19:H21,H10:H11,H30:H32,H44:H46,H57:H59,H71:H73,H81:H94)</f>
        <v>0</v>
      </c>
      <c r="I9" s="150"/>
    </row>
    <row r="10" spans="1:25" ht="27" customHeight="1">
      <c r="A10" s="2707" t="s">
        <v>126</v>
      </c>
      <c r="B10" s="177">
        <v>766</v>
      </c>
      <c r="C10" s="177" t="s">
        <v>1776</v>
      </c>
      <c r="D10" s="177" t="s">
        <v>1777</v>
      </c>
      <c r="E10" s="177" t="s">
        <v>49</v>
      </c>
      <c r="F10" s="845">
        <f>SUM(F11)</f>
        <v>1</v>
      </c>
      <c r="G10" s="178">
        <f>SUM(H12:H18)/F10</f>
        <v>0</v>
      </c>
      <c r="H10" s="814">
        <f t="shared" ref="H10" si="0">ROUND(F10*G10,2)</f>
        <v>0</v>
      </c>
      <c r="I10" s="216" t="s">
        <v>111</v>
      </c>
      <c r="J10" s="1086"/>
      <c r="K10" s="1087"/>
    </row>
    <row r="11" spans="1:25" ht="13.5" customHeight="1">
      <c r="A11" s="817"/>
      <c r="B11" s="183"/>
      <c r="C11" s="183"/>
      <c r="D11" s="183" t="s">
        <v>1778</v>
      </c>
      <c r="E11" s="183"/>
      <c r="F11" s="742">
        <v>1</v>
      </c>
      <c r="G11" s="305"/>
      <c r="H11" s="305"/>
      <c r="I11" s="1088"/>
      <c r="J11" s="1089"/>
      <c r="K11" s="1087"/>
      <c r="P11" s="843"/>
    </row>
    <row r="12" spans="1:25" ht="27" customHeight="1">
      <c r="A12" s="1090" t="s">
        <v>1131</v>
      </c>
      <c r="B12" s="183"/>
      <c r="C12" s="220" t="s">
        <v>1779</v>
      </c>
      <c r="D12" s="183" t="s">
        <v>1780</v>
      </c>
      <c r="E12" s="183" t="s">
        <v>210</v>
      </c>
      <c r="F12" s="742">
        <v>1</v>
      </c>
      <c r="G12" s="1091"/>
      <c r="H12" s="305">
        <f t="shared" ref="H12" si="1">ROUND(F12*G12,2)</f>
        <v>0</v>
      </c>
      <c r="I12" s="225" t="s">
        <v>112</v>
      </c>
      <c r="J12" s="449"/>
      <c r="N12" s="1092"/>
    </row>
    <row r="13" spans="1:25" ht="13.5" customHeight="1">
      <c r="A13" s="817"/>
      <c r="B13" s="183"/>
      <c r="C13" s="183"/>
      <c r="D13" s="183" t="s">
        <v>1781</v>
      </c>
      <c r="E13" s="183"/>
      <c r="F13" s="742"/>
      <c r="G13" s="305"/>
      <c r="H13" s="305"/>
      <c r="I13" s="306"/>
      <c r="J13" s="1093"/>
      <c r="K13" s="1094"/>
      <c r="L13" s="3069"/>
      <c r="M13" s="3069"/>
      <c r="N13" s="1095"/>
      <c r="Y13" s="791"/>
    </row>
    <row r="14" spans="1:25" ht="27" customHeight="1">
      <c r="A14" s="1090" t="s">
        <v>1134</v>
      </c>
      <c r="B14" s="183"/>
      <c r="C14" s="220" t="s">
        <v>1782</v>
      </c>
      <c r="D14" s="183" t="s">
        <v>3800</v>
      </c>
      <c r="E14" s="183" t="s">
        <v>210</v>
      </c>
      <c r="F14" s="742">
        <v>1</v>
      </c>
      <c r="G14" s="1091"/>
      <c r="H14" s="305">
        <f t="shared" ref="H14:H17" si="2">ROUND(F14*G14,2)</f>
        <v>0</v>
      </c>
      <c r="I14" s="225" t="s">
        <v>112</v>
      </c>
      <c r="J14" s="442"/>
      <c r="K14" s="1096"/>
      <c r="N14" s="1097"/>
      <c r="Y14" s="791"/>
    </row>
    <row r="15" spans="1:25" ht="13.5" customHeight="1">
      <c r="A15" s="1090" t="s">
        <v>1783</v>
      </c>
      <c r="B15" s="183"/>
      <c r="C15" s="220" t="s">
        <v>1784</v>
      </c>
      <c r="D15" s="183" t="s">
        <v>1785</v>
      </c>
      <c r="E15" s="183" t="s">
        <v>210</v>
      </c>
      <c r="F15" s="742">
        <v>1</v>
      </c>
      <c r="G15" s="1091"/>
      <c r="H15" s="305">
        <f t="shared" si="2"/>
        <v>0</v>
      </c>
      <c r="I15" s="225" t="s">
        <v>112</v>
      </c>
      <c r="J15" s="449"/>
      <c r="X15" s="1098"/>
    </row>
    <row r="16" spans="1:25" ht="13.5" customHeight="1">
      <c r="A16" s="2709" t="s">
        <v>3801</v>
      </c>
      <c r="B16" s="2710"/>
      <c r="C16" s="2711" t="s">
        <v>1793</v>
      </c>
      <c r="D16" s="2710" t="s">
        <v>1794</v>
      </c>
      <c r="E16" s="2710" t="s">
        <v>210</v>
      </c>
      <c r="F16" s="2708">
        <v>1</v>
      </c>
      <c r="G16" s="2712"/>
      <c r="H16" s="2714">
        <f t="shared" si="2"/>
        <v>0</v>
      </c>
      <c r="I16" s="2713" t="s">
        <v>112</v>
      </c>
      <c r="J16" s="449"/>
      <c r="N16" s="1092"/>
      <c r="Y16" s="791"/>
    </row>
    <row r="17" spans="1:25" ht="13.5" customHeight="1">
      <c r="A17" s="1090" t="s">
        <v>1786</v>
      </c>
      <c r="B17" s="183"/>
      <c r="C17" s="220" t="s">
        <v>1787</v>
      </c>
      <c r="D17" s="183" t="s">
        <v>1788</v>
      </c>
      <c r="E17" s="183" t="s">
        <v>210</v>
      </c>
      <c r="F17" s="742">
        <v>2</v>
      </c>
      <c r="G17" s="1091"/>
      <c r="H17" s="305">
        <f t="shared" si="2"/>
        <v>0</v>
      </c>
      <c r="I17" s="225" t="s">
        <v>112</v>
      </c>
      <c r="J17" s="449"/>
      <c r="K17" s="1085"/>
      <c r="N17" s="633"/>
      <c r="Y17" s="791"/>
    </row>
    <row r="18" spans="1:25" ht="27" customHeight="1">
      <c r="A18" s="2709" t="s">
        <v>3802</v>
      </c>
      <c r="B18" s="2710"/>
      <c r="C18" s="2711" t="s">
        <v>1926</v>
      </c>
      <c r="D18" s="2710" t="s">
        <v>3803</v>
      </c>
      <c r="E18" s="2710" t="s">
        <v>142</v>
      </c>
      <c r="F18" s="2708">
        <f>(2.55)*1.05</f>
        <v>2.6774999999999998</v>
      </c>
      <c r="G18" s="2712"/>
      <c r="H18" s="2714">
        <f t="shared" ref="H18" si="3">ROUND(F18*G18,2)</f>
        <v>0</v>
      </c>
      <c r="I18" s="2713" t="s">
        <v>112</v>
      </c>
      <c r="J18" s="449"/>
      <c r="K18" s="1085"/>
      <c r="N18" s="633"/>
      <c r="Y18" s="791"/>
    </row>
    <row r="19" spans="1:25" ht="27" customHeight="1">
      <c r="A19" s="891"/>
      <c r="B19" s="149"/>
      <c r="C19" s="149"/>
      <c r="D19" s="183" t="s">
        <v>1789</v>
      </c>
      <c r="E19" s="149"/>
      <c r="F19" s="772"/>
      <c r="G19" s="345"/>
      <c r="H19" s="345"/>
      <c r="I19" s="1088"/>
      <c r="J19" s="1086"/>
      <c r="K19" s="1099"/>
    </row>
    <row r="20" spans="1:25" ht="27" customHeight="1">
      <c r="A20" s="2707" t="s">
        <v>127</v>
      </c>
      <c r="B20" s="177">
        <v>766</v>
      </c>
      <c r="C20" s="177" t="s">
        <v>1776</v>
      </c>
      <c r="D20" s="177" t="s">
        <v>1790</v>
      </c>
      <c r="E20" s="177" t="s">
        <v>49</v>
      </c>
      <c r="F20" s="845">
        <f>SUM(F21)</f>
        <v>1</v>
      </c>
      <c r="G20" s="178">
        <f>SUM(H22:H29)/F20</f>
        <v>0</v>
      </c>
      <c r="H20" s="814">
        <f t="shared" ref="H20" si="4">ROUND(F20*G20,2)</f>
        <v>0</v>
      </c>
      <c r="I20" s="216" t="s">
        <v>111</v>
      </c>
      <c r="J20" s="182"/>
    </row>
    <row r="21" spans="1:25" ht="13.5" customHeight="1">
      <c r="A21" s="817"/>
      <c r="B21" s="183"/>
      <c r="C21" s="183"/>
      <c r="D21" s="183" t="s">
        <v>1778</v>
      </c>
      <c r="E21" s="183"/>
      <c r="F21" s="742">
        <v>1</v>
      </c>
      <c r="G21" s="305"/>
      <c r="H21" s="305"/>
      <c r="I21" s="1088"/>
      <c r="J21" s="1086"/>
      <c r="K21" s="1087"/>
    </row>
    <row r="22" spans="1:25" ht="27" customHeight="1">
      <c r="A22" s="1090" t="s">
        <v>1141</v>
      </c>
      <c r="B22" s="183"/>
      <c r="C22" s="220" t="s">
        <v>1779</v>
      </c>
      <c r="D22" s="183" t="s">
        <v>1791</v>
      </c>
      <c r="E22" s="183" t="s">
        <v>210</v>
      </c>
      <c r="F22" s="742">
        <v>1</v>
      </c>
      <c r="G22" s="1091"/>
      <c r="H22" s="305">
        <f t="shared" ref="H22" si="5">ROUND(F22*G22,2)</f>
        <v>0</v>
      </c>
      <c r="I22" s="225" t="s">
        <v>112</v>
      </c>
      <c r="J22" s="1089"/>
      <c r="K22" s="1087"/>
      <c r="P22" s="843"/>
    </row>
    <row r="23" spans="1:25" ht="13.5" customHeight="1">
      <c r="A23" s="817"/>
      <c r="B23" s="183"/>
      <c r="C23" s="183"/>
      <c r="D23" s="183" t="s">
        <v>1781</v>
      </c>
      <c r="E23" s="183"/>
      <c r="F23" s="742"/>
      <c r="G23" s="305"/>
      <c r="H23" s="305"/>
      <c r="I23" s="306"/>
      <c r="J23" s="449"/>
      <c r="N23" s="1092"/>
      <c r="Y23" s="791"/>
    </row>
    <row r="24" spans="1:25" ht="27" customHeight="1">
      <c r="A24" s="1090" t="s">
        <v>1143</v>
      </c>
      <c r="B24" s="183"/>
      <c r="C24" s="220" t="s">
        <v>1782</v>
      </c>
      <c r="D24" s="183" t="s">
        <v>3800</v>
      </c>
      <c r="E24" s="183" t="s">
        <v>210</v>
      </c>
      <c r="F24" s="742">
        <v>1</v>
      </c>
      <c r="G24" s="1091"/>
      <c r="H24" s="305">
        <f t="shared" ref="H24:H29" si="6">ROUND(F24*G24,2)</f>
        <v>0</v>
      </c>
      <c r="I24" s="225" t="s">
        <v>112</v>
      </c>
      <c r="J24" s="1093"/>
      <c r="K24" s="1094"/>
      <c r="L24" s="3069"/>
      <c r="M24" s="3069"/>
      <c r="N24" s="1095"/>
      <c r="Y24" s="791"/>
    </row>
    <row r="25" spans="1:25" ht="13.5" customHeight="1">
      <c r="A25" s="1090" t="s">
        <v>1792</v>
      </c>
      <c r="B25" s="183"/>
      <c r="C25" s="220" t="s">
        <v>1793</v>
      </c>
      <c r="D25" s="183" t="s">
        <v>1794</v>
      </c>
      <c r="E25" s="183" t="s">
        <v>210</v>
      </c>
      <c r="F25" s="2708">
        <v>1</v>
      </c>
      <c r="G25" s="1091"/>
      <c r="H25" s="305">
        <f t="shared" si="6"/>
        <v>0</v>
      </c>
      <c r="I25" s="225" t="s">
        <v>112</v>
      </c>
      <c r="J25" s="449"/>
      <c r="N25" s="1092"/>
      <c r="Y25" s="791"/>
    </row>
    <row r="26" spans="1:25" ht="13.5" customHeight="1">
      <c r="A26" s="1090" t="s">
        <v>1795</v>
      </c>
      <c r="B26" s="183"/>
      <c r="C26" s="220" t="s">
        <v>1784</v>
      </c>
      <c r="D26" s="183" t="s">
        <v>1785</v>
      </c>
      <c r="E26" s="183" t="s">
        <v>210</v>
      </c>
      <c r="F26" s="742">
        <v>1</v>
      </c>
      <c r="G26" s="1091"/>
      <c r="H26" s="305">
        <f t="shared" si="6"/>
        <v>0</v>
      </c>
      <c r="I26" s="225" t="s">
        <v>112</v>
      </c>
      <c r="J26" s="449"/>
      <c r="X26" s="1098"/>
    </row>
    <row r="27" spans="1:25" ht="13.5" customHeight="1">
      <c r="A27" s="2709" t="s">
        <v>3804</v>
      </c>
      <c r="B27" s="2710"/>
      <c r="C27" s="2711" t="s">
        <v>3806</v>
      </c>
      <c r="D27" s="2710" t="s">
        <v>3805</v>
      </c>
      <c r="E27" s="2710" t="s">
        <v>210</v>
      </c>
      <c r="F27" s="2708">
        <v>1</v>
      </c>
      <c r="G27" s="2712"/>
      <c r="H27" s="2714">
        <f t="shared" si="6"/>
        <v>0</v>
      </c>
      <c r="I27" s="2713" t="s">
        <v>112</v>
      </c>
      <c r="J27" s="449"/>
      <c r="N27" s="1092"/>
      <c r="Y27" s="791"/>
    </row>
    <row r="28" spans="1:25" ht="13.5" customHeight="1">
      <c r="A28" s="1090" t="s">
        <v>1796</v>
      </c>
      <c r="B28" s="183"/>
      <c r="C28" s="220" t="s">
        <v>1787</v>
      </c>
      <c r="D28" s="183" t="s">
        <v>1788</v>
      </c>
      <c r="E28" s="183" t="s">
        <v>210</v>
      </c>
      <c r="F28" s="742">
        <v>1</v>
      </c>
      <c r="G28" s="1091"/>
      <c r="H28" s="305">
        <f t="shared" si="6"/>
        <v>0</v>
      </c>
      <c r="I28" s="225" t="s">
        <v>112</v>
      </c>
      <c r="J28" s="449"/>
      <c r="K28" s="1085"/>
      <c r="N28" s="633"/>
      <c r="Y28" s="791"/>
    </row>
    <row r="29" spans="1:25" ht="27" customHeight="1">
      <c r="A29" s="2709" t="s">
        <v>3808</v>
      </c>
      <c r="B29" s="2710"/>
      <c r="C29" s="2711" t="s">
        <v>1926</v>
      </c>
      <c r="D29" s="2710" t="s">
        <v>3811</v>
      </c>
      <c r="E29" s="2710" t="s">
        <v>142</v>
      </c>
      <c r="F29" s="2708">
        <f xml:space="preserve"> (1.6)*1.05</f>
        <v>1.6800000000000002</v>
      </c>
      <c r="G29" s="2712"/>
      <c r="H29" s="2714">
        <f t="shared" si="6"/>
        <v>0</v>
      </c>
      <c r="I29" s="2713" t="s">
        <v>112</v>
      </c>
      <c r="J29" s="449"/>
      <c r="K29" s="1085"/>
      <c r="N29" s="633"/>
      <c r="Y29" s="791"/>
    </row>
    <row r="30" spans="1:25" ht="27" customHeight="1">
      <c r="A30" s="891"/>
      <c r="B30" s="149"/>
      <c r="C30" s="149"/>
      <c r="D30" s="183" t="s">
        <v>1789</v>
      </c>
      <c r="E30" s="149"/>
      <c r="F30" s="772"/>
      <c r="G30" s="345"/>
      <c r="H30" s="345"/>
      <c r="I30" s="1088"/>
      <c r="J30" s="1086"/>
      <c r="K30" s="1099"/>
    </row>
    <row r="31" spans="1:25" ht="27" customHeight="1">
      <c r="A31" s="2707" t="s">
        <v>128</v>
      </c>
      <c r="B31" s="177">
        <v>766</v>
      </c>
      <c r="C31" s="177" t="s">
        <v>1776</v>
      </c>
      <c r="D31" s="177" t="s">
        <v>1797</v>
      </c>
      <c r="E31" s="177" t="s">
        <v>49</v>
      </c>
      <c r="F31" s="845">
        <f>SUM(F32)</f>
        <v>1</v>
      </c>
      <c r="G31" s="178">
        <f>SUM(H33:H43)/F31</f>
        <v>0</v>
      </c>
      <c r="H31" s="814">
        <f t="shared" ref="H31" si="7">ROUND(F31*G31,2)</f>
        <v>0</v>
      </c>
      <c r="I31" s="216" t="s">
        <v>111</v>
      </c>
      <c r="J31" s="1086"/>
      <c r="K31" s="1087"/>
    </row>
    <row r="32" spans="1:25" ht="13.5" customHeight="1">
      <c r="A32" s="817"/>
      <c r="B32" s="183"/>
      <c r="C32" s="183"/>
      <c r="D32" s="183" t="s">
        <v>1778</v>
      </c>
      <c r="E32" s="183"/>
      <c r="F32" s="742">
        <v>1</v>
      </c>
      <c r="G32" s="305"/>
      <c r="H32" s="305"/>
      <c r="I32" s="1088"/>
      <c r="J32" s="1089"/>
      <c r="K32" s="1087"/>
      <c r="P32" s="843"/>
    </row>
    <row r="33" spans="1:46" ht="27" customHeight="1">
      <c r="A33" s="1090" t="s">
        <v>1146</v>
      </c>
      <c r="B33" s="183"/>
      <c r="C33" s="220" t="s">
        <v>1779</v>
      </c>
      <c r="D33" s="183" t="s">
        <v>1798</v>
      </c>
      <c r="E33" s="183" t="s">
        <v>210</v>
      </c>
      <c r="F33" s="742">
        <v>1</v>
      </c>
      <c r="G33" s="1091"/>
      <c r="H33" s="305">
        <f t="shared" ref="H33" si="8">ROUND(F33*G33,2)</f>
        <v>0</v>
      </c>
      <c r="I33" s="225" t="s">
        <v>112</v>
      </c>
      <c r="J33" s="449"/>
      <c r="N33" s="1092"/>
    </row>
    <row r="34" spans="1:46" ht="13.5" customHeight="1">
      <c r="A34" s="817"/>
      <c r="B34" s="183"/>
      <c r="C34" s="183"/>
      <c r="D34" s="183" t="s">
        <v>1781</v>
      </c>
      <c r="E34" s="183"/>
      <c r="F34" s="742"/>
      <c r="G34" s="305"/>
      <c r="H34" s="305"/>
      <c r="I34" s="306"/>
      <c r="J34" s="1093"/>
      <c r="K34" s="1094"/>
      <c r="L34" s="3069"/>
      <c r="M34" s="3069"/>
      <c r="N34" s="1095"/>
      <c r="Y34" s="791"/>
    </row>
    <row r="35" spans="1:46" ht="27" customHeight="1">
      <c r="A35" s="1090" t="s">
        <v>1148</v>
      </c>
      <c r="B35" s="183"/>
      <c r="C35" s="220" t="s">
        <v>1782</v>
      </c>
      <c r="D35" s="183" t="s">
        <v>3807</v>
      </c>
      <c r="E35" s="183" t="s">
        <v>210</v>
      </c>
      <c r="F35" s="2708">
        <v>2</v>
      </c>
      <c r="G35" s="1091"/>
      <c r="H35" s="305">
        <f t="shared" ref="H35:H43" si="9">ROUND(F35*G35,2)</f>
        <v>0</v>
      </c>
      <c r="I35" s="225" t="s">
        <v>112</v>
      </c>
      <c r="J35" s="442"/>
      <c r="K35" s="1096"/>
      <c r="N35" s="1097"/>
      <c r="Y35" s="791"/>
    </row>
    <row r="36" spans="1:46" ht="13.5" customHeight="1">
      <c r="A36" s="1090" t="s">
        <v>1799</v>
      </c>
      <c r="B36" s="183"/>
      <c r="C36" s="220" t="s">
        <v>1784</v>
      </c>
      <c r="D36" s="183" t="s">
        <v>1785</v>
      </c>
      <c r="E36" s="183" t="s">
        <v>210</v>
      </c>
      <c r="F36" s="742">
        <v>1</v>
      </c>
      <c r="G36" s="1091"/>
      <c r="H36" s="305">
        <f t="shared" si="9"/>
        <v>0</v>
      </c>
      <c r="I36" s="225" t="s">
        <v>112</v>
      </c>
      <c r="J36" s="449"/>
      <c r="X36" s="1098"/>
    </row>
    <row r="37" spans="1:46" ht="13.5" customHeight="1">
      <c r="A37" s="1090" t="s">
        <v>1800</v>
      </c>
      <c r="B37" s="183"/>
      <c r="C37" s="220" t="s">
        <v>1793</v>
      </c>
      <c r="D37" s="183" t="s">
        <v>1794</v>
      </c>
      <c r="E37" s="183" t="s">
        <v>210</v>
      </c>
      <c r="F37" s="742">
        <v>2</v>
      </c>
      <c r="G37" s="1091"/>
      <c r="H37" s="305">
        <f t="shared" si="9"/>
        <v>0</v>
      </c>
      <c r="I37" s="225" t="s">
        <v>112</v>
      </c>
      <c r="J37" s="449"/>
      <c r="N37" s="1092"/>
      <c r="Y37" s="791"/>
    </row>
    <row r="38" spans="1:46" ht="13.5" customHeight="1">
      <c r="A38" s="1090" t="s">
        <v>1801</v>
      </c>
      <c r="B38" s="183"/>
      <c r="C38" s="220" t="s">
        <v>1802</v>
      </c>
      <c r="D38" s="183" t="s">
        <v>1803</v>
      </c>
      <c r="E38" s="183" t="s">
        <v>210</v>
      </c>
      <c r="F38" s="742">
        <v>1</v>
      </c>
      <c r="G38" s="1091"/>
      <c r="H38" s="305">
        <f t="shared" si="9"/>
        <v>0</v>
      </c>
      <c r="I38" s="225" t="s">
        <v>112</v>
      </c>
      <c r="N38" s="1092"/>
      <c r="Y38" s="791"/>
    </row>
    <row r="39" spans="1:46" s="648" customFormat="1" ht="13.5" customHeight="1">
      <c r="A39" s="1100" t="s">
        <v>1804</v>
      </c>
      <c r="B39" s="622"/>
      <c r="C39" s="220" t="s">
        <v>1805</v>
      </c>
      <c r="D39" s="643" t="s">
        <v>1806</v>
      </c>
      <c r="E39" s="1101" t="s">
        <v>210</v>
      </c>
      <c r="F39" s="1102">
        <v>2</v>
      </c>
      <c r="G39" s="1103"/>
      <c r="H39" s="933">
        <f t="shared" si="9"/>
        <v>0</v>
      </c>
      <c r="I39" s="225" t="s">
        <v>112</v>
      </c>
      <c r="J39" s="1104"/>
      <c r="K39" s="339"/>
      <c r="L39" s="1105"/>
      <c r="M39" s="914"/>
      <c r="N39" s="316"/>
      <c r="O39" s="923"/>
      <c r="P39" s="1106"/>
      <c r="Q39" s="1107"/>
      <c r="R39" s="1108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</row>
    <row r="40" spans="1:46" s="648" customFormat="1" ht="13.5" customHeight="1">
      <c r="A40" s="1100" t="s">
        <v>1807</v>
      </c>
      <c r="B40" s="622"/>
      <c r="C40" s="220" t="s">
        <v>1808</v>
      </c>
      <c r="D40" s="643" t="s">
        <v>1809</v>
      </c>
      <c r="E40" s="1101" t="s">
        <v>210</v>
      </c>
      <c r="F40" s="1102">
        <v>2</v>
      </c>
      <c r="G40" s="1103"/>
      <c r="H40" s="933">
        <f t="shared" si="9"/>
        <v>0</v>
      </c>
      <c r="I40" s="225" t="s">
        <v>112</v>
      </c>
      <c r="J40" s="1104"/>
      <c r="K40" s="339"/>
      <c r="L40" s="1105"/>
      <c r="M40" s="914"/>
      <c r="N40" s="316"/>
      <c r="O40" s="923"/>
      <c r="P40" s="1106"/>
      <c r="Q40" s="1107"/>
      <c r="R40" s="1108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</row>
    <row r="41" spans="1:46" s="648" customFormat="1" ht="13.5" customHeight="1">
      <c r="A41" s="1100" t="s">
        <v>1810</v>
      </c>
      <c r="B41" s="622"/>
      <c r="C41" s="220" t="s">
        <v>1811</v>
      </c>
      <c r="D41" s="643" t="s">
        <v>1812</v>
      </c>
      <c r="E41" s="1101" t="s">
        <v>210</v>
      </c>
      <c r="F41" s="1102">
        <v>2</v>
      </c>
      <c r="G41" s="1103"/>
      <c r="H41" s="933">
        <f t="shared" si="9"/>
        <v>0</v>
      </c>
      <c r="I41" s="225" t="s">
        <v>112</v>
      </c>
      <c r="J41" s="1104"/>
      <c r="K41" s="339"/>
      <c r="L41" s="1105"/>
      <c r="M41" s="914"/>
      <c r="N41" s="316"/>
      <c r="O41" s="923"/>
      <c r="P41" s="1106"/>
      <c r="Q41" s="1107"/>
      <c r="R41" s="1108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</row>
    <row r="42" spans="1:46" ht="13.5" customHeight="1">
      <c r="A42" s="1090" t="s">
        <v>1813</v>
      </c>
      <c r="B42" s="183"/>
      <c r="C42" s="220" t="s">
        <v>1787</v>
      </c>
      <c r="D42" s="183" t="s">
        <v>1788</v>
      </c>
      <c r="E42" s="183" t="s">
        <v>210</v>
      </c>
      <c r="F42" s="742">
        <v>1</v>
      </c>
      <c r="G42" s="1091"/>
      <c r="H42" s="305">
        <f t="shared" si="9"/>
        <v>0</v>
      </c>
      <c r="I42" s="225" t="s">
        <v>112</v>
      </c>
      <c r="J42" s="449"/>
      <c r="K42" s="1085"/>
      <c r="N42" s="633"/>
      <c r="Y42" s="791"/>
    </row>
    <row r="43" spans="1:46" ht="27" customHeight="1">
      <c r="A43" s="2709" t="s">
        <v>3809</v>
      </c>
      <c r="B43" s="2710"/>
      <c r="C43" s="2711" t="s">
        <v>1926</v>
      </c>
      <c r="D43" s="2710" t="s">
        <v>3812</v>
      </c>
      <c r="E43" s="2710" t="s">
        <v>142</v>
      </c>
      <c r="F43" s="2708">
        <f>(6.98)*1.05</f>
        <v>7.3290000000000006</v>
      </c>
      <c r="G43" s="2712"/>
      <c r="H43" s="2714">
        <f t="shared" si="9"/>
        <v>0</v>
      </c>
      <c r="I43" s="2713" t="s">
        <v>112</v>
      </c>
      <c r="J43" s="449"/>
      <c r="K43" s="1085"/>
      <c r="N43" s="633"/>
      <c r="Y43" s="791"/>
    </row>
    <row r="44" spans="1:46" ht="27" customHeight="1">
      <c r="A44" s="891"/>
      <c r="B44" s="149"/>
      <c r="C44" s="149"/>
      <c r="D44" s="183" t="s">
        <v>1789</v>
      </c>
      <c r="E44" s="149"/>
      <c r="F44" s="772"/>
      <c r="G44" s="345"/>
      <c r="H44" s="345"/>
      <c r="I44" s="1088"/>
      <c r="J44" s="1086"/>
      <c r="K44" s="1099"/>
    </row>
    <row r="45" spans="1:46" ht="27" customHeight="1">
      <c r="A45" s="2707" t="s">
        <v>129</v>
      </c>
      <c r="B45" s="177">
        <v>766</v>
      </c>
      <c r="C45" s="177" t="s">
        <v>1776</v>
      </c>
      <c r="D45" s="177" t="s">
        <v>1814</v>
      </c>
      <c r="E45" s="177" t="s">
        <v>49</v>
      </c>
      <c r="F45" s="845">
        <f>SUM(F46)</f>
        <v>1</v>
      </c>
      <c r="G45" s="178">
        <f>SUM(H47:H56)/F45</f>
        <v>0</v>
      </c>
      <c r="H45" s="814">
        <f t="shared" ref="H45" si="10">ROUND(F45*G45,2)</f>
        <v>0</v>
      </c>
      <c r="I45" s="216" t="s">
        <v>111</v>
      </c>
      <c r="J45" s="182"/>
    </row>
    <row r="46" spans="1:46" ht="13.5" customHeight="1">
      <c r="A46" s="817"/>
      <c r="B46" s="183"/>
      <c r="C46" s="183"/>
      <c r="D46" s="183" t="s">
        <v>1778</v>
      </c>
      <c r="E46" s="183"/>
      <c r="F46" s="742">
        <v>1</v>
      </c>
      <c r="G46" s="305"/>
      <c r="H46" s="305"/>
      <c r="I46" s="1088"/>
      <c r="J46" s="1086"/>
      <c r="K46" s="1087"/>
    </row>
    <row r="47" spans="1:46" ht="27" customHeight="1">
      <c r="A47" s="1090" t="s">
        <v>1152</v>
      </c>
      <c r="B47" s="183"/>
      <c r="C47" s="220" t="s">
        <v>1779</v>
      </c>
      <c r="D47" s="183" t="s">
        <v>1815</v>
      </c>
      <c r="E47" s="183" t="s">
        <v>210</v>
      </c>
      <c r="F47" s="742">
        <v>1</v>
      </c>
      <c r="G47" s="1091"/>
      <c r="H47" s="305">
        <f t="shared" ref="H47" si="11">ROUND(F47*G47,2)</f>
        <v>0</v>
      </c>
      <c r="I47" s="225" t="s">
        <v>112</v>
      </c>
      <c r="J47" s="1089"/>
      <c r="K47" s="1087"/>
      <c r="P47" s="843"/>
    </row>
    <row r="48" spans="1:46" ht="13.5" customHeight="1">
      <c r="A48" s="817"/>
      <c r="B48" s="183"/>
      <c r="C48" s="183"/>
      <c r="D48" s="183" t="s">
        <v>1781</v>
      </c>
      <c r="E48" s="183"/>
      <c r="F48" s="742"/>
      <c r="G48" s="305"/>
      <c r="H48" s="305"/>
      <c r="I48" s="306"/>
      <c r="J48" s="449"/>
      <c r="N48" s="1092"/>
      <c r="Y48" s="791"/>
    </row>
    <row r="49" spans="1:46" ht="27" customHeight="1">
      <c r="A49" s="1090" t="s">
        <v>1154</v>
      </c>
      <c r="B49" s="183"/>
      <c r="C49" s="220" t="s">
        <v>1782</v>
      </c>
      <c r="D49" s="183" t="s">
        <v>3800</v>
      </c>
      <c r="E49" s="183" t="s">
        <v>210</v>
      </c>
      <c r="F49" s="742">
        <v>1</v>
      </c>
      <c r="G49" s="1091"/>
      <c r="H49" s="305">
        <f t="shared" ref="H49:H56" si="12">ROUND(F49*G49,2)</f>
        <v>0</v>
      </c>
      <c r="I49" s="225" t="s">
        <v>112</v>
      </c>
      <c r="J49" s="1093"/>
      <c r="K49" s="1094"/>
      <c r="L49" s="3069"/>
      <c r="M49" s="3069"/>
      <c r="N49" s="1095"/>
      <c r="Y49" s="791"/>
    </row>
    <row r="50" spans="1:46" ht="13.5" customHeight="1">
      <c r="A50" s="1090" t="s">
        <v>1157</v>
      </c>
      <c r="B50" s="183"/>
      <c r="C50" s="220" t="s">
        <v>1793</v>
      </c>
      <c r="D50" s="183" t="s">
        <v>1794</v>
      </c>
      <c r="E50" s="183" t="s">
        <v>210</v>
      </c>
      <c r="F50" s="742">
        <v>1</v>
      </c>
      <c r="G50" s="1091"/>
      <c r="H50" s="305">
        <f t="shared" si="12"/>
        <v>0</v>
      </c>
      <c r="I50" s="225" t="s">
        <v>112</v>
      </c>
      <c r="J50" s="449"/>
      <c r="N50" s="1092"/>
      <c r="Y50" s="791"/>
    </row>
    <row r="51" spans="1:46" s="648" customFormat="1" ht="13.5" customHeight="1">
      <c r="A51" s="1100" t="s">
        <v>1159</v>
      </c>
      <c r="B51" s="622"/>
      <c r="C51" s="220" t="s">
        <v>1816</v>
      </c>
      <c r="D51" s="643" t="s">
        <v>1817</v>
      </c>
      <c r="E51" s="1101" t="s">
        <v>210</v>
      </c>
      <c r="F51" s="1102">
        <v>1</v>
      </c>
      <c r="G51" s="1103"/>
      <c r="H51" s="933">
        <f t="shared" si="12"/>
        <v>0</v>
      </c>
      <c r="I51" s="225" t="s">
        <v>112</v>
      </c>
      <c r="J51" s="1104"/>
      <c r="K51" s="339"/>
      <c r="L51" s="1105"/>
      <c r="M51" s="914"/>
      <c r="N51" s="316"/>
      <c r="O51" s="923"/>
      <c r="P51" s="1106"/>
      <c r="Q51" s="1107"/>
      <c r="R51" s="1108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</row>
    <row r="52" spans="1:46" s="648" customFormat="1" ht="13.5" customHeight="1">
      <c r="A52" s="1100" t="s">
        <v>1818</v>
      </c>
      <c r="B52" s="622"/>
      <c r="C52" s="220" t="s">
        <v>1805</v>
      </c>
      <c r="D52" s="643" t="s">
        <v>1806</v>
      </c>
      <c r="E52" s="1101" t="s">
        <v>210</v>
      </c>
      <c r="F52" s="1102">
        <v>1</v>
      </c>
      <c r="G52" s="1103"/>
      <c r="H52" s="933">
        <f t="shared" si="12"/>
        <v>0</v>
      </c>
      <c r="I52" s="225" t="s">
        <v>112</v>
      </c>
      <c r="J52" s="1104"/>
      <c r="K52" s="339"/>
      <c r="L52" s="1105"/>
      <c r="M52" s="914"/>
      <c r="N52" s="316"/>
      <c r="O52" s="923"/>
      <c r="P52" s="1106"/>
      <c r="Q52" s="1107"/>
      <c r="R52" s="1108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</row>
    <row r="53" spans="1:46" s="648" customFormat="1" ht="13.5" customHeight="1">
      <c r="A53" s="1100" t="s">
        <v>1819</v>
      </c>
      <c r="B53" s="622"/>
      <c r="C53" s="220" t="s">
        <v>1808</v>
      </c>
      <c r="D53" s="643" t="s">
        <v>1809</v>
      </c>
      <c r="E53" s="1101" t="s">
        <v>210</v>
      </c>
      <c r="F53" s="1102">
        <v>1</v>
      </c>
      <c r="G53" s="1103"/>
      <c r="H53" s="933">
        <f t="shared" si="12"/>
        <v>0</v>
      </c>
      <c r="I53" s="225" t="s">
        <v>112</v>
      </c>
      <c r="J53" s="1104"/>
      <c r="K53" s="339"/>
      <c r="L53" s="1105"/>
      <c r="M53" s="914"/>
      <c r="N53" s="316"/>
      <c r="O53" s="923"/>
      <c r="P53" s="1106"/>
      <c r="Q53" s="1107"/>
      <c r="R53" s="1108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</row>
    <row r="54" spans="1:46" s="648" customFormat="1" ht="13.5" customHeight="1">
      <c r="A54" s="1100" t="s">
        <v>1820</v>
      </c>
      <c r="B54" s="622"/>
      <c r="C54" s="220" t="s">
        <v>1811</v>
      </c>
      <c r="D54" s="643" t="s">
        <v>1812</v>
      </c>
      <c r="E54" s="1101" t="s">
        <v>210</v>
      </c>
      <c r="F54" s="1102">
        <v>1</v>
      </c>
      <c r="G54" s="1103"/>
      <c r="H54" s="933">
        <f t="shared" si="12"/>
        <v>0</v>
      </c>
      <c r="I54" s="225" t="s">
        <v>112</v>
      </c>
      <c r="J54" s="1104"/>
      <c r="K54" s="339"/>
      <c r="L54" s="1105"/>
      <c r="M54" s="914"/>
      <c r="N54" s="316"/>
      <c r="O54" s="923"/>
      <c r="P54" s="1106"/>
      <c r="Q54" s="1107"/>
      <c r="R54" s="1108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</row>
    <row r="55" spans="1:46" ht="13.5" customHeight="1">
      <c r="A55" s="1090" t="s">
        <v>1821</v>
      </c>
      <c r="B55" s="183"/>
      <c r="C55" s="220" t="s">
        <v>1787</v>
      </c>
      <c r="D55" s="183" t="s">
        <v>1788</v>
      </c>
      <c r="E55" s="183" t="s">
        <v>210</v>
      </c>
      <c r="F55" s="742">
        <v>1</v>
      </c>
      <c r="G55" s="1091"/>
      <c r="H55" s="305">
        <f t="shared" si="12"/>
        <v>0</v>
      </c>
      <c r="I55" s="225" t="s">
        <v>112</v>
      </c>
      <c r="J55" s="449"/>
      <c r="K55" s="1085"/>
      <c r="N55" s="633"/>
      <c r="Y55" s="791"/>
    </row>
    <row r="56" spans="1:46" ht="27" customHeight="1">
      <c r="A56" s="2709" t="s">
        <v>3810</v>
      </c>
      <c r="B56" s="2710"/>
      <c r="C56" s="2711" t="s">
        <v>1926</v>
      </c>
      <c r="D56" s="2710" t="s">
        <v>3813</v>
      </c>
      <c r="E56" s="2710" t="s">
        <v>142</v>
      </c>
      <c r="F56" s="2708">
        <f xml:space="preserve"> (3.2)*1.05</f>
        <v>3.3600000000000003</v>
      </c>
      <c r="G56" s="2712"/>
      <c r="H56" s="2714">
        <f t="shared" si="12"/>
        <v>0</v>
      </c>
      <c r="I56" s="2713" t="s">
        <v>112</v>
      </c>
      <c r="J56" s="449"/>
      <c r="K56" s="1085"/>
      <c r="N56" s="633"/>
      <c r="Y56" s="791"/>
    </row>
    <row r="57" spans="1:46" ht="27" customHeight="1">
      <c r="A57" s="891"/>
      <c r="B57" s="149"/>
      <c r="C57" s="149"/>
      <c r="D57" s="183" t="s">
        <v>1789</v>
      </c>
      <c r="E57" s="149"/>
      <c r="F57" s="772"/>
      <c r="G57" s="345"/>
      <c r="H57" s="345"/>
      <c r="I57" s="1088"/>
      <c r="J57" s="1086"/>
      <c r="K57" s="1099"/>
    </row>
    <row r="58" spans="1:46" ht="27" customHeight="1">
      <c r="A58" s="2707" t="s">
        <v>130</v>
      </c>
      <c r="B58" s="177">
        <v>766</v>
      </c>
      <c r="C58" s="177" t="s">
        <v>1776</v>
      </c>
      <c r="D58" s="177" t="s">
        <v>1822</v>
      </c>
      <c r="E58" s="177" t="s">
        <v>49</v>
      </c>
      <c r="F58" s="845">
        <f>SUM(F59)</f>
        <v>1</v>
      </c>
      <c r="G58" s="178">
        <f>SUM(H60:H70)/F58</f>
        <v>0</v>
      </c>
      <c r="H58" s="814">
        <f t="shared" ref="H58" si="13">ROUND(F58*G58,2)</f>
        <v>0</v>
      </c>
      <c r="I58" s="216" t="s">
        <v>111</v>
      </c>
      <c r="J58" s="1086"/>
      <c r="K58" s="1087"/>
    </row>
    <row r="59" spans="1:46" ht="13.5" customHeight="1">
      <c r="A59" s="817"/>
      <c r="B59" s="183"/>
      <c r="C59" s="183"/>
      <c r="D59" s="183" t="s">
        <v>1778</v>
      </c>
      <c r="E59" s="183"/>
      <c r="F59" s="742">
        <v>1</v>
      </c>
      <c r="G59" s="305"/>
      <c r="H59" s="305"/>
      <c r="I59" s="1088"/>
      <c r="J59" s="1089"/>
      <c r="K59" s="1087"/>
      <c r="P59" s="843"/>
    </row>
    <row r="60" spans="1:46" ht="27" customHeight="1">
      <c r="A60" s="1090" t="s">
        <v>1166</v>
      </c>
      <c r="B60" s="183"/>
      <c r="C60" s="220" t="s">
        <v>1779</v>
      </c>
      <c r="D60" s="183" t="s">
        <v>1823</v>
      </c>
      <c r="E60" s="183" t="s">
        <v>210</v>
      </c>
      <c r="F60" s="742">
        <v>1</v>
      </c>
      <c r="G60" s="1091"/>
      <c r="H60" s="305">
        <f t="shared" ref="H60" si="14">ROUND(F60*G60,2)</f>
        <v>0</v>
      </c>
      <c r="I60" s="225" t="s">
        <v>112</v>
      </c>
      <c r="J60" s="449"/>
      <c r="N60" s="1092"/>
    </row>
    <row r="61" spans="1:46" ht="13.5" customHeight="1">
      <c r="A61" s="817"/>
      <c r="B61" s="183"/>
      <c r="C61" s="183"/>
      <c r="D61" s="183" t="s">
        <v>1781</v>
      </c>
      <c r="E61" s="183"/>
      <c r="F61" s="742"/>
      <c r="G61" s="305"/>
      <c r="H61" s="305"/>
      <c r="I61" s="306"/>
      <c r="J61" s="1093"/>
      <c r="K61" s="1094"/>
      <c r="L61" s="3069"/>
      <c r="M61" s="3069"/>
      <c r="N61" s="1095"/>
      <c r="Y61" s="791"/>
    </row>
    <row r="62" spans="1:46" ht="27" customHeight="1">
      <c r="A62" s="1090" t="s">
        <v>1168</v>
      </c>
      <c r="B62" s="183"/>
      <c r="C62" s="220" t="s">
        <v>1782</v>
      </c>
      <c r="D62" s="183" t="s">
        <v>3800</v>
      </c>
      <c r="E62" s="183" t="s">
        <v>210</v>
      </c>
      <c r="F62" s="742">
        <v>1</v>
      </c>
      <c r="G62" s="1091"/>
      <c r="H62" s="305">
        <f t="shared" ref="H62:H70" si="15">ROUND(F62*G62,2)</f>
        <v>0</v>
      </c>
      <c r="I62" s="225" t="s">
        <v>112</v>
      </c>
      <c r="J62" s="442"/>
      <c r="K62" s="1096"/>
      <c r="N62" s="1097"/>
      <c r="Y62" s="791"/>
    </row>
    <row r="63" spans="1:46" ht="13.5" customHeight="1">
      <c r="A63" s="1090" t="s">
        <v>1171</v>
      </c>
      <c r="B63" s="183"/>
      <c r="C63" s="220" t="s">
        <v>1784</v>
      </c>
      <c r="D63" s="183" t="s">
        <v>1785</v>
      </c>
      <c r="E63" s="183" t="s">
        <v>210</v>
      </c>
      <c r="F63" s="742">
        <v>1</v>
      </c>
      <c r="G63" s="1091"/>
      <c r="H63" s="305">
        <f t="shared" si="15"/>
        <v>0</v>
      </c>
      <c r="I63" s="225" t="s">
        <v>112</v>
      </c>
      <c r="J63" s="449"/>
      <c r="X63" s="1098"/>
    </row>
    <row r="64" spans="1:46" ht="13.5" customHeight="1">
      <c r="A64" s="1090" t="s">
        <v>1173</v>
      </c>
      <c r="B64" s="183"/>
      <c r="C64" s="220" t="s">
        <v>1793</v>
      </c>
      <c r="D64" s="183" t="s">
        <v>1794</v>
      </c>
      <c r="E64" s="183" t="s">
        <v>210</v>
      </c>
      <c r="F64" s="742">
        <v>1</v>
      </c>
      <c r="G64" s="1091"/>
      <c r="H64" s="305">
        <f t="shared" si="15"/>
        <v>0</v>
      </c>
      <c r="I64" s="225" t="s">
        <v>112</v>
      </c>
      <c r="J64" s="449"/>
      <c r="N64" s="1092"/>
      <c r="Y64" s="791"/>
    </row>
    <row r="65" spans="1:46" ht="13.5" customHeight="1">
      <c r="A65" s="1090" t="s">
        <v>1824</v>
      </c>
      <c r="B65" s="183"/>
      <c r="C65" s="220" t="s">
        <v>1802</v>
      </c>
      <c r="D65" s="183" t="s">
        <v>1803</v>
      </c>
      <c r="E65" s="183" t="s">
        <v>210</v>
      </c>
      <c r="F65" s="742">
        <v>1</v>
      </c>
      <c r="G65" s="1091"/>
      <c r="H65" s="305">
        <f t="shared" si="15"/>
        <v>0</v>
      </c>
      <c r="I65" s="225" t="s">
        <v>112</v>
      </c>
      <c r="N65" s="1092"/>
      <c r="Y65" s="791"/>
    </row>
    <row r="66" spans="1:46" s="648" customFormat="1" ht="13.5" customHeight="1">
      <c r="A66" s="1100" t="s">
        <v>1825</v>
      </c>
      <c r="B66" s="622"/>
      <c r="C66" s="220" t="s">
        <v>1805</v>
      </c>
      <c r="D66" s="643" t="s">
        <v>1806</v>
      </c>
      <c r="E66" s="1101" t="s">
        <v>210</v>
      </c>
      <c r="F66" s="1102">
        <v>1</v>
      </c>
      <c r="G66" s="1103"/>
      <c r="H66" s="933">
        <f t="shared" si="15"/>
        <v>0</v>
      </c>
      <c r="I66" s="225" t="s">
        <v>112</v>
      </c>
      <c r="J66" s="1104"/>
      <c r="K66" s="339"/>
      <c r="L66" s="1105"/>
      <c r="M66" s="914"/>
      <c r="N66" s="316"/>
      <c r="O66" s="923"/>
      <c r="P66" s="1106"/>
      <c r="Q66" s="1107"/>
      <c r="R66" s="1108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</row>
    <row r="67" spans="1:46" s="648" customFormat="1" ht="13.5" customHeight="1">
      <c r="A67" s="1100" t="s">
        <v>1826</v>
      </c>
      <c r="B67" s="622"/>
      <c r="C67" s="220" t="s">
        <v>1808</v>
      </c>
      <c r="D67" s="643" t="s">
        <v>1809</v>
      </c>
      <c r="E67" s="1101" t="s">
        <v>210</v>
      </c>
      <c r="F67" s="1102">
        <v>1</v>
      </c>
      <c r="G67" s="1103"/>
      <c r="H67" s="933">
        <f t="shared" si="15"/>
        <v>0</v>
      </c>
      <c r="I67" s="225" t="s">
        <v>112</v>
      </c>
      <c r="J67" s="1104"/>
      <c r="K67" s="339"/>
      <c r="L67" s="1105"/>
      <c r="M67" s="914"/>
      <c r="N67" s="316"/>
      <c r="O67" s="923"/>
      <c r="P67" s="1106"/>
      <c r="Q67" s="1107"/>
      <c r="R67" s="1108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</row>
    <row r="68" spans="1:46" s="648" customFormat="1" ht="13.5" customHeight="1">
      <c r="A68" s="1100" t="s">
        <v>1827</v>
      </c>
      <c r="B68" s="622"/>
      <c r="C68" s="220" t="s">
        <v>1811</v>
      </c>
      <c r="D68" s="643" t="s">
        <v>1812</v>
      </c>
      <c r="E68" s="1101" t="s">
        <v>210</v>
      </c>
      <c r="F68" s="1102">
        <v>1</v>
      </c>
      <c r="G68" s="1103"/>
      <c r="H68" s="933">
        <f t="shared" si="15"/>
        <v>0</v>
      </c>
      <c r="I68" s="225" t="s">
        <v>112</v>
      </c>
      <c r="J68" s="1104"/>
      <c r="K68" s="339"/>
      <c r="L68" s="1105"/>
      <c r="M68" s="914"/>
      <c r="N68" s="316"/>
      <c r="O68" s="923"/>
      <c r="P68" s="1106"/>
      <c r="Q68" s="1107"/>
      <c r="R68" s="1108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</row>
    <row r="69" spans="1:46" ht="13.5" customHeight="1">
      <c r="A69" s="1090" t="s">
        <v>1828</v>
      </c>
      <c r="B69" s="183"/>
      <c r="C69" s="220" t="s">
        <v>1787</v>
      </c>
      <c r="D69" s="183" t="s">
        <v>1788</v>
      </c>
      <c r="E69" s="183" t="s">
        <v>210</v>
      </c>
      <c r="F69" s="742">
        <v>1</v>
      </c>
      <c r="G69" s="1091"/>
      <c r="H69" s="305">
        <f t="shared" si="15"/>
        <v>0</v>
      </c>
      <c r="I69" s="225" t="s">
        <v>112</v>
      </c>
      <c r="J69" s="449"/>
      <c r="K69" s="1085"/>
      <c r="N69" s="633"/>
      <c r="Y69" s="791"/>
    </row>
    <row r="70" spans="1:46" ht="27" customHeight="1">
      <c r="A70" s="2709" t="s">
        <v>3815</v>
      </c>
      <c r="B70" s="2710"/>
      <c r="C70" s="2711" t="s">
        <v>1926</v>
      </c>
      <c r="D70" s="2710" t="s">
        <v>3814</v>
      </c>
      <c r="E70" s="2710" t="s">
        <v>142</v>
      </c>
      <c r="F70" s="2708">
        <f>(6.53)*1.05</f>
        <v>6.8565000000000005</v>
      </c>
      <c r="G70" s="2712"/>
      <c r="H70" s="2714">
        <f t="shared" si="15"/>
        <v>0</v>
      </c>
      <c r="I70" s="2713" t="s">
        <v>112</v>
      </c>
      <c r="J70" s="449"/>
      <c r="K70" s="1085"/>
      <c r="N70" s="633"/>
      <c r="Y70" s="791"/>
    </row>
    <row r="71" spans="1:46" ht="27" customHeight="1">
      <c r="A71" s="891"/>
      <c r="B71" s="149"/>
      <c r="C71" s="149"/>
      <c r="D71" s="183" t="s">
        <v>1789</v>
      </c>
      <c r="E71" s="149"/>
      <c r="F71" s="772"/>
      <c r="G71" s="345"/>
      <c r="H71" s="345"/>
      <c r="I71" s="1088"/>
      <c r="J71" s="1086"/>
      <c r="K71" s="1099"/>
    </row>
    <row r="72" spans="1:46" ht="27" customHeight="1">
      <c r="A72" s="2707" t="s">
        <v>131</v>
      </c>
      <c r="B72" s="177">
        <v>766</v>
      </c>
      <c r="C72" s="177" t="s">
        <v>1776</v>
      </c>
      <c r="D72" s="177" t="s">
        <v>1829</v>
      </c>
      <c r="E72" s="177" t="s">
        <v>49</v>
      </c>
      <c r="F72" s="845">
        <f>SUM(F73)</f>
        <v>1</v>
      </c>
      <c r="G72" s="178">
        <f>SUM(H74:H80)/F72</f>
        <v>0</v>
      </c>
      <c r="H72" s="814">
        <f t="shared" ref="H72" si="16">ROUND(F72*G72,2)</f>
        <v>0</v>
      </c>
      <c r="I72" s="216" t="s">
        <v>111</v>
      </c>
      <c r="J72" s="182"/>
    </row>
    <row r="73" spans="1:46" ht="13.5" customHeight="1">
      <c r="A73" s="817"/>
      <c r="B73" s="183"/>
      <c r="C73" s="183"/>
      <c r="D73" s="183" t="s">
        <v>1778</v>
      </c>
      <c r="E73" s="183"/>
      <c r="F73" s="742">
        <v>1</v>
      </c>
      <c r="G73" s="305"/>
      <c r="H73" s="305"/>
      <c r="I73" s="1088"/>
      <c r="J73" s="1086"/>
      <c r="K73" s="1087"/>
    </row>
    <row r="74" spans="1:46" ht="27" customHeight="1">
      <c r="A74" s="1090" t="s">
        <v>1349</v>
      </c>
      <c r="B74" s="183"/>
      <c r="C74" s="220" t="s">
        <v>1779</v>
      </c>
      <c r="D74" s="183" t="s">
        <v>1830</v>
      </c>
      <c r="E74" s="183" t="s">
        <v>210</v>
      </c>
      <c r="F74" s="742">
        <v>1</v>
      </c>
      <c r="G74" s="1091"/>
      <c r="H74" s="305">
        <f t="shared" ref="H74" si="17">ROUND(F74*G74,2)</f>
        <v>0</v>
      </c>
      <c r="I74" s="225" t="s">
        <v>112</v>
      </c>
      <c r="J74" s="1089"/>
      <c r="K74" s="1087"/>
      <c r="P74" s="843"/>
    </row>
    <row r="75" spans="1:46" ht="13.5" customHeight="1">
      <c r="A75" s="817"/>
      <c r="B75" s="183"/>
      <c r="C75" s="183"/>
      <c r="D75" s="183" t="s">
        <v>1781</v>
      </c>
      <c r="E75" s="183"/>
      <c r="F75" s="742"/>
      <c r="G75" s="305"/>
      <c r="H75" s="305"/>
      <c r="I75" s="306"/>
      <c r="J75" s="449"/>
      <c r="N75" s="1092"/>
      <c r="Y75" s="791"/>
    </row>
    <row r="76" spans="1:46" ht="27" customHeight="1">
      <c r="A76" s="1090" t="s">
        <v>1352</v>
      </c>
      <c r="B76" s="183"/>
      <c r="C76" s="220" t="s">
        <v>1782</v>
      </c>
      <c r="D76" s="183" t="s">
        <v>3800</v>
      </c>
      <c r="E76" s="183" t="s">
        <v>210</v>
      </c>
      <c r="F76" s="742">
        <v>1</v>
      </c>
      <c r="G76" s="1091"/>
      <c r="H76" s="305">
        <f t="shared" ref="H76:H80" si="18">ROUND(F76*G76,2)</f>
        <v>0</v>
      </c>
      <c r="I76" s="225" t="s">
        <v>112</v>
      </c>
      <c r="J76" s="1093"/>
      <c r="K76" s="1094"/>
      <c r="L76" s="3069"/>
      <c r="M76" s="3069"/>
      <c r="N76" s="1095"/>
      <c r="Y76" s="791"/>
    </row>
    <row r="77" spans="1:46" ht="13.5" customHeight="1">
      <c r="A77" s="1090" t="s">
        <v>1355</v>
      </c>
      <c r="B77" s="183"/>
      <c r="C77" s="220" t="s">
        <v>1784</v>
      </c>
      <c r="D77" s="183" t="s">
        <v>1785</v>
      </c>
      <c r="E77" s="183" t="s">
        <v>210</v>
      </c>
      <c r="F77" s="742">
        <v>1</v>
      </c>
      <c r="G77" s="1091"/>
      <c r="H77" s="305">
        <f t="shared" si="18"/>
        <v>0</v>
      </c>
      <c r="I77" s="225" t="s">
        <v>112</v>
      </c>
      <c r="J77" s="449"/>
      <c r="X77" s="1098"/>
    </row>
    <row r="78" spans="1:46" ht="13.5" customHeight="1">
      <c r="A78" s="2709" t="s">
        <v>3818</v>
      </c>
      <c r="B78" s="2710"/>
      <c r="C78" s="2711" t="s">
        <v>1793</v>
      </c>
      <c r="D78" s="2710" t="s">
        <v>1794</v>
      </c>
      <c r="E78" s="2710" t="s">
        <v>210</v>
      </c>
      <c r="F78" s="2708">
        <v>1</v>
      </c>
      <c r="G78" s="2712"/>
      <c r="H78" s="2714">
        <f t="shared" si="18"/>
        <v>0</v>
      </c>
      <c r="I78" s="2713" t="s">
        <v>112</v>
      </c>
      <c r="J78" s="449"/>
      <c r="N78" s="1092"/>
      <c r="Y78" s="791"/>
    </row>
    <row r="79" spans="1:46" ht="13.5" customHeight="1">
      <c r="A79" s="1090" t="s">
        <v>1357</v>
      </c>
      <c r="B79" s="183"/>
      <c r="C79" s="220" t="s">
        <v>1787</v>
      </c>
      <c r="D79" s="183" t="s">
        <v>1788</v>
      </c>
      <c r="E79" s="183" t="s">
        <v>210</v>
      </c>
      <c r="F79" s="742">
        <v>1</v>
      </c>
      <c r="G79" s="1091"/>
      <c r="H79" s="305">
        <f t="shared" si="18"/>
        <v>0</v>
      </c>
      <c r="I79" s="225" t="s">
        <v>112</v>
      </c>
      <c r="J79" s="449"/>
      <c r="K79" s="1085"/>
      <c r="N79" s="633"/>
      <c r="Y79" s="791"/>
    </row>
    <row r="80" spans="1:46" ht="27" customHeight="1">
      <c r="A80" s="2709" t="s">
        <v>3816</v>
      </c>
      <c r="B80" s="2710"/>
      <c r="C80" s="2711" t="s">
        <v>1926</v>
      </c>
      <c r="D80" s="2710" t="s">
        <v>3817</v>
      </c>
      <c r="E80" s="2710" t="s">
        <v>142</v>
      </c>
      <c r="F80" s="2708">
        <f>(1.8)*1.05</f>
        <v>1.8900000000000001</v>
      </c>
      <c r="G80" s="2712"/>
      <c r="H80" s="2714">
        <f t="shared" si="18"/>
        <v>0</v>
      </c>
      <c r="I80" s="2713" t="s">
        <v>112</v>
      </c>
      <c r="J80" s="449"/>
      <c r="K80" s="1085"/>
      <c r="N80" s="633"/>
      <c r="Y80" s="791"/>
    </row>
    <row r="81" spans="1:63" ht="27" customHeight="1">
      <c r="A81" s="891"/>
      <c r="B81" s="149"/>
      <c r="C81" s="149"/>
      <c r="D81" s="183" t="s">
        <v>1789</v>
      </c>
      <c r="E81" s="149"/>
      <c r="F81" s="772"/>
      <c r="G81" s="345"/>
      <c r="H81" s="345"/>
      <c r="I81" s="1088"/>
      <c r="J81" s="1086"/>
      <c r="K81" s="1099"/>
    </row>
    <row r="82" spans="1:63" ht="27" customHeight="1">
      <c r="A82" s="2707" t="s">
        <v>132</v>
      </c>
      <c r="B82" s="177">
        <v>766</v>
      </c>
      <c r="C82" s="177" t="s">
        <v>1831</v>
      </c>
      <c r="D82" s="177" t="s">
        <v>1832</v>
      </c>
      <c r="E82" s="177" t="s">
        <v>142</v>
      </c>
      <c r="F82" s="2715">
        <f>SUM(F84:F85)</f>
        <v>111.07</v>
      </c>
      <c r="G82" s="178"/>
      <c r="H82" s="814">
        <f t="shared" ref="H82" si="19">ROUND(F82*G82,2)</f>
        <v>0</v>
      </c>
      <c r="I82" s="216" t="s">
        <v>111</v>
      </c>
      <c r="J82" s="1109"/>
    </row>
    <row r="83" spans="1:63" ht="13.5" customHeight="1">
      <c r="A83" s="817"/>
      <c r="B83" s="183"/>
      <c r="C83" s="183"/>
      <c r="D83" s="300" t="s">
        <v>1833</v>
      </c>
      <c r="E83" s="183"/>
      <c r="G83" s="305"/>
      <c r="H83" s="305"/>
      <c r="I83" s="1088"/>
      <c r="J83" s="1089"/>
    </row>
    <row r="84" spans="1:63" ht="13.5" customHeight="1">
      <c r="A84" s="1090"/>
      <c r="B84" s="183"/>
      <c r="C84" s="220"/>
      <c r="D84" s="183" t="s">
        <v>1834</v>
      </c>
      <c r="E84" s="183"/>
      <c r="F84" s="2708">
        <v>38.69</v>
      </c>
      <c r="G84" s="305"/>
      <c r="H84" s="814"/>
      <c r="I84" s="225"/>
      <c r="J84" s="1110"/>
      <c r="K84" s="1094"/>
      <c r="L84" s="883"/>
      <c r="M84" s="883"/>
      <c r="N84" s="1095"/>
      <c r="Y84" s="791"/>
    </row>
    <row r="85" spans="1:63" ht="13.5" customHeight="1">
      <c r="A85" s="1090"/>
      <c r="B85" s="183"/>
      <c r="C85" s="220"/>
      <c r="D85" s="183" t="s">
        <v>1835</v>
      </c>
      <c r="E85" s="183"/>
      <c r="F85" s="2708">
        <v>72.38</v>
      </c>
      <c r="G85" s="305"/>
      <c r="H85" s="814"/>
      <c r="I85" s="225"/>
      <c r="J85" s="1110"/>
      <c r="K85" s="1094"/>
      <c r="L85" s="3069"/>
      <c r="M85" s="3069"/>
      <c r="N85" s="1095"/>
      <c r="Y85" s="791"/>
    </row>
    <row r="86" spans="1:63" ht="13.5" customHeight="1">
      <c r="A86" s="1090"/>
      <c r="B86" s="183"/>
      <c r="C86" s="220"/>
      <c r="D86" s="183" t="s">
        <v>1836</v>
      </c>
      <c r="E86" s="183"/>
      <c r="F86" s="742"/>
      <c r="G86" s="305"/>
      <c r="H86" s="814"/>
      <c r="I86" s="225"/>
      <c r="J86" s="1093"/>
      <c r="K86" s="1094"/>
      <c r="L86" s="3069"/>
      <c r="M86" s="3069"/>
      <c r="N86" s="1095"/>
      <c r="Y86" s="791"/>
    </row>
    <row r="87" spans="1:63" s="2720" customFormat="1" ht="27" customHeight="1">
      <c r="A87" s="2707" t="s">
        <v>1878</v>
      </c>
      <c r="B87" s="2710">
        <v>766</v>
      </c>
      <c r="C87" s="2710" t="s">
        <v>1831</v>
      </c>
      <c r="D87" s="2710" t="s">
        <v>3819</v>
      </c>
      <c r="E87" s="2710" t="s">
        <v>1328</v>
      </c>
      <c r="F87" s="2715">
        <f>SUM(F89:F89)</f>
        <v>1</v>
      </c>
      <c r="G87" s="2714"/>
      <c r="H87" s="2716">
        <f t="shared" ref="H87" si="20">ROUND(F87*G87,2)</f>
        <v>0</v>
      </c>
      <c r="I87" s="2717" t="s">
        <v>111</v>
      </c>
      <c r="J87" s="2718"/>
      <c r="K87" s="2719"/>
    </row>
    <row r="88" spans="1:63" s="2720" customFormat="1" ht="13.5" customHeight="1">
      <c r="A88" s="2709"/>
      <c r="B88" s="2710"/>
      <c r="C88" s="2710"/>
      <c r="D88" s="2710" t="s">
        <v>3820</v>
      </c>
      <c r="E88" s="2710"/>
      <c r="F88" s="2721"/>
      <c r="G88" s="2714"/>
      <c r="H88" s="2714"/>
      <c r="I88" s="2722"/>
      <c r="J88" s="2723"/>
      <c r="K88" s="2719"/>
    </row>
    <row r="89" spans="1:63" s="2720" customFormat="1" ht="13.5" customHeight="1">
      <c r="A89" s="2709"/>
      <c r="B89" s="2710"/>
      <c r="C89" s="2711"/>
      <c r="D89" s="2710" t="s">
        <v>1834</v>
      </c>
      <c r="E89" s="2710"/>
      <c r="F89" s="2708">
        <v>1</v>
      </c>
      <c r="G89" s="2714"/>
      <c r="H89" s="2716"/>
      <c r="I89" s="2713"/>
      <c r="J89" s="2724"/>
      <c r="K89" s="2725"/>
      <c r="L89" s="2726"/>
      <c r="M89" s="2726"/>
      <c r="N89" s="2727"/>
      <c r="Y89" s="2728"/>
    </row>
    <row r="90" spans="1:63" s="2720" customFormat="1" ht="13.5" customHeight="1">
      <c r="A90" s="2709"/>
      <c r="B90" s="2710"/>
      <c r="C90" s="2711"/>
      <c r="D90" s="2710" t="s">
        <v>1836</v>
      </c>
      <c r="E90" s="2710"/>
      <c r="F90" s="2708"/>
      <c r="G90" s="2714"/>
      <c r="H90" s="2716"/>
      <c r="I90" s="2713"/>
      <c r="J90" s="2729"/>
      <c r="K90" s="2725"/>
      <c r="L90" s="3070"/>
      <c r="M90" s="3070"/>
      <c r="N90" s="2727"/>
      <c r="Y90" s="2728"/>
    </row>
    <row r="91" spans="1:63" ht="13.5" customHeight="1">
      <c r="A91" s="746" t="s">
        <v>1184</v>
      </c>
      <c r="B91" s="177">
        <v>766</v>
      </c>
      <c r="C91" s="177">
        <v>998766202</v>
      </c>
      <c r="D91" s="177" t="s">
        <v>1083</v>
      </c>
      <c r="E91" s="177" t="s">
        <v>10</v>
      </c>
      <c r="F91" s="740">
        <v>0.59</v>
      </c>
      <c r="G91" s="178"/>
      <c r="H91" s="814">
        <f t="shared" ref="H91:H92" si="21">ROUND(F91*G91,2)</f>
        <v>0</v>
      </c>
      <c r="I91" s="216" t="s">
        <v>138</v>
      </c>
      <c r="J91" s="182"/>
      <c r="K91" s="1111"/>
      <c r="L91" s="748"/>
    </row>
    <row r="92" spans="1:63" s="325" customFormat="1" ht="13.5" customHeight="1">
      <c r="A92" s="746" t="s">
        <v>318</v>
      </c>
      <c r="B92" s="177" t="s">
        <v>369</v>
      </c>
      <c r="C92" s="177" t="s">
        <v>1022</v>
      </c>
      <c r="D92" s="177" t="s">
        <v>1023</v>
      </c>
      <c r="E92" s="177" t="s">
        <v>69</v>
      </c>
      <c r="F92" s="740">
        <f>F93</f>
        <v>20</v>
      </c>
      <c r="G92" s="178"/>
      <c r="H92" s="814">
        <f t="shared" si="21"/>
        <v>0</v>
      </c>
      <c r="I92" s="216" t="s">
        <v>138</v>
      </c>
      <c r="J92" s="182"/>
      <c r="K92" s="851"/>
      <c r="L92" s="141"/>
    </row>
    <row r="93" spans="1:63" s="135" customFormat="1" ht="13.5" customHeight="1">
      <c r="A93" s="298"/>
      <c r="B93" s="299"/>
      <c r="C93" s="299"/>
      <c r="D93" s="183" t="s">
        <v>1024</v>
      </c>
      <c r="E93" s="299"/>
      <c r="F93" s="742">
        <v>20</v>
      </c>
      <c r="G93" s="178"/>
      <c r="H93" s="178"/>
      <c r="I93" s="150"/>
      <c r="K93" s="801"/>
      <c r="L93" s="141"/>
    </row>
    <row r="94" spans="1:63" s="135" customFormat="1" ht="13.5" customHeight="1">
      <c r="A94" s="298"/>
      <c r="B94" s="299"/>
      <c r="C94" s="299"/>
      <c r="D94" s="183" t="s">
        <v>540</v>
      </c>
      <c r="E94" s="299"/>
      <c r="F94" s="742"/>
      <c r="G94" s="178"/>
      <c r="H94" s="178"/>
      <c r="I94" s="150"/>
      <c r="K94" s="801"/>
      <c r="L94" s="141"/>
    </row>
    <row r="95" spans="1:63" s="135" customFormat="1" ht="21" customHeight="1">
      <c r="A95" s="496"/>
      <c r="B95" s="497"/>
      <c r="C95" s="497"/>
      <c r="D95" s="497" t="s">
        <v>0</v>
      </c>
      <c r="E95" s="497"/>
      <c r="F95" s="948"/>
      <c r="G95" s="781"/>
      <c r="H95" s="572">
        <f>H8</f>
        <v>0</v>
      </c>
      <c r="K95" s="855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</row>
    <row r="96" spans="1:63">
      <c r="H96" s="444"/>
      <c r="K96" s="801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</row>
    <row r="97" spans="1:63" ht="13.5" customHeight="1">
      <c r="A97" s="3038" t="s">
        <v>875</v>
      </c>
      <c r="B97" s="3067"/>
      <c r="C97" s="3068"/>
      <c r="D97" s="500" t="s">
        <v>1837</v>
      </c>
      <c r="E97" s="501"/>
      <c r="F97" s="950"/>
      <c r="G97" s="785"/>
      <c r="H97" s="581">
        <f>H95</f>
        <v>0</v>
      </c>
      <c r="K97" s="1112"/>
    </row>
    <row r="98" spans="1:63">
      <c r="K98" s="1113"/>
      <c r="M98" s="789"/>
      <c r="N98" s="790"/>
      <c r="O98" s="791"/>
      <c r="P98" s="792"/>
      <c r="Q98" s="735"/>
      <c r="R98" s="735"/>
      <c r="S98" s="135"/>
      <c r="T98" s="146"/>
      <c r="U98" s="147"/>
      <c r="V98" s="789"/>
      <c r="W98" s="790"/>
      <c r="X98" s="791"/>
      <c r="Y98" s="792"/>
      <c r="Z98" s="735"/>
      <c r="AA98" s="735"/>
      <c r="AB98" s="135"/>
      <c r="AC98" s="146"/>
      <c r="AD98" s="147"/>
      <c r="AE98" s="789"/>
      <c r="AF98" s="790"/>
      <c r="AG98" s="791"/>
      <c r="AH98" s="792"/>
      <c r="AI98" s="735"/>
      <c r="AJ98" s="735"/>
      <c r="AK98" s="135"/>
      <c r="AL98" s="146"/>
      <c r="AM98" s="147"/>
      <c r="AN98" s="789"/>
      <c r="AO98" s="790"/>
      <c r="AP98" s="791"/>
      <c r="AQ98" s="792"/>
      <c r="AR98" s="735"/>
      <c r="AS98" s="735"/>
      <c r="AT98" s="135"/>
      <c r="AU98" s="146"/>
      <c r="AV98" s="147"/>
      <c r="AW98" s="789"/>
      <c r="AX98" s="790"/>
      <c r="AY98" s="791"/>
      <c r="AZ98" s="792"/>
      <c r="BA98" s="735"/>
      <c r="BB98" s="735"/>
      <c r="BC98" s="135"/>
      <c r="BD98" s="146"/>
      <c r="BE98" s="147"/>
      <c r="BF98" s="789"/>
      <c r="BG98" s="790"/>
      <c r="BH98" s="791"/>
      <c r="BI98" s="792"/>
      <c r="BJ98" s="735"/>
      <c r="BK98" s="735"/>
    </row>
    <row r="99" spans="1:63">
      <c r="A99" s="129" t="s">
        <v>1</v>
      </c>
      <c r="B99" s="130"/>
      <c r="C99" s="129"/>
      <c r="D99" s="129"/>
      <c r="E99" s="129"/>
      <c r="F99" s="129"/>
      <c r="G99" s="129"/>
      <c r="H99" s="129"/>
      <c r="I99" s="182"/>
      <c r="J99" s="182"/>
      <c r="K99" s="1114"/>
      <c r="M99" s="789"/>
      <c r="N99" s="790"/>
      <c r="O99" s="791"/>
      <c r="P99" s="792"/>
      <c r="Q99" s="735"/>
      <c r="R99" s="735"/>
      <c r="S99" s="135"/>
      <c r="T99" s="146"/>
      <c r="U99" s="147"/>
      <c r="V99" s="789"/>
      <c r="W99" s="790"/>
      <c r="X99" s="791"/>
      <c r="Y99" s="792"/>
      <c r="Z99" s="735"/>
      <c r="AA99" s="735"/>
      <c r="AB99" s="135"/>
      <c r="AC99" s="146"/>
      <c r="AD99" s="147"/>
      <c r="AE99" s="789"/>
      <c r="AF99" s="790"/>
      <c r="AG99" s="791"/>
      <c r="AH99" s="792"/>
      <c r="AI99" s="735"/>
      <c r="AJ99" s="735"/>
      <c r="AK99" s="135"/>
      <c r="AL99" s="146"/>
      <c r="AM99" s="147"/>
      <c r="AN99" s="789"/>
      <c r="AO99" s="790"/>
      <c r="AP99" s="791"/>
      <c r="AQ99" s="792"/>
      <c r="AR99" s="735"/>
      <c r="AS99" s="735"/>
      <c r="AT99" s="135"/>
      <c r="AU99" s="146"/>
      <c r="AV99" s="147"/>
      <c r="AW99" s="789"/>
      <c r="AX99" s="790"/>
      <c r="AY99" s="791"/>
      <c r="AZ99" s="792"/>
      <c r="BA99" s="735"/>
      <c r="BB99" s="735"/>
      <c r="BC99" s="135"/>
      <c r="BD99" s="146"/>
      <c r="BE99" s="147"/>
      <c r="BF99" s="789"/>
      <c r="BG99" s="790"/>
      <c r="BH99" s="791"/>
      <c r="BI99" s="792"/>
      <c r="BJ99" s="735"/>
      <c r="BK99" s="735"/>
    </row>
    <row r="100" spans="1:63" ht="27" customHeight="1">
      <c r="A100" s="3018" t="s">
        <v>1125</v>
      </c>
      <c r="B100" s="3037"/>
      <c r="C100" s="3037"/>
      <c r="D100" s="3037"/>
      <c r="E100" s="3037"/>
      <c r="F100" s="3037"/>
      <c r="G100" s="3037"/>
      <c r="H100" s="129"/>
      <c r="I100" s="795"/>
      <c r="J100" s="795"/>
      <c r="K100" s="1115"/>
      <c r="M100" s="789"/>
      <c r="N100" s="790"/>
      <c r="O100" s="791"/>
      <c r="P100" s="792"/>
      <c r="Q100" s="735"/>
      <c r="R100" s="735"/>
      <c r="S100" s="135"/>
      <c r="T100" s="146"/>
      <c r="U100" s="147"/>
      <c r="V100" s="789"/>
      <c r="W100" s="790"/>
      <c r="X100" s="791"/>
      <c r="Y100" s="792"/>
      <c r="Z100" s="735"/>
      <c r="AA100" s="735"/>
      <c r="AB100" s="135"/>
      <c r="AC100" s="146"/>
      <c r="AD100" s="147"/>
      <c r="AE100" s="789"/>
      <c r="AF100" s="790"/>
      <c r="AG100" s="791"/>
      <c r="AH100" s="792"/>
      <c r="AI100" s="735"/>
      <c r="AJ100" s="735"/>
      <c r="AK100" s="135"/>
      <c r="AL100" s="146"/>
      <c r="AM100" s="147"/>
      <c r="AN100" s="789"/>
      <c r="AO100" s="790"/>
      <c r="AP100" s="791"/>
      <c r="AQ100" s="792"/>
      <c r="AR100" s="735"/>
      <c r="AS100" s="735"/>
      <c r="AT100" s="135"/>
      <c r="AU100" s="146"/>
      <c r="AV100" s="147"/>
      <c r="AW100" s="789"/>
      <c r="AX100" s="790"/>
      <c r="AY100" s="791"/>
      <c r="AZ100" s="792"/>
      <c r="BA100" s="735"/>
      <c r="BB100" s="735"/>
      <c r="BC100" s="135"/>
      <c r="BD100" s="146"/>
      <c r="BE100" s="147"/>
      <c r="BF100" s="789"/>
      <c r="BG100" s="790"/>
      <c r="BH100" s="791"/>
      <c r="BI100" s="792"/>
      <c r="BJ100" s="735"/>
      <c r="BK100" s="735"/>
    </row>
    <row r="101" spans="1:63" ht="90" customHeight="1">
      <c r="A101" s="3018" t="s">
        <v>1126</v>
      </c>
      <c r="B101" s="3041"/>
      <c r="C101" s="3041"/>
      <c r="D101" s="3041"/>
      <c r="E101" s="3041"/>
      <c r="F101" s="3041"/>
      <c r="G101" s="3041"/>
      <c r="H101" s="129"/>
      <c r="I101" s="129"/>
      <c r="J101" s="129"/>
      <c r="K101" s="1112"/>
      <c r="M101" s="789"/>
      <c r="N101" s="790"/>
      <c r="O101" s="791"/>
      <c r="P101" s="792"/>
      <c r="Q101" s="735"/>
      <c r="R101" s="735"/>
      <c r="S101" s="135"/>
      <c r="T101" s="146"/>
      <c r="U101" s="147"/>
      <c r="V101" s="789"/>
      <c r="W101" s="790"/>
      <c r="X101" s="791"/>
      <c r="Y101" s="792"/>
      <c r="Z101" s="735"/>
      <c r="AA101" s="735"/>
      <c r="AB101" s="135"/>
      <c r="AC101" s="146"/>
      <c r="AD101" s="147"/>
      <c r="AE101" s="789"/>
      <c r="AF101" s="790"/>
      <c r="AG101" s="791"/>
      <c r="AH101" s="792"/>
      <c r="AI101" s="735"/>
      <c r="AJ101" s="735"/>
      <c r="AK101" s="135"/>
      <c r="AL101" s="146"/>
      <c r="AM101" s="147"/>
      <c r="AN101" s="789"/>
      <c r="AO101" s="790"/>
      <c r="AP101" s="791"/>
      <c r="AQ101" s="792"/>
      <c r="AR101" s="735"/>
      <c r="AS101" s="735"/>
      <c r="AT101" s="135"/>
      <c r="AU101" s="146"/>
      <c r="AV101" s="147"/>
      <c r="AW101" s="789"/>
      <c r="AX101" s="790"/>
      <c r="AY101" s="791"/>
      <c r="AZ101" s="792"/>
      <c r="BA101" s="735"/>
      <c r="BB101" s="735"/>
      <c r="BC101" s="135"/>
      <c r="BD101" s="146"/>
      <c r="BE101" s="147"/>
      <c r="BF101" s="789"/>
      <c r="BG101" s="790"/>
      <c r="BH101" s="791"/>
      <c r="BI101" s="792"/>
      <c r="BJ101" s="735"/>
      <c r="BK101" s="735"/>
    </row>
    <row r="102" spans="1:63">
      <c r="A102" s="3018" t="s">
        <v>105</v>
      </c>
      <c r="B102" s="3042"/>
      <c r="C102" s="3042"/>
      <c r="D102" s="3042"/>
      <c r="E102" s="3042"/>
      <c r="F102" s="3042"/>
      <c r="G102" s="3042"/>
      <c r="H102" s="507"/>
      <c r="I102" s="507"/>
      <c r="J102" s="507"/>
      <c r="K102" s="1112"/>
      <c r="M102" s="789"/>
      <c r="N102" s="790"/>
      <c r="O102" s="791"/>
      <c r="P102" s="792"/>
      <c r="Q102" s="735"/>
      <c r="R102" s="735"/>
      <c r="S102" s="135"/>
      <c r="T102" s="146"/>
      <c r="U102" s="147"/>
      <c r="V102" s="789"/>
      <c r="W102" s="790"/>
      <c r="X102" s="791"/>
      <c r="Y102" s="792"/>
      <c r="Z102" s="735"/>
      <c r="AA102" s="735"/>
      <c r="AB102" s="135"/>
      <c r="AC102" s="146"/>
      <c r="AD102" s="147"/>
      <c r="AE102" s="789"/>
      <c r="AF102" s="790"/>
      <c r="AG102" s="791"/>
      <c r="AH102" s="792"/>
      <c r="AI102" s="735"/>
      <c r="AJ102" s="735"/>
      <c r="AK102" s="135"/>
      <c r="AL102" s="146"/>
      <c r="AM102" s="147"/>
      <c r="AN102" s="789"/>
      <c r="AO102" s="790"/>
      <c r="AP102" s="791"/>
      <c r="AQ102" s="792"/>
      <c r="AR102" s="735"/>
      <c r="AS102" s="735"/>
      <c r="AT102" s="135"/>
      <c r="AU102" s="146"/>
      <c r="AV102" s="147"/>
      <c r="AW102" s="789"/>
      <c r="AX102" s="790"/>
      <c r="AY102" s="791"/>
      <c r="AZ102" s="792"/>
      <c r="BA102" s="735"/>
      <c r="BB102" s="735"/>
      <c r="BC102" s="135"/>
      <c r="BD102" s="146"/>
      <c r="BE102" s="147"/>
      <c r="BF102" s="789"/>
      <c r="BG102" s="790"/>
      <c r="BH102" s="791"/>
      <c r="BI102" s="792"/>
      <c r="BJ102" s="735"/>
      <c r="BK102" s="735"/>
    </row>
    <row r="103" spans="1:63">
      <c r="A103" s="3018" t="s">
        <v>106</v>
      </c>
      <c r="B103" s="3042"/>
      <c r="C103" s="3042"/>
      <c r="D103" s="3042"/>
      <c r="E103" s="3042"/>
      <c r="F103" s="3042"/>
      <c r="G103" s="3042"/>
      <c r="H103" s="507"/>
      <c r="I103" s="507"/>
      <c r="J103" s="507"/>
      <c r="K103" s="801"/>
      <c r="M103" s="789"/>
      <c r="N103" s="790"/>
      <c r="O103" s="791"/>
      <c r="P103" s="792"/>
      <c r="Q103" s="735"/>
      <c r="R103" s="735"/>
      <c r="S103" s="135"/>
      <c r="T103" s="146"/>
      <c r="U103" s="147"/>
      <c r="V103" s="789"/>
      <c r="W103" s="790"/>
      <c r="X103" s="791"/>
      <c r="Y103" s="792"/>
      <c r="Z103" s="735"/>
      <c r="AA103" s="735"/>
      <c r="AB103" s="135"/>
      <c r="AC103" s="146"/>
      <c r="AD103" s="147"/>
      <c r="AE103" s="789"/>
      <c r="AF103" s="790"/>
      <c r="AG103" s="791"/>
      <c r="AH103" s="792"/>
      <c r="AI103" s="735"/>
      <c r="AJ103" s="735"/>
      <c r="AK103" s="135"/>
      <c r="AL103" s="146"/>
      <c r="AM103" s="147"/>
      <c r="AN103" s="789"/>
      <c r="AO103" s="790"/>
      <c r="AP103" s="791"/>
      <c r="AQ103" s="792"/>
      <c r="AR103" s="735"/>
      <c r="AS103" s="735"/>
      <c r="AT103" s="135"/>
      <c r="AU103" s="146"/>
      <c r="AV103" s="147"/>
      <c r="AW103" s="789"/>
      <c r="AX103" s="790"/>
      <c r="AY103" s="791"/>
      <c r="AZ103" s="792"/>
      <c r="BA103" s="735"/>
      <c r="BB103" s="735"/>
      <c r="BC103" s="135"/>
      <c r="BD103" s="146"/>
      <c r="BE103" s="147"/>
      <c r="BF103" s="789"/>
      <c r="BG103" s="790"/>
      <c r="BH103" s="791"/>
      <c r="BI103" s="792"/>
      <c r="BJ103" s="735"/>
      <c r="BK103" s="735"/>
    </row>
    <row r="104" spans="1:63" ht="108" customHeight="1">
      <c r="A104" s="3057" t="s">
        <v>1026</v>
      </c>
      <c r="B104" s="3057"/>
      <c r="C104" s="3057"/>
      <c r="D104" s="3057"/>
      <c r="E104" s="3057"/>
      <c r="F104" s="3057"/>
      <c r="G104" s="3057"/>
      <c r="H104" s="325"/>
      <c r="I104" s="797"/>
      <c r="J104" s="141"/>
      <c r="K104" s="141"/>
    </row>
    <row r="105" spans="1:63" s="1116" customFormat="1" ht="40.5" customHeight="1">
      <c r="A105" s="3057" t="s">
        <v>878</v>
      </c>
      <c r="B105" s="3057"/>
      <c r="C105" s="3057"/>
      <c r="D105" s="3057"/>
      <c r="E105" s="3057"/>
      <c r="F105" s="3057"/>
      <c r="G105" s="3057"/>
      <c r="I105" s="1117"/>
    </row>
    <row r="106" spans="1:63">
      <c r="A106" s="132"/>
      <c r="B106" s="506"/>
      <c r="C106" s="506"/>
      <c r="D106" s="506"/>
      <c r="E106" s="506"/>
      <c r="F106" s="506"/>
      <c r="G106" s="506"/>
      <c r="H106" s="507"/>
      <c r="I106" s="507"/>
      <c r="J106" s="507"/>
      <c r="K106" s="801"/>
      <c r="M106" s="789"/>
      <c r="N106" s="790"/>
      <c r="O106" s="791"/>
      <c r="P106" s="792"/>
      <c r="Q106" s="735"/>
      <c r="R106" s="735"/>
      <c r="S106" s="135"/>
      <c r="T106" s="146"/>
      <c r="U106" s="147"/>
      <c r="V106" s="789"/>
      <c r="W106" s="790"/>
      <c r="X106" s="791"/>
      <c r="Y106" s="792"/>
      <c r="Z106" s="735"/>
      <c r="AA106" s="735"/>
      <c r="AB106" s="135"/>
      <c r="AC106" s="146"/>
      <c r="AD106" s="147"/>
      <c r="AE106" s="789"/>
      <c r="AF106" s="790"/>
      <c r="AG106" s="791"/>
      <c r="AH106" s="792"/>
      <c r="AI106" s="735"/>
      <c r="AJ106" s="735"/>
      <c r="AK106" s="135"/>
      <c r="AL106" s="146"/>
      <c r="AM106" s="147"/>
      <c r="AN106" s="789"/>
      <c r="AO106" s="790"/>
      <c r="AP106" s="791"/>
      <c r="AQ106" s="792"/>
      <c r="AR106" s="735"/>
      <c r="AS106" s="735"/>
      <c r="AT106" s="135"/>
      <c r="AU106" s="146"/>
      <c r="AV106" s="147"/>
      <c r="AW106" s="789"/>
      <c r="AX106" s="790"/>
      <c r="AY106" s="791"/>
      <c r="AZ106" s="792"/>
      <c r="BA106" s="735"/>
      <c r="BB106" s="735"/>
      <c r="BC106" s="135"/>
      <c r="BD106" s="146"/>
      <c r="BE106" s="147"/>
      <c r="BF106" s="789"/>
      <c r="BG106" s="790"/>
      <c r="BH106" s="791"/>
      <c r="BI106" s="792"/>
      <c r="BJ106" s="735"/>
      <c r="BK106" s="735"/>
    </row>
    <row r="107" spans="1:63">
      <c r="K107" s="1112"/>
      <c r="M107" s="789"/>
      <c r="N107" s="790"/>
      <c r="O107" s="791"/>
      <c r="P107" s="792"/>
      <c r="Q107" s="735"/>
      <c r="R107" s="735"/>
      <c r="S107" s="135"/>
      <c r="T107" s="146"/>
      <c r="U107" s="147"/>
      <c r="V107" s="789"/>
      <c r="W107" s="790"/>
      <c r="X107" s="791"/>
      <c r="Y107" s="792"/>
      <c r="Z107" s="735"/>
      <c r="AA107" s="735"/>
      <c r="AB107" s="135"/>
      <c r="AC107" s="146"/>
      <c r="AD107" s="147"/>
      <c r="AE107" s="789"/>
      <c r="AF107" s="790"/>
      <c r="AG107" s="791"/>
      <c r="AH107" s="792"/>
      <c r="AI107" s="735"/>
      <c r="AJ107" s="735"/>
      <c r="AK107" s="135"/>
      <c r="AL107" s="146"/>
      <c r="AM107" s="147"/>
      <c r="AN107" s="789"/>
      <c r="AO107" s="790"/>
      <c r="AP107" s="791"/>
      <c r="AQ107" s="792"/>
      <c r="AR107" s="735"/>
      <c r="AS107" s="735"/>
      <c r="AT107" s="135"/>
      <c r="AU107" s="146"/>
      <c r="AV107" s="147"/>
      <c r="AW107" s="789"/>
      <c r="AX107" s="790"/>
      <c r="AY107" s="791"/>
      <c r="AZ107" s="792"/>
      <c r="BA107" s="735"/>
      <c r="BB107" s="735"/>
      <c r="BC107" s="135"/>
      <c r="BD107" s="146"/>
      <c r="BE107" s="147"/>
      <c r="BF107" s="789"/>
      <c r="BG107" s="790"/>
      <c r="BH107" s="791"/>
      <c r="BI107" s="792"/>
      <c r="BJ107" s="735"/>
      <c r="BK107" s="735"/>
    </row>
    <row r="108" spans="1:63">
      <c r="K108" s="1112"/>
      <c r="M108" s="789"/>
      <c r="N108" s="790"/>
      <c r="O108" s="791"/>
      <c r="P108" s="792"/>
      <c r="Q108" s="735"/>
      <c r="R108" s="735"/>
      <c r="S108" s="135"/>
      <c r="T108" s="146"/>
      <c r="U108" s="147"/>
      <c r="V108" s="789"/>
      <c r="W108" s="790"/>
      <c r="X108" s="791"/>
      <c r="Y108" s="792"/>
      <c r="Z108" s="735"/>
      <c r="AA108" s="735"/>
      <c r="AB108" s="135"/>
      <c r="AC108" s="146"/>
      <c r="AD108" s="147"/>
      <c r="AE108" s="789"/>
      <c r="AF108" s="790"/>
      <c r="AG108" s="791"/>
      <c r="AH108" s="792"/>
      <c r="AI108" s="735"/>
      <c r="AJ108" s="735"/>
      <c r="AK108" s="135"/>
      <c r="AL108" s="146"/>
      <c r="AM108" s="147"/>
      <c r="AN108" s="789"/>
      <c r="AO108" s="790"/>
      <c r="AP108" s="791"/>
      <c r="AQ108" s="792"/>
      <c r="AR108" s="735"/>
      <c r="AS108" s="735"/>
      <c r="AT108" s="135"/>
      <c r="AU108" s="146"/>
      <c r="AV108" s="147"/>
      <c r="AW108" s="789"/>
      <c r="AX108" s="790"/>
      <c r="AY108" s="791"/>
      <c r="AZ108" s="792"/>
      <c r="BA108" s="735"/>
      <c r="BB108" s="735"/>
      <c r="BC108" s="135"/>
      <c r="BD108" s="146"/>
      <c r="BE108" s="147"/>
      <c r="BF108" s="789"/>
      <c r="BG108" s="790"/>
      <c r="BH108" s="791"/>
      <c r="BI108" s="792"/>
      <c r="BJ108" s="735"/>
      <c r="BK108" s="735"/>
    </row>
    <row r="109" spans="1:63">
      <c r="K109" s="801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</row>
  </sheetData>
  <mergeCells count="17">
    <mergeCell ref="L61:M61"/>
    <mergeCell ref="A2:I2"/>
    <mergeCell ref="L13:M13"/>
    <mergeCell ref="L24:M24"/>
    <mergeCell ref="L34:M34"/>
    <mergeCell ref="L49:M49"/>
    <mergeCell ref="A102:G102"/>
    <mergeCell ref="A103:G103"/>
    <mergeCell ref="A104:G104"/>
    <mergeCell ref="A105:G105"/>
    <mergeCell ref="L76:M76"/>
    <mergeCell ref="L85:M85"/>
    <mergeCell ref="L86:M86"/>
    <mergeCell ref="A97:C97"/>
    <mergeCell ref="A100:G100"/>
    <mergeCell ref="A101:G101"/>
    <mergeCell ref="L90:M90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1" fitToHeight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D746-DB19-4201-BE88-C059102EA577}">
  <sheetPr>
    <pageSetUpPr fitToPage="1"/>
  </sheetPr>
  <dimension ref="A1:IP114"/>
  <sheetViews>
    <sheetView zoomScaleNormal="100" workbookViewId="0">
      <selection activeCell="D35" sqref="D35"/>
    </sheetView>
  </sheetViews>
  <sheetFormatPr defaultRowHeight="15"/>
  <cols>
    <col min="1" max="1" width="4.83203125" style="498" customWidth="1"/>
    <col min="2" max="2" width="5" style="499" customWidth="1"/>
    <col min="3" max="3" width="16.83203125" style="499" customWidth="1"/>
    <col min="4" max="4" width="71.33203125" style="499" customWidth="1"/>
    <col min="5" max="5" width="7.83203125" style="499" customWidth="1"/>
    <col min="6" max="6" width="10.33203125" style="949" customWidth="1"/>
    <col min="7" max="7" width="13.6640625" style="783" customWidth="1"/>
    <col min="8" max="8" width="18.33203125" style="783" customWidth="1"/>
    <col min="9" max="9" width="20.1640625" style="135" customWidth="1"/>
    <col min="10" max="10" width="20.33203125" style="905" customWidth="1"/>
    <col min="11" max="11" width="34.1640625" style="141" customWidth="1"/>
    <col min="12" max="14" width="9.33203125" style="141"/>
    <col min="15" max="15" width="17.6640625" style="141" customWidth="1"/>
    <col min="16" max="17" width="9.33203125" style="141"/>
    <col min="18" max="18" width="14.5" style="141" customWidth="1"/>
    <col min="19" max="16384" width="9.33203125" style="141"/>
  </cols>
  <sheetData>
    <row r="1" spans="1:19" ht="18">
      <c r="A1" s="133" t="s">
        <v>2956</v>
      </c>
      <c r="B1" s="134"/>
      <c r="C1" s="134"/>
      <c r="D1" s="134"/>
      <c r="E1" s="134"/>
      <c r="F1" s="134"/>
      <c r="G1" s="134"/>
      <c r="H1" s="134"/>
    </row>
    <row r="2" spans="1:19" ht="15" customHeight="1">
      <c r="A2" s="3065" t="s">
        <v>116</v>
      </c>
      <c r="B2" s="3071"/>
      <c r="C2" s="3071"/>
      <c r="D2" s="3071"/>
      <c r="E2" s="3071"/>
      <c r="F2" s="3071"/>
      <c r="G2" s="3071"/>
      <c r="H2" s="3071"/>
      <c r="I2" s="3071"/>
    </row>
    <row r="3" spans="1:19" ht="13.5" customHeight="1">
      <c r="A3" s="3059" t="s">
        <v>1325</v>
      </c>
      <c r="B3" s="3060"/>
      <c r="C3" s="3060"/>
      <c r="D3" s="3060"/>
      <c r="E3" s="803"/>
      <c r="F3" s="803"/>
      <c r="G3" s="805"/>
      <c r="H3" s="805"/>
      <c r="I3" s="806"/>
    </row>
    <row r="4" spans="1:19" ht="15.75">
      <c r="A4" s="134"/>
      <c r="B4" s="134"/>
      <c r="C4" s="134"/>
      <c r="D4" s="134"/>
      <c r="E4" s="134"/>
      <c r="F4" s="134"/>
      <c r="G4" s="134"/>
      <c r="H4" s="134"/>
      <c r="K4" s="730"/>
      <c r="L4" s="730"/>
      <c r="M4" s="730"/>
      <c r="N4" s="730"/>
    </row>
    <row r="5" spans="1:19" ht="33.200000000000003" customHeight="1">
      <c r="A5" s="145" t="s">
        <v>119</v>
      </c>
      <c r="B5" s="145" t="s">
        <v>120</v>
      </c>
      <c r="C5" s="145" t="s">
        <v>121</v>
      </c>
      <c r="D5" s="145" t="s">
        <v>122</v>
      </c>
      <c r="E5" s="145" t="s">
        <v>123</v>
      </c>
      <c r="F5" s="145" t="s">
        <v>124</v>
      </c>
      <c r="G5" s="145" t="s">
        <v>125</v>
      </c>
      <c r="H5" s="906" t="s">
        <v>2</v>
      </c>
      <c r="I5" s="145" t="s">
        <v>46</v>
      </c>
      <c r="J5" s="907"/>
      <c r="K5" s="908"/>
    </row>
    <row r="6" spans="1:19">
      <c r="A6" s="145" t="s">
        <v>126</v>
      </c>
      <c r="B6" s="145" t="s">
        <v>127</v>
      </c>
      <c r="C6" s="145" t="s">
        <v>128</v>
      </c>
      <c r="D6" s="145" t="s">
        <v>129</v>
      </c>
      <c r="E6" s="145" t="s">
        <v>130</v>
      </c>
      <c r="F6" s="145" t="s">
        <v>131</v>
      </c>
      <c r="G6" s="145" t="s">
        <v>132</v>
      </c>
      <c r="H6" s="145">
        <v>8</v>
      </c>
      <c r="I6" s="145">
        <v>9</v>
      </c>
    </row>
    <row r="7" spans="1:19" s="135" customFormat="1" ht="21" customHeight="1">
      <c r="A7" s="146"/>
      <c r="B7" s="147"/>
      <c r="C7" s="147" t="s">
        <v>373</v>
      </c>
      <c r="D7" s="147" t="s">
        <v>374</v>
      </c>
      <c r="E7" s="147"/>
      <c r="F7" s="909"/>
      <c r="G7" s="811"/>
      <c r="H7" s="735">
        <f>H8</f>
        <v>0</v>
      </c>
      <c r="J7" s="910"/>
    </row>
    <row r="8" spans="1:19" s="158" customFormat="1" ht="13.5" customHeight="1">
      <c r="A8" s="911"/>
      <c r="B8" s="912"/>
      <c r="C8" s="813">
        <v>767</v>
      </c>
      <c r="D8" s="813" t="s">
        <v>1085</v>
      </c>
      <c r="E8" s="912"/>
      <c r="F8" s="913"/>
      <c r="G8" s="913"/>
      <c r="H8" s="753">
        <f>SUM(H9:H31,H41:H100)</f>
        <v>0</v>
      </c>
      <c r="I8" s="754"/>
      <c r="J8" s="755"/>
      <c r="K8" s="620"/>
    </row>
    <row r="9" spans="1:19" s="158" customFormat="1" ht="27" customHeight="1">
      <c r="A9" s="356">
        <v>1</v>
      </c>
      <c r="B9" s="180" t="s">
        <v>1090</v>
      </c>
      <c r="C9" s="177" t="s">
        <v>1326</v>
      </c>
      <c r="D9" s="757" t="s">
        <v>1327</v>
      </c>
      <c r="E9" s="662" t="s">
        <v>1328</v>
      </c>
      <c r="F9" s="740">
        <f>ROUND(SUM(F11),3)</f>
        <v>1</v>
      </c>
      <c r="G9" s="664"/>
      <c r="H9" s="741">
        <f>ROUND(F9*G9,2)</f>
        <v>0</v>
      </c>
      <c r="I9" s="676" t="s">
        <v>112</v>
      </c>
      <c r="J9" s="758"/>
      <c r="K9" s="914"/>
      <c r="L9" s="760"/>
      <c r="M9" s="761"/>
      <c r="N9" s="762"/>
      <c r="O9" s="763"/>
    </row>
    <row r="10" spans="1:19" s="135" customFormat="1" ht="27" customHeight="1">
      <c r="A10" s="179"/>
      <c r="B10" s="180"/>
      <c r="C10" s="177"/>
      <c r="D10" s="183" t="s">
        <v>1329</v>
      </c>
      <c r="E10" s="177"/>
      <c r="F10" s="742"/>
      <c r="G10" s="181"/>
      <c r="H10" s="181"/>
      <c r="I10" s="764"/>
      <c r="J10" s="915"/>
      <c r="K10" s="141"/>
      <c r="L10" s="141"/>
      <c r="M10" s="141"/>
      <c r="N10" s="141"/>
      <c r="O10" s="141"/>
      <c r="P10" s="141"/>
      <c r="Q10" s="141"/>
      <c r="R10" s="141"/>
      <c r="S10" s="141"/>
    </row>
    <row r="11" spans="1:19" s="135" customFormat="1" ht="13.5" customHeight="1">
      <c r="A11" s="179"/>
      <c r="B11" s="180"/>
      <c r="C11" s="177"/>
      <c r="D11" s="183" t="s">
        <v>1330</v>
      </c>
      <c r="E11" s="177"/>
      <c r="F11" s="742">
        <v>1</v>
      </c>
      <c r="G11" s="181"/>
      <c r="H11" s="181"/>
      <c r="I11" s="765"/>
      <c r="J11" s="916"/>
      <c r="K11" s="605"/>
      <c r="L11" s="325"/>
      <c r="M11" s="325"/>
      <c r="N11" s="325"/>
      <c r="O11" s="325"/>
      <c r="P11" s="325"/>
      <c r="Q11" s="325"/>
      <c r="R11" s="442"/>
      <c r="S11" s="182"/>
    </row>
    <row r="12" spans="1:19" s="135" customFormat="1" ht="13.5" customHeight="1">
      <c r="A12" s="179"/>
      <c r="B12" s="180"/>
      <c r="C12" s="177"/>
      <c r="D12" s="183" t="s">
        <v>1331</v>
      </c>
      <c r="E12" s="177"/>
      <c r="F12" s="742"/>
      <c r="G12" s="181"/>
      <c r="H12" s="181"/>
      <c r="I12" s="765"/>
      <c r="J12" s="916"/>
      <c r="K12" s="605"/>
      <c r="L12" s="325"/>
      <c r="M12" s="325"/>
      <c r="N12" s="325"/>
      <c r="O12" s="325"/>
      <c r="P12" s="325"/>
      <c r="Q12" s="325"/>
      <c r="R12" s="442"/>
      <c r="S12" s="182"/>
    </row>
    <row r="13" spans="1:19" s="158" customFormat="1" ht="27" customHeight="1">
      <c r="A13" s="356">
        <v>2</v>
      </c>
      <c r="B13" s="180" t="s">
        <v>1090</v>
      </c>
      <c r="C13" s="177" t="s">
        <v>1332</v>
      </c>
      <c r="D13" s="757" t="s">
        <v>1333</v>
      </c>
      <c r="E13" s="662" t="s">
        <v>142</v>
      </c>
      <c r="F13" s="740">
        <f>ROUND(SUM(F15),3)</f>
        <v>2.2000000000000002</v>
      </c>
      <c r="G13" s="664"/>
      <c r="H13" s="741">
        <f>ROUND(F13*G13,2)</f>
        <v>0</v>
      </c>
      <c r="I13" s="676" t="s">
        <v>112</v>
      </c>
      <c r="J13" s="758"/>
      <c r="K13" s="763"/>
      <c r="L13" s="760"/>
      <c r="M13" s="761"/>
      <c r="N13" s="762"/>
      <c r="O13" s="763"/>
    </row>
    <row r="14" spans="1:19" s="135" customFormat="1" ht="13.5" customHeight="1">
      <c r="A14" s="179"/>
      <c r="B14" s="180"/>
      <c r="C14" s="177"/>
      <c r="D14" s="183" t="s">
        <v>1334</v>
      </c>
      <c r="E14" s="177"/>
      <c r="F14" s="742"/>
      <c r="G14" s="181"/>
      <c r="H14" s="181"/>
      <c r="I14" s="764"/>
      <c r="J14" s="917"/>
      <c r="K14" s="141"/>
      <c r="L14" s="141"/>
      <c r="M14" s="141"/>
      <c r="N14" s="141"/>
      <c r="O14" s="141"/>
      <c r="P14" s="141"/>
      <c r="Q14" s="141"/>
      <c r="R14" s="141"/>
      <c r="S14" s="141"/>
    </row>
    <row r="15" spans="1:19" s="135" customFormat="1" ht="13.5" customHeight="1">
      <c r="A15" s="179"/>
      <c r="B15" s="180"/>
      <c r="C15" s="177"/>
      <c r="D15" s="183" t="s">
        <v>1335</v>
      </c>
      <c r="E15" s="177"/>
      <c r="F15" s="742">
        <v>2.2000000000000002</v>
      </c>
      <c r="G15" s="181"/>
      <c r="H15" s="181"/>
      <c r="I15" s="765"/>
      <c r="J15" s="916"/>
      <c r="K15" s="605"/>
      <c r="L15" s="325"/>
      <c r="M15" s="325"/>
      <c r="N15" s="325"/>
      <c r="O15" s="325"/>
      <c r="P15" s="325"/>
      <c r="Q15" s="325"/>
      <c r="R15" s="442"/>
      <c r="S15" s="182"/>
    </row>
    <row r="16" spans="1:19" s="135" customFormat="1" ht="13.5" customHeight="1">
      <c r="A16" s="179"/>
      <c r="B16" s="180"/>
      <c r="C16" s="177"/>
      <c r="D16" s="183" t="s">
        <v>1331</v>
      </c>
      <c r="E16" s="177"/>
      <c r="F16" s="742"/>
      <c r="G16" s="181"/>
      <c r="H16" s="181"/>
      <c r="I16" s="765"/>
      <c r="J16" s="916"/>
      <c r="K16" s="605"/>
      <c r="L16" s="325"/>
      <c r="M16" s="325"/>
      <c r="N16" s="325"/>
      <c r="O16" s="325"/>
      <c r="P16" s="325"/>
      <c r="Q16" s="325"/>
      <c r="R16" s="442"/>
      <c r="S16" s="182"/>
    </row>
    <row r="17" spans="1:250" s="158" customFormat="1" ht="27" customHeight="1">
      <c r="A17" s="356">
        <v>3</v>
      </c>
      <c r="B17" s="180" t="s">
        <v>1090</v>
      </c>
      <c r="C17" s="177" t="s">
        <v>1336</v>
      </c>
      <c r="D17" s="757" t="s">
        <v>1337</v>
      </c>
      <c r="E17" s="662" t="s">
        <v>142</v>
      </c>
      <c r="F17" s="740">
        <f>ROUND(SUM(F19),3)</f>
        <v>2.2000000000000002</v>
      </c>
      <c r="G17" s="664"/>
      <c r="H17" s="741">
        <f>ROUND(F17*G17,2)</f>
        <v>0</v>
      </c>
      <c r="I17" s="676" t="s">
        <v>112</v>
      </c>
      <c r="J17" s="758"/>
      <c r="K17" s="763"/>
      <c r="L17" s="760"/>
      <c r="M17" s="761"/>
      <c r="N17" s="762"/>
      <c r="O17" s="763"/>
    </row>
    <row r="18" spans="1:250" s="135" customFormat="1" ht="13.5" customHeight="1">
      <c r="A18" s="179"/>
      <c r="B18" s="180"/>
      <c r="C18" s="177"/>
      <c r="D18" s="183" t="s">
        <v>1338</v>
      </c>
      <c r="E18" s="177"/>
      <c r="F18" s="742"/>
      <c r="G18" s="181"/>
      <c r="H18" s="181"/>
      <c r="I18" s="764"/>
      <c r="J18" s="917"/>
      <c r="K18" s="141"/>
      <c r="L18" s="141"/>
      <c r="M18" s="141"/>
      <c r="N18" s="141"/>
      <c r="O18" s="141"/>
      <c r="P18" s="141"/>
      <c r="Q18" s="141"/>
      <c r="R18" s="141"/>
      <c r="S18" s="141"/>
    </row>
    <row r="19" spans="1:250" s="135" customFormat="1" ht="13.5" customHeight="1">
      <c r="A19" s="179"/>
      <c r="B19" s="180"/>
      <c r="C19" s="177"/>
      <c r="D19" s="183" t="s">
        <v>1335</v>
      </c>
      <c r="E19" s="177"/>
      <c r="F19" s="742">
        <v>2.2000000000000002</v>
      </c>
      <c r="G19" s="181"/>
      <c r="H19" s="181"/>
      <c r="I19" s="765"/>
      <c r="J19" s="916"/>
      <c r="K19" s="605"/>
      <c r="L19" s="325"/>
      <c r="M19" s="325"/>
      <c r="N19" s="325"/>
      <c r="O19" s="325"/>
      <c r="P19" s="325"/>
      <c r="Q19" s="325"/>
      <c r="R19" s="442"/>
      <c r="S19" s="182"/>
    </row>
    <row r="20" spans="1:250" s="135" customFormat="1" ht="13.5" customHeight="1">
      <c r="A20" s="179"/>
      <c r="B20" s="180"/>
      <c r="C20" s="177"/>
      <c r="D20" s="183" t="s">
        <v>1331</v>
      </c>
      <c r="E20" s="177"/>
      <c r="F20" s="742"/>
      <c r="G20" s="181"/>
      <c r="H20" s="181"/>
      <c r="I20" s="765"/>
      <c r="J20" s="916"/>
      <c r="K20" s="605"/>
      <c r="L20" s="325"/>
      <c r="M20" s="325"/>
      <c r="N20" s="325"/>
      <c r="O20" s="325"/>
      <c r="P20" s="325"/>
      <c r="Q20" s="325"/>
      <c r="R20" s="442"/>
      <c r="S20" s="182"/>
    </row>
    <row r="21" spans="1:250" s="158" customFormat="1" ht="27" customHeight="1">
      <c r="A21" s="356">
        <v>4</v>
      </c>
      <c r="B21" s="180" t="s">
        <v>1090</v>
      </c>
      <c r="C21" s="177" t="s">
        <v>1339</v>
      </c>
      <c r="D21" s="757" t="s">
        <v>1340</v>
      </c>
      <c r="E21" s="662" t="s">
        <v>142</v>
      </c>
      <c r="F21" s="740">
        <f>ROUND(SUM(F23:F23),3)</f>
        <v>1.5</v>
      </c>
      <c r="G21" s="178"/>
      <c r="H21" s="741">
        <f>ROUND(F21*G21,2)</f>
        <v>0</v>
      </c>
      <c r="I21" s="676" t="s">
        <v>112</v>
      </c>
      <c r="J21" s="758"/>
      <c r="K21" s="763"/>
      <c r="L21" s="760"/>
      <c r="M21" s="761"/>
      <c r="N21" s="762"/>
      <c r="O21" s="763"/>
    </row>
    <row r="22" spans="1:250" s="135" customFormat="1" ht="13.5" customHeight="1">
      <c r="A22" s="179"/>
      <c r="B22" s="180"/>
      <c r="C22" s="177"/>
      <c r="D22" s="183" t="s">
        <v>1341</v>
      </c>
      <c r="E22" s="177"/>
      <c r="F22" s="742"/>
      <c r="G22" s="181"/>
      <c r="H22" s="181"/>
      <c r="I22" s="765"/>
      <c r="J22" s="916"/>
      <c r="K22" s="605"/>
      <c r="L22" s="325"/>
      <c r="M22" s="325"/>
      <c r="N22" s="325"/>
      <c r="O22" s="325"/>
      <c r="P22" s="325"/>
      <c r="Q22" s="325"/>
      <c r="R22" s="442"/>
      <c r="S22" s="182"/>
    </row>
    <row r="23" spans="1:250" s="135" customFormat="1" ht="13.5" customHeight="1">
      <c r="A23" s="179"/>
      <c r="B23" s="180"/>
      <c r="C23" s="177"/>
      <c r="D23" s="183" t="s">
        <v>1182</v>
      </c>
      <c r="E23" s="177"/>
      <c r="F23" s="742">
        <v>1.5</v>
      </c>
      <c r="G23" s="181"/>
      <c r="H23" s="181"/>
      <c r="I23" s="765"/>
      <c r="J23" s="916"/>
      <c r="K23" s="605"/>
      <c r="L23" s="325"/>
      <c r="M23" s="325"/>
      <c r="N23" s="325"/>
      <c r="O23" s="325"/>
      <c r="P23" s="325"/>
      <c r="Q23" s="325"/>
      <c r="R23" s="442"/>
      <c r="S23" s="182"/>
    </row>
    <row r="24" spans="1:250" s="135" customFormat="1" ht="13.5" customHeight="1">
      <c r="A24" s="179"/>
      <c r="B24" s="180"/>
      <c r="C24" s="177"/>
      <c r="D24" s="183" t="s">
        <v>1331</v>
      </c>
      <c r="E24" s="177"/>
      <c r="F24" s="742"/>
      <c r="G24" s="181"/>
      <c r="H24" s="181"/>
      <c r="I24" s="765"/>
      <c r="J24" s="916"/>
      <c r="K24" s="605"/>
      <c r="L24" s="325"/>
      <c r="M24" s="325"/>
      <c r="N24" s="325"/>
      <c r="O24" s="325"/>
      <c r="P24" s="325"/>
      <c r="Q24" s="325"/>
      <c r="R24" s="442"/>
      <c r="S24" s="182"/>
    </row>
    <row r="25" spans="1:250" s="158" customFormat="1" ht="27" customHeight="1">
      <c r="A25" s="356">
        <v>5</v>
      </c>
      <c r="B25" s="180" t="s">
        <v>1090</v>
      </c>
      <c r="C25" s="177" t="s">
        <v>1342</v>
      </c>
      <c r="D25" s="757" t="s">
        <v>1343</v>
      </c>
      <c r="E25" s="662" t="s">
        <v>142</v>
      </c>
      <c r="F25" s="740">
        <f>ROUND(SUM(F27:F27),3)</f>
        <v>22.54</v>
      </c>
      <c r="G25" s="178"/>
      <c r="H25" s="741">
        <f>ROUND(F25*G25,2)</f>
        <v>0</v>
      </c>
      <c r="I25" s="676" t="s">
        <v>112</v>
      </c>
      <c r="J25" s="758"/>
      <c r="K25" s="763"/>
      <c r="L25" s="760"/>
      <c r="M25" s="761"/>
      <c r="N25" s="762"/>
      <c r="O25" s="763"/>
    </row>
    <row r="26" spans="1:250" s="135" customFormat="1" ht="13.5" customHeight="1">
      <c r="A26" s="179"/>
      <c r="B26" s="180"/>
      <c r="C26" s="177"/>
      <c r="D26" s="183" t="s">
        <v>1344</v>
      </c>
      <c r="E26" s="177"/>
      <c r="F26" s="742"/>
      <c r="G26" s="181"/>
      <c r="H26" s="181"/>
      <c r="I26" s="765"/>
      <c r="J26" s="916"/>
      <c r="K26" s="605"/>
      <c r="L26" s="325"/>
      <c r="M26" s="325"/>
      <c r="N26" s="325"/>
      <c r="O26" s="325"/>
      <c r="P26" s="325"/>
      <c r="Q26" s="325"/>
      <c r="R26" s="442"/>
      <c r="S26" s="182"/>
    </row>
    <row r="27" spans="1:250" s="135" customFormat="1" ht="13.5" customHeight="1">
      <c r="A27" s="179"/>
      <c r="B27" s="180"/>
      <c r="C27" s="177"/>
      <c r="D27" s="183" t="s">
        <v>1182</v>
      </c>
      <c r="E27" s="177"/>
      <c r="F27" s="742">
        <v>22.54</v>
      </c>
      <c r="G27" s="181"/>
      <c r="H27" s="181"/>
      <c r="I27" s="765"/>
      <c r="J27" s="916"/>
      <c r="K27" s="605"/>
      <c r="L27" s="325"/>
      <c r="M27" s="325"/>
      <c r="N27" s="325"/>
      <c r="O27" s="325"/>
      <c r="P27" s="325"/>
      <c r="Q27" s="325"/>
      <c r="R27" s="442"/>
      <c r="S27" s="182"/>
    </row>
    <row r="28" spans="1:250" s="135" customFormat="1" ht="13.5" customHeight="1">
      <c r="A28" s="179"/>
      <c r="B28" s="180"/>
      <c r="C28" s="177"/>
      <c r="D28" s="183" t="s">
        <v>1331</v>
      </c>
      <c r="E28" s="177"/>
      <c r="F28" s="742"/>
      <c r="G28" s="181"/>
      <c r="H28" s="181"/>
      <c r="I28" s="765"/>
      <c r="J28" s="916"/>
      <c r="K28" s="605"/>
      <c r="L28" s="325"/>
      <c r="M28" s="325"/>
      <c r="N28" s="325"/>
      <c r="O28" s="325"/>
      <c r="P28" s="325"/>
      <c r="Q28" s="325"/>
      <c r="R28" s="442"/>
      <c r="S28" s="182"/>
    </row>
    <row r="29" spans="1:250" s="158" customFormat="1" ht="27" customHeight="1">
      <c r="A29" s="356">
        <v>6</v>
      </c>
      <c r="B29" s="180" t="s">
        <v>1090</v>
      </c>
      <c r="C29" s="177" t="s">
        <v>1345</v>
      </c>
      <c r="D29" s="757" t="s">
        <v>1346</v>
      </c>
      <c r="E29" s="662" t="s">
        <v>49</v>
      </c>
      <c r="F29" s="740">
        <f>ROUND(SUM(F41),3)</f>
        <v>1</v>
      </c>
      <c r="G29" s="273">
        <f>ROUND(SUM(H32:H40)/F29,2)</f>
        <v>0</v>
      </c>
      <c r="H29" s="741">
        <f>ROUND(F29*G29,2)</f>
        <v>0</v>
      </c>
      <c r="I29" s="676" t="s">
        <v>112</v>
      </c>
      <c r="J29" s="918"/>
      <c r="L29" s="771"/>
      <c r="M29" s="761"/>
      <c r="O29" s="919"/>
      <c r="P29" s="762"/>
      <c r="V29" s="762"/>
    </row>
    <row r="30" spans="1:250" s="135" customFormat="1" ht="27" customHeight="1">
      <c r="A30" s="215"/>
      <c r="B30" s="177"/>
      <c r="C30" s="177"/>
      <c r="D30" s="490" t="s">
        <v>1347</v>
      </c>
      <c r="E30" s="177"/>
      <c r="F30" s="740"/>
      <c r="G30" s="920"/>
      <c r="H30" s="181"/>
      <c r="I30" s="216"/>
      <c r="J30" s="921"/>
      <c r="O30" s="218"/>
      <c r="P30" s="886"/>
      <c r="Q30" s="922"/>
      <c r="R30" s="922"/>
      <c r="S30" s="923"/>
      <c r="T30" s="924"/>
      <c r="U30" s="925"/>
      <c r="V30" s="218"/>
      <c r="W30" s="926"/>
      <c r="X30" s="218"/>
      <c r="AG30" s="927"/>
      <c r="AH30" s="504"/>
      <c r="AI30" s="504"/>
      <c r="AJ30" s="928"/>
      <c r="AK30" s="504"/>
      <c r="AL30" s="929"/>
      <c r="AM30" s="930"/>
      <c r="AN30" s="795"/>
      <c r="AO30" s="182"/>
      <c r="AW30" s="927"/>
      <c r="AX30" s="504"/>
      <c r="AY30" s="504"/>
      <c r="AZ30" s="928"/>
      <c r="BA30" s="504"/>
      <c r="BB30" s="929"/>
      <c r="BC30" s="930"/>
      <c r="BD30" s="795"/>
      <c r="BE30" s="182"/>
      <c r="BM30" s="927"/>
      <c r="BN30" s="504"/>
      <c r="BO30" s="504"/>
      <c r="BP30" s="928"/>
      <c r="BQ30" s="504"/>
      <c r="BR30" s="929"/>
      <c r="BS30" s="930"/>
      <c r="BT30" s="795"/>
      <c r="BU30" s="182"/>
      <c r="CC30" s="927"/>
      <c r="CD30" s="504"/>
      <c r="CE30" s="504"/>
      <c r="CF30" s="928"/>
      <c r="CG30" s="504"/>
      <c r="CH30" s="929"/>
      <c r="CI30" s="930"/>
      <c r="CJ30" s="795"/>
      <c r="CK30" s="182"/>
      <c r="CS30" s="927"/>
      <c r="CT30" s="504"/>
      <c r="CU30" s="504"/>
      <c r="CV30" s="928"/>
      <c r="CW30" s="504"/>
      <c r="CX30" s="929"/>
      <c r="CY30" s="930"/>
      <c r="CZ30" s="795"/>
      <c r="DA30" s="182"/>
      <c r="DI30" s="927"/>
      <c r="DJ30" s="504"/>
      <c r="DK30" s="504"/>
      <c r="DL30" s="928"/>
      <c r="DM30" s="504"/>
      <c r="DN30" s="929"/>
      <c r="DO30" s="930"/>
      <c r="DP30" s="795"/>
      <c r="DQ30" s="182"/>
      <c r="DY30" s="927"/>
      <c r="DZ30" s="504"/>
      <c r="EA30" s="504"/>
      <c r="EB30" s="928"/>
      <c r="EC30" s="504"/>
      <c r="ED30" s="929"/>
      <c r="EE30" s="930"/>
      <c r="EF30" s="795"/>
      <c r="EG30" s="182"/>
      <c r="EO30" s="927"/>
      <c r="EP30" s="504"/>
      <c r="EQ30" s="504"/>
      <c r="ER30" s="928"/>
      <c r="ES30" s="504"/>
      <c r="ET30" s="929"/>
      <c r="EU30" s="930"/>
      <c r="EV30" s="795"/>
      <c r="EW30" s="182"/>
      <c r="FE30" s="927"/>
      <c r="FF30" s="504"/>
      <c r="FG30" s="504"/>
      <c r="FH30" s="928"/>
      <c r="FI30" s="504"/>
      <c r="FJ30" s="929"/>
      <c r="FK30" s="930"/>
      <c r="FL30" s="795"/>
      <c r="FM30" s="182"/>
      <c r="FU30" s="927"/>
      <c r="FV30" s="504"/>
      <c r="FW30" s="504"/>
      <c r="FX30" s="928"/>
      <c r="FY30" s="504"/>
      <c r="FZ30" s="929"/>
      <c r="GA30" s="930"/>
      <c r="GB30" s="795"/>
      <c r="GC30" s="182"/>
      <c r="GK30" s="927"/>
      <c r="GL30" s="504"/>
      <c r="GM30" s="504"/>
      <c r="GN30" s="928"/>
      <c r="GO30" s="504"/>
      <c r="GP30" s="929"/>
      <c r="GQ30" s="930"/>
      <c r="GR30" s="795"/>
      <c r="GS30" s="182"/>
      <c r="HA30" s="927"/>
      <c r="HB30" s="504"/>
      <c r="HC30" s="504"/>
      <c r="HD30" s="928"/>
      <c r="HE30" s="504"/>
      <c r="HF30" s="929"/>
      <c r="HG30" s="930"/>
      <c r="HH30" s="795"/>
      <c r="HI30" s="182"/>
      <c r="HQ30" s="927"/>
      <c r="HR30" s="504"/>
      <c r="HS30" s="504"/>
      <c r="HT30" s="928"/>
      <c r="HU30" s="504"/>
      <c r="HV30" s="929"/>
      <c r="HW30" s="930"/>
      <c r="HX30" s="795"/>
      <c r="HY30" s="182"/>
      <c r="IG30" s="927"/>
      <c r="IH30" s="504"/>
      <c r="II30" s="504"/>
      <c r="IJ30" s="928"/>
      <c r="IK30" s="504"/>
      <c r="IL30" s="929"/>
      <c r="IM30" s="930"/>
      <c r="IN30" s="795"/>
      <c r="IO30" s="182"/>
    </row>
    <row r="31" spans="1:250" s="135" customFormat="1" ht="27" customHeight="1">
      <c r="A31" s="215"/>
      <c r="B31" s="177"/>
      <c r="C31" s="177"/>
      <c r="D31" s="490" t="s">
        <v>1348</v>
      </c>
      <c r="E31" s="177"/>
      <c r="F31" s="740"/>
      <c r="G31" s="920"/>
      <c r="H31" s="181"/>
      <c r="I31" s="216"/>
      <c r="J31" s="321"/>
      <c r="Q31" s="927"/>
      <c r="R31" s="504"/>
      <c r="S31" s="504"/>
      <c r="T31" s="928"/>
      <c r="U31" s="504"/>
      <c r="V31" s="929"/>
      <c r="W31" s="930"/>
      <c r="X31" s="795"/>
      <c r="Y31" s="182"/>
      <c r="AG31" s="927"/>
      <c r="AH31" s="504"/>
      <c r="AI31" s="504"/>
      <c r="AJ31" s="928"/>
      <c r="AK31" s="504"/>
      <c r="AL31" s="929"/>
      <c r="AM31" s="930"/>
      <c r="AN31" s="795"/>
      <c r="AO31" s="182"/>
      <c r="AW31" s="927"/>
      <c r="AX31" s="504"/>
      <c r="AY31" s="504"/>
      <c r="AZ31" s="928"/>
      <c r="BA31" s="504"/>
      <c r="BB31" s="929"/>
      <c r="BC31" s="930"/>
      <c r="BD31" s="795"/>
      <c r="BE31" s="182"/>
      <c r="BM31" s="927"/>
      <c r="BN31" s="504"/>
      <c r="BO31" s="504"/>
      <c r="BP31" s="928"/>
      <c r="BQ31" s="504"/>
      <c r="BR31" s="929"/>
      <c r="BS31" s="930"/>
      <c r="BT31" s="795"/>
      <c r="BU31" s="182"/>
      <c r="CC31" s="927"/>
      <c r="CD31" s="504"/>
      <c r="CE31" s="504"/>
      <c r="CF31" s="928"/>
      <c r="CG31" s="504"/>
      <c r="CH31" s="929"/>
      <c r="CI31" s="930"/>
      <c r="CJ31" s="795"/>
      <c r="CK31" s="182"/>
      <c r="CS31" s="927"/>
      <c r="CT31" s="504"/>
      <c r="CU31" s="504"/>
      <c r="CV31" s="928"/>
      <c r="CW31" s="504"/>
      <c r="CX31" s="929"/>
      <c r="CY31" s="930"/>
      <c r="CZ31" s="795"/>
      <c r="DA31" s="182"/>
      <c r="DI31" s="927"/>
      <c r="DJ31" s="504"/>
      <c r="DK31" s="504"/>
      <c r="DL31" s="928"/>
      <c r="DM31" s="504"/>
      <c r="DN31" s="929"/>
      <c r="DO31" s="930"/>
      <c r="DP31" s="795"/>
      <c r="DQ31" s="182"/>
      <c r="DY31" s="927"/>
      <c r="DZ31" s="504"/>
      <c r="EA31" s="504"/>
      <c r="EB31" s="928"/>
      <c r="EC31" s="504"/>
      <c r="ED31" s="929"/>
      <c r="EE31" s="930"/>
      <c r="EF31" s="795"/>
      <c r="EG31" s="182"/>
      <c r="EO31" s="927"/>
      <c r="EP31" s="504"/>
      <c r="EQ31" s="504"/>
      <c r="ER31" s="928"/>
      <c r="ES31" s="504"/>
      <c r="ET31" s="929"/>
      <c r="EU31" s="930"/>
      <c r="EV31" s="795"/>
      <c r="EW31" s="182"/>
      <c r="FE31" s="927"/>
      <c r="FF31" s="504"/>
      <c r="FG31" s="504"/>
      <c r="FH31" s="928"/>
      <c r="FI31" s="504"/>
      <c r="FJ31" s="929"/>
      <c r="FK31" s="930"/>
      <c r="FL31" s="795"/>
      <c r="FM31" s="182"/>
      <c r="FU31" s="927"/>
      <c r="FV31" s="504"/>
      <c r="FW31" s="504"/>
      <c r="FX31" s="928"/>
      <c r="FY31" s="504"/>
      <c r="FZ31" s="929"/>
      <c r="GA31" s="930"/>
      <c r="GB31" s="795"/>
      <c r="GC31" s="182"/>
      <c r="GK31" s="927"/>
      <c r="GL31" s="504"/>
      <c r="GM31" s="504"/>
      <c r="GN31" s="928"/>
      <c r="GO31" s="504"/>
      <c r="GP31" s="929"/>
      <c r="GQ31" s="930"/>
      <c r="GR31" s="795"/>
      <c r="GS31" s="182"/>
      <c r="HA31" s="927"/>
      <c r="HB31" s="504"/>
      <c r="HC31" s="504"/>
      <c r="HD31" s="928"/>
      <c r="HE31" s="504"/>
      <c r="HF31" s="929"/>
      <c r="HG31" s="930"/>
      <c r="HH31" s="795"/>
      <c r="HI31" s="182"/>
      <c r="HQ31" s="927"/>
      <c r="HR31" s="504"/>
      <c r="HS31" s="504"/>
      <c r="HT31" s="928"/>
      <c r="HU31" s="504"/>
      <c r="HV31" s="929"/>
      <c r="HW31" s="930"/>
      <c r="HX31" s="795"/>
      <c r="HY31" s="182"/>
      <c r="IG31" s="927"/>
      <c r="IH31" s="504"/>
      <c r="II31" s="504"/>
      <c r="IJ31" s="928"/>
      <c r="IK31" s="504"/>
      <c r="IL31" s="929"/>
      <c r="IM31" s="930"/>
      <c r="IN31" s="795"/>
      <c r="IO31" s="182"/>
    </row>
    <row r="32" spans="1:250" s="135" customFormat="1" ht="13.5" customHeight="1">
      <c r="A32" s="319" t="s">
        <v>1349</v>
      </c>
      <c r="B32" s="299"/>
      <c r="C32" s="220" t="s">
        <v>1350</v>
      </c>
      <c r="D32" s="183" t="s">
        <v>1351</v>
      </c>
      <c r="E32" s="931" t="s">
        <v>142</v>
      </c>
      <c r="F32" s="742">
        <f>(25.2)*1.1</f>
        <v>27.720000000000002</v>
      </c>
      <c r="G32" s="932"/>
      <c r="H32" s="933">
        <f t="shared" ref="H32:H40" si="0">ROUND(F32*G32,2)</f>
        <v>0</v>
      </c>
      <c r="I32" s="225" t="s">
        <v>112</v>
      </c>
      <c r="J32" s="934"/>
      <c r="L32" s="926"/>
      <c r="S32" s="935"/>
      <c r="U32" s="935"/>
      <c r="AG32" s="502"/>
      <c r="AH32" s="503"/>
      <c r="AI32" s="503"/>
      <c r="AJ32" s="349"/>
      <c r="AK32" s="503"/>
      <c r="AL32" s="936"/>
      <c r="AM32" s="937"/>
      <c r="AN32" s="795"/>
      <c r="AP32" s="938"/>
      <c r="AW32" s="502"/>
      <c r="AX32" s="503"/>
      <c r="AY32" s="503"/>
      <c r="AZ32" s="349"/>
      <c r="BA32" s="503"/>
      <c r="BB32" s="936"/>
      <c r="BC32" s="937"/>
      <c r="BD32" s="795"/>
      <c r="BF32" s="938"/>
      <c r="BM32" s="502"/>
      <c r="BN32" s="503"/>
      <c r="BO32" s="503"/>
      <c r="BP32" s="349"/>
      <c r="BQ32" s="503"/>
      <c r="BR32" s="936"/>
      <c r="BS32" s="937"/>
      <c r="BT32" s="795"/>
      <c r="BV32" s="938"/>
      <c r="CC32" s="502"/>
      <c r="CD32" s="503"/>
      <c r="CE32" s="503"/>
      <c r="CF32" s="349"/>
      <c r="CG32" s="503"/>
      <c r="CH32" s="936"/>
      <c r="CI32" s="937"/>
      <c r="CJ32" s="795"/>
      <c r="CL32" s="938"/>
      <c r="CS32" s="502"/>
      <c r="CT32" s="503"/>
      <c r="CU32" s="503"/>
      <c r="CV32" s="349"/>
      <c r="CW32" s="503"/>
      <c r="CX32" s="936"/>
      <c r="CY32" s="937"/>
      <c r="CZ32" s="795"/>
      <c r="DB32" s="938"/>
      <c r="DI32" s="502"/>
      <c r="DJ32" s="503"/>
      <c r="DK32" s="503"/>
      <c r="DL32" s="349"/>
      <c r="DM32" s="503"/>
      <c r="DN32" s="936"/>
      <c r="DO32" s="937"/>
      <c r="DP32" s="795"/>
      <c r="DR32" s="938"/>
      <c r="DY32" s="502"/>
      <c r="DZ32" s="503"/>
      <c r="EA32" s="503"/>
      <c r="EB32" s="349"/>
      <c r="EC32" s="503"/>
      <c r="ED32" s="936"/>
      <c r="EE32" s="937"/>
      <c r="EF32" s="795"/>
      <c r="EH32" s="938"/>
      <c r="EO32" s="502"/>
      <c r="EP32" s="503"/>
      <c r="EQ32" s="503"/>
      <c r="ER32" s="349"/>
      <c r="ES32" s="503"/>
      <c r="ET32" s="936"/>
      <c r="EU32" s="937"/>
      <c r="EV32" s="795"/>
      <c r="EX32" s="938"/>
      <c r="FE32" s="502"/>
      <c r="FF32" s="503"/>
      <c r="FG32" s="503"/>
      <c r="FH32" s="349"/>
      <c r="FI32" s="503"/>
      <c r="FJ32" s="936"/>
      <c r="FK32" s="937"/>
      <c r="FL32" s="795"/>
      <c r="FN32" s="938"/>
      <c r="FU32" s="502"/>
      <c r="FV32" s="503"/>
      <c r="FW32" s="503"/>
      <c r="FX32" s="349"/>
      <c r="FY32" s="503"/>
      <c r="FZ32" s="936"/>
      <c r="GA32" s="937"/>
      <c r="GB32" s="795"/>
      <c r="GD32" s="938"/>
      <c r="GK32" s="502"/>
      <c r="GL32" s="503"/>
      <c r="GM32" s="503"/>
      <c r="GN32" s="349"/>
      <c r="GO32" s="503"/>
      <c r="GP32" s="936"/>
      <c r="GQ32" s="937"/>
      <c r="GR32" s="795"/>
      <c r="GT32" s="938"/>
      <c r="HA32" s="502"/>
      <c r="HB32" s="503"/>
      <c r="HC32" s="503"/>
      <c r="HD32" s="349"/>
      <c r="HE32" s="503"/>
      <c r="HF32" s="936"/>
      <c r="HG32" s="937"/>
      <c r="HH32" s="795"/>
      <c r="HJ32" s="938"/>
      <c r="HQ32" s="502"/>
      <c r="HR32" s="503"/>
      <c r="HS32" s="503"/>
      <c r="HT32" s="349"/>
      <c r="HU32" s="503"/>
      <c r="HV32" s="936"/>
      <c r="HW32" s="937"/>
      <c r="HX32" s="795"/>
      <c r="HZ32" s="938"/>
      <c r="IG32" s="502"/>
      <c r="IH32" s="503"/>
      <c r="II32" s="503"/>
      <c r="IJ32" s="349"/>
      <c r="IK32" s="503"/>
      <c r="IL32" s="936"/>
      <c r="IM32" s="937"/>
      <c r="IN32" s="795"/>
      <c r="IP32" s="938"/>
    </row>
    <row r="33" spans="1:249" s="135" customFormat="1" ht="27" customHeight="1">
      <c r="A33" s="319" t="s">
        <v>1352</v>
      </c>
      <c r="B33" s="299"/>
      <c r="C33" s="220" t="s">
        <v>1353</v>
      </c>
      <c r="D33" s="183" t="s">
        <v>1354</v>
      </c>
      <c r="E33" s="931" t="s">
        <v>210</v>
      </c>
      <c r="F33" s="742">
        <v>2</v>
      </c>
      <c r="G33" s="932"/>
      <c r="H33" s="933">
        <f t="shared" si="0"/>
        <v>0</v>
      </c>
      <c r="I33" s="225" t="s">
        <v>112</v>
      </c>
      <c r="J33" s="934"/>
      <c r="K33" s="218"/>
      <c r="L33" s="926"/>
      <c r="M33" s="218"/>
      <c r="N33" s="218"/>
      <c r="O33" s="218"/>
      <c r="R33" s="218"/>
      <c r="S33" s="935"/>
      <c r="T33" s="218"/>
      <c r="U33" s="218"/>
      <c r="V33" s="939"/>
      <c r="Z33" s="218"/>
      <c r="AA33" s="218"/>
      <c r="AD33" s="939"/>
      <c r="AE33" s="218"/>
      <c r="AF33" s="218"/>
      <c r="AH33" s="218"/>
      <c r="AM33" s="937"/>
      <c r="AN33" s="795"/>
      <c r="AO33" s="940"/>
      <c r="AW33" s="502"/>
      <c r="AX33" s="503"/>
      <c r="AY33" s="503"/>
      <c r="AZ33" s="349"/>
      <c r="BA33" s="941"/>
      <c r="BB33" s="936"/>
      <c r="BC33" s="937"/>
      <c r="BD33" s="795"/>
      <c r="BE33" s="940"/>
      <c r="BM33" s="502"/>
      <c r="BN33" s="503"/>
      <c r="BO33" s="503"/>
      <c r="BP33" s="349"/>
      <c r="BQ33" s="941"/>
      <c r="BR33" s="936"/>
      <c r="BS33" s="937"/>
      <c r="BT33" s="795"/>
      <c r="BU33" s="940"/>
      <c r="CC33" s="502"/>
      <c r="CD33" s="503"/>
      <c r="CE33" s="503"/>
      <c r="CF33" s="349"/>
      <c r="CG33" s="941"/>
      <c r="CH33" s="936"/>
      <c r="CI33" s="937"/>
      <c r="CJ33" s="795"/>
      <c r="CK33" s="940"/>
      <c r="CS33" s="502"/>
      <c r="CT33" s="503"/>
      <c r="CU33" s="503"/>
      <c r="CV33" s="349"/>
      <c r="CW33" s="941"/>
      <c r="CX33" s="936"/>
      <c r="CY33" s="937"/>
      <c r="CZ33" s="795"/>
      <c r="DA33" s="940"/>
      <c r="DI33" s="502"/>
      <c r="DJ33" s="503"/>
      <c r="DK33" s="503"/>
      <c r="DL33" s="349"/>
      <c r="DM33" s="941"/>
      <c r="DN33" s="936"/>
      <c r="DO33" s="937"/>
      <c r="DP33" s="795"/>
      <c r="DQ33" s="940"/>
      <c r="DY33" s="502"/>
      <c r="DZ33" s="503"/>
      <c r="EA33" s="503"/>
      <c r="EB33" s="349"/>
      <c r="EC33" s="941"/>
      <c r="ED33" s="936"/>
      <c r="EE33" s="937"/>
      <c r="EF33" s="795"/>
      <c r="EG33" s="940"/>
      <c r="EO33" s="502"/>
      <c r="EP33" s="503"/>
      <c r="EQ33" s="503"/>
      <c r="ER33" s="349"/>
      <c r="ES33" s="941"/>
      <c r="ET33" s="936"/>
      <c r="EU33" s="937"/>
      <c r="EV33" s="795"/>
      <c r="EW33" s="940"/>
      <c r="FE33" s="502"/>
      <c r="FF33" s="503"/>
      <c r="FG33" s="503"/>
      <c r="FH33" s="349"/>
      <c r="FI33" s="941"/>
      <c r="FJ33" s="936"/>
      <c r="FK33" s="937"/>
      <c r="FL33" s="795"/>
      <c r="FM33" s="940"/>
      <c r="FU33" s="502"/>
      <c r="FV33" s="503"/>
      <c r="FW33" s="503"/>
      <c r="FX33" s="349"/>
      <c r="FY33" s="941"/>
      <c r="FZ33" s="936"/>
      <c r="GA33" s="937"/>
      <c r="GB33" s="795"/>
      <c r="GC33" s="940"/>
      <c r="GK33" s="502"/>
      <c r="GL33" s="503"/>
      <c r="GM33" s="503"/>
      <c r="GN33" s="349"/>
      <c r="GO33" s="941"/>
      <c r="GP33" s="936"/>
      <c r="GQ33" s="937"/>
      <c r="GR33" s="795"/>
      <c r="GS33" s="940"/>
      <c r="HA33" s="502"/>
      <c r="HB33" s="503"/>
      <c r="HC33" s="503"/>
      <c r="HD33" s="349"/>
      <c r="HE33" s="941"/>
      <c r="HF33" s="936"/>
      <c r="HG33" s="937"/>
      <c r="HH33" s="795"/>
      <c r="HI33" s="940"/>
      <c r="HQ33" s="502"/>
      <c r="HR33" s="503"/>
      <c r="HS33" s="503"/>
      <c r="HT33" s="349"/>
      <c r="HU33" s="941"/>
      <c r="HV33" s="936"/>
      <c r="HW33" s="937"/>
      <c r="HX33" s="795"/>
      <c r="HY33" s="940"/>
      <c r="IG33" s="502"/>
      <c r="IH33" s="503"/>
      <c r="II33" s="503"/>
      <c r="IJ33" s="349"/>
      <c r="IK33" s="941"/>
      <c r="IL33" s="936"/>
      <c r="IM33" s="937"/>
      <c r="IN33" s="795"/>
      <c r="IO33" s="940"/>
    </row>
    <row r="34" spans="1:249" s="135" customFormat="1" ht="27" customHeight="1">
      <c r="A34" s="319" t="s">
        <v>1355</v>
      </c>
      <c r="B34" s="299"/>
      <c r="C34" s="220" t="s">
        <v>1353</v>
      </c>
      <c r="D34" s="183" t="s">
        <v>1356</v>
      </c>
      <c r="E34" s="931" t="s">
        <v>210</v>
      </c>
      <c r="F34" s="742">
        <v>2</v>
      </c>
      <c r="G34" s="932"/>
      <c r="H34" s="933">
        <f t="shared" si="0"/>
        <v>0</v>
      </c>
      <c r="I34" s="225" t="s">
        <v>112</v>
      </c>
      <c r="J34" s="934"/>
      <c r="K34" s="218"/>
      <c r="L34" s="926"/>
      <c r="M34" s="218"/>
      <c r="N34" s="218"/>
      <c r="O34" s="218"/>
      <c r="R34" s="218"/>
      <c r="S34" s="935"/>
      <c r="T34" s="503"/>
      <c r="U34" s="218"/>
      <c r="V34" s="939"/>
      <c r="W34" s="936"/>
      <c r="X34" s="937"/>
      <c r="Y34" s="795"/>
      <c r="Z34" s="218"/>
      <c r="AG34" s="502"/>
      <c r="AH34" s="503"/>
      <c r="AI34" s="503"/>
      <c r="AJ34" s="349"/>
      <c r="AK34" s="941"/>
      <c r="AL34" s="936"/>
      <c r="AM34" s="937"/>
      <c r="AN34" s="795"/>
      <c r="AO34" s="940"/>
      <c r="AW34" s="502"/>
      <c r="AX34" s="503"/>
      <c r="AY34" s="503"/>
      <c r="AZ34" s="349"/>
      <c r="BA34" s="941"/>
      <c r="BB34" s="936"/>
      <c r="BC34" s="937"/>
      <c r="BD34" s="795"/>
      <c r="BE34" s="940"/>
      <c r="BM34" s="502"/>
      <c r="BN34" s="503"/>
      <c r="BO34" s="503"/>
      <c r="BP34" s="349"/>
      <c r="BQ34" s="941"/>
      <c r="BR34" s="936"/>
      <c r="BS34" s="937"/>
      <c r="BT34" s="795"/>
      <c r="BU34" s="940"/>
      <c r="CC34" s="502"/>
      <c r="CD34" s="503"/>
      <c r="CE34" s="503"/>
      <c r="CF34" s="349"/>
      <c r="CG34" s="941"/>
      <c r="CH34" s="936"/>
      <c r="CI34" s="937"/>
      <c r="CJ34" s="795"/>
      <c r="CK34" s="940"/>
      <c r="CS34" s="502"/>
      <c r="CT34" s="503"/>
      <c r="CU34" s="503"/>
      <c r="CV34" s="349"/>
      <c r="CW34" s="941"/>
      <c r="CX34" s="936"/>
      <c r="CY34" s="937"/>
      <c r="CZ34" s="795"/>
      <c r="DA34" s="940"/>
      <c r="DI34" s="502"/>
      <c r="DJ34" s="503"/>
      <c r="DK34" s="503"/>
      <c r="DL34" s="349"/>
      <c r="DM34" s="941"/>
      <c r="DN34" s="936"/>
      <c r="DO34" s="937"/>
      <c r="DP34" s="795"/>
      <c r="DQ34" s="940"/>
      <c r="DY34" s="502"/>
      <c r="DZ34" s="503"/>
      <c r="EA34" s="503"/>
      <c r="EB34" s="349"/>
      <c r="EC34" s="941"/>
      <c r="ED34" s="936"/>
      <c r="EE34" s="937"/>
      <c r="EF34" s="795"/>
      <c r="EG34" s="940"/>
      <c r="EO34" s="502"/>
      <c r="EP34" s="503"/>
      <c r="EQ34" s="503"/>
      <c r="ER34" s="349"/>
      <c r="ES34" s="941"/>
      <c r="ET34" s="936"/>
      <c r="EU34" s="937"/>
      <c r="EV34" s="795"/>
      <c r="EW34" s="940"/>
      <c r="FE34" s="502"/>
      <c r="FF34" s="503"/>
      <c r="FG34" s="503"/>
      <c r="FH34" s="349"/>
      <c r="FI34" s="941"/>
      <c r="FJ34" s="936"/>
      <c r="FK34" s="937"/>
      <c r="FL34" s="795"/>
      <c r="FM34" s="940"/>
      <c r="FU34" s="502"/>
      <c r="FV34" s="503"/>
      <c r="FW34" s="503"/>
      <c r="FX34" s="349"/>
      <c r="FY34" s="941"/>
      <c r="FZ34" s="936"/>
      <c r="GA34" s="937"/>
      <c r="GB34" s="795"/>
      <c r="GC34" s="940"/>
      <c r="GK34" s="502"/>
      <c r="GL34" s="503"/>
      <c r="GM34" s="503"/>
      <c r="GN34" s="349"/>
      <c r="GO34" s="941"/>
      <c r="GP34" s="936"/>
      <c r="GQ34" s="937"/>
      <c r="GR34" s="795"/>
      <c r="GS34" s="940"/>
      <c r="HA34" s="502"/>
      <c r="HB34" s="503"/>
      <c r="HC34" s="503"/>
      <c r="HD34" s="349"/>
      <c r="HE34" s="941"/>
      <c r="HF34" s="936"/>
      <c r="HG34" s="937"/>
      <c r="HH34" s="795"/>
      <c r="HI34" s="940"/>
      <c r="HQ34" s="502"/>
      <c r="HR34" s="503"/>
      <c r="HS34" s="503"/>
      <c r="HT34" s="349"/>
      <c r="HU34" s="941"/>
      <c r="HV34" s="936"/>
      <c r="HW34" s="937"/>
      <c r="HX34" s="795"/>
      <c r="HY34" s="940"/>
      <c r="IG34" s="502"/>
      <c r="IH34" s="503"/>
      <c r="II34" s="503"/>
      <c r="IJ34" s="349"/>
      <c r="IK34" s="941"/>
      <c r="IL34" s="936"/>
      <c r="IM34" s="937"/>
      <c r="IN34" s="795"/>
      <c r="IO34" s="940"/>
    </row>
    <row r="35" spans="1:249" s="135" customFormat="1" ht="27" customHeight="1">
      <c r="A35" s="319" t="s">
        <v>1357</v>
      </c>
      <c r="B35" s="299"/>
      <c r="C35" s="220" t="s">
        <v>1353</v>
      </c>
      <c r="D35" s="183" t="s">
        <v>1358</v>
      </c>
      <c r="E35" s="931" t="s">
        <v>210</v>
      </c>
      <c r="F35" s="742">
        <v>1</v>
      </c>
      <c r="G35" s="932"/>
      <c r="H35" s="933">
        <f t="shared" si="0"/>
        <v>0</v>
      </c>
      <c r="I35" s="225" t="s">
        <v>112</v>
      </c>
      <c r="J35" s="934"/>
      <c r="K35" s="218"/>
      <c r="L35" s="926"/>
      <c r="M35" s="218"/>
      <c r="N35" s="218"/>
      <c r="O35" s="218"/>
      <c r="R35" s="218"/>
      <c r="S35" s="935"/>
      <c r="T35" s="503"/>
      <c r="U35" s="218"/>
      <c r="V35" s="939"/>
      <c r="W35" s="936"/>
      <c r="X35" s="937"/>
      <c r="Y35" s="795"/>
      <c r="Z35" s="218"/>
      <c r="AG35" s="502"/>
      <c r="AH35" s="503"/>
      <c r="AI35" s="503"/>
      <c r="AJ35" s="349"/>
      <c r="AK35" s="941"/>
      <c r="AL35" s="936"/>
      <c r="AM35" s="937"/>
      <c r="AN35" s="795"/>
      <c r="AO35" s="940"/>
      <c r="AW35" s="502"/>
      <c r="AX35" s="503"/>
      <c r="AY35" s="503"/>
      <c r="AZ35" s="349"/>
      <c r="BA35" s="941"/>
      <c r="BB35" s="936"/>
      <c r="BC35" s="937"/>
      <c r="BD35" s="795"/>
      <c r="BE35" s="940"/>
      <c r="BM35" s="502"/>
      <c r="BN35" s="503"/>
      <c r="BO35" s="503"/>
      <c r="BP35" s="349"/>
      <c r="BQ35" s="941"/>
      <c r="BR35" s="936"/>
      <c r="BS35" s="937"/>
      <c r="BT35" s="795"/>
      <c r="BU35" s="940"/>
      <c r="CC35" s="502"/>
      <c r="CD35" s="503"/>
      <c r="CE35" s="503"/>
      <c r="CF35" s="349"/>
      <c r="CG35" s="941"/>
      <c r="CH35" s="936"/>
      <c r="CI35" s="937"/>
      <c r="CJ35" s="795"/>
      <c r="CK35" s="940"/>
      <c r="CS35" s="502"/>
      <c r="CT35" s="503"/>
      <c r="CU35" s="503"/>
      <c r="CV35" s="349"/>
      <c r="CW35" s="941"/>
      <c r="CX35" s="936"/>
      <c r="CY35" s="937"/>
      <c r="CZ35" s="795"/>
      <c r="DA35" s="940"/>
      <c r="DI35" s="502"/>
      <c r="DJ35" s="503"/>
      <c r="DK35" s="503"/>
      <c r="DL35" s="349"/>
      <c r="DM35" s="941"/>
      <c r="DN35" s="936"/>
      <c r="DO35" s="937"/>
      <c r="DP35" s="795"/>
      <c r="DQ35" s="940"/>
      <c r="DY35" s="502"/>
      <c r="DZ35" s="503"/>
      <c r="EA35" s="503"/>
      <c r="EB35" s="349"/>
      <c r="EC35" s="941"/>
      <c r="ED35" s="936"/>
      <c r="EE35" s="937"/>
      <c r="EF35" s="795"/>
      <c r="EG35" s="940"/>
      <c r="EO35" s="502"/>
      <c r="EP35" s="503"/>
      <c r="EQ35" s="503"/>
      <c r="ER35" s="349"/>
      <c r="ES35" s="941"/>
      <c r="ET35" s="936"/>
      <c r="EU35" s="937"/>
      <c r="EV35" s="795"/>
      <c r="EW35" s="940"/>
      <c r="FE35" s="502"/>
      <c r="FF35" s="503"/>
      <c r="FG35" s="503"/>
      <c r="FH35" s="349"/>
      <c r="FI35" s="941"/>
      <c r="FJ35" s="936"/>
      <c r="FK35" s="937"/>
      <c r="FL35" s="795"/>
      <c r="FM35" s="940"/>
      <c r="FU35" s="502"/>
      <c r="FV35" s="503"/>
      <c r="FW35" s="503"/>
      <c r="FX35" s="349"/>
      <c r="FY35" s="941"/>
      <c r="FZ35" s="936"/>
      <c r="GA35" s="937"/>
      <c r="GB35" s="795"/>
      <c r="GC35" s="940"/>
      <c r="GK35" s="502"/>
      <c r="GL35" s="503"/>
      <c r="GM35" s="503"/>
      <c r="GN35" s="349"/>
      <c r="GO35" s="941"/>
      <c r="GP35" s="936"/>
      <c r="GQ35" s="937"/>
      <c r="GR35" s="795"/>
      <c r="GS35" s="940"/>
      <c r="HA35" s="502"/>
      <c r="HB35" s="503"/>
      <c r="HC35" s="503"/>
      <c r="HD35" s="349"/>
      <c r="HE35" s="941"/>
      <c r="HF35" s="936"/>
      <c r="HG35" s="937"/>
      <c r="HH35" s="795"/>
      <c r="HI35" s="940"/>
      <c r="HQ35" s="502"/>
      <c r="HR35" s="503"/>
      <c r="HS35" s="503"/>
      <c r="HT35" s="349"/>
      <c r="HU35" s="941"/>
      <c r="HV35" s="936"/>
      <c r="HW35" s="937"/>
      <c r="HX35" s="795"/>
      <c r="HY35" s="940"/>
      <c r="IG35" s="502"/>
      <c r="IH35" s="503"/>
      <c r="II35" s="503"/>
      <c r="IJ35" s="349"/>
      <c r="IK35" s="941"/>
      <c r="IL35" s="936"/>
      <c r="IM35" s="937"/>
      <c r="IN35" s="795"/>
      <c r="IO35" s="940"/>
    </row>
    <row r="36" spans="1:249" s="135" customFormat="1" ht="27" customHeight="1">
      <c r="A36" s="319" t="s">
        <v>1359</v>
      </c>
      <c r="B36" s="299"/>
      <c r="C36" s="220" t="s">
        <v>1360</v>
      </c>
      <c r="D36" s="183" t="s">
        <v>1361</v>
      </c>
      <c r="E36" s="931" t="s">
        <v>210</v>
      </c>
      <c r="F36" s="742">
        <v>1</v>
      </c>
      <c r="G36" s="932"/>
      <c r="H36" s="933">
        <f t="shared" si="0"/>
        <v>0</v>
      </c>
      <c r="I36" s="225" t="s">
        <v>112</v>
      </c>
      <c r="J36" s="934"/>
      <c r="L36" s="926"/>
      <c r="M36" s="939"/>
      <c r="N36" s="218"/>
      <c r="O36" s="218"/>
      <c r="P36" s="218"/>
      <c r="Q36" s="886"/>
      <c r="R36" s="922"/>
      <c r="S36" s="935"/>
      <c r="T36" s="349"/>
      <c r="U36" s="935"/>
      <c r="V36" s="936"/>
      <c r="W36" s="937"/>
      <c r="Y36" s="795"/>
      <c r="Z36" s="218"/>
      <c r="AG36" s="502"/>
      <c r="AH36" s="503"/>
      <c r="AI36" s="503"/>
      <c r="AJ36" s="349"/>
      <c r="AK36" s="941"/>
      <c r="AL36" s="936"/>
      <c r="AM36" s="937"/>
      <c r="AN36" s="795"/>
      <c r="AO36" s="940"/>
      <c r="AW36" s="502"/>
      <c r="AX36" s="503"/>
      <c r="AY36" s="503"/>
      <c r="AZ36" s="349"/>
      <c r="BA36" s="941"/>
      <c r="BB36" s="936"/>
      <c r="BC36" s="937"/>
      <c r="BD36" s="795"/>
      <c r="BE36" s="940"/>
      <c r="BM36" s="502"/>
      <c r="BN36" s="503"/>
      <c r="BO36" s="503"/>
      <c r="BP36" s="349"/>
      <c r="BQ36" s="941"/>
      <c r="BR36" s="936"/>
      <c r="BS36" s="937"/>
      <c r="BT36" s="795"/>
      <c r="BU36" s="940"/>
      <c r="CC36" s="502"/>
      <c r="CD36" s="503"/>
      <c r="CE36" s="503"/>
      <c r="CF36" s="349"/>
      <c r="CG36" s="941"/>
      <c r="CH36" s="936"/>
      <c r="CI36" s="937"/>
      <c r="CJ36" s="795"/>
      <c r="CK36" s="940"/>
      <c r="CS36" s="502"/>
      <c r="CT36" s="503"/>
      <c r="CU36" s="503"/>
      <c r="CV36" s="349"/>
      <c r="CW36" s="941"/>
      <c r="CX36" s="936"/>
      <c r="CY36" s="937"/>
      <c r="CZ36" s="795"/>
      <c r="DA36" s="940"/>
      <c r="DI36" s="502"/>
      <c r="DJ36" s="503"/>
      <c r="DK36" s="503"/>
      <c r="DL36" s="349"/>
      <c r="DM36" s="941"/>
      <c r="DN36" s="936"/>
      <c r="DO36" s="937"/>
      <c r="DP36" s="795"/>
      <c r="DQ36" s="940"/>
      <c r="DY36" s="502"/>
      <c r="DZ36" s="503"/>
      <c r="EA36" s="503"/>
      <c r="EB36" s="349"/>
      <c r="EC36" s="941"/>
      <c r="ED36" s="936"/>
      <c r="EE36" s="937"/>
      <c r="EF36" s="795"/>
      <c r="EG36" s="940"/>
      <c r="EO36" s="502"/>
      <c r="EP36" s="503"/>
      <c r="EQ36" s="503"/>
      <c r="ER36" s="349"/>
      <c r="ES36" s="941"/>
      <c r="ET36" s="936"/>
      <c r="EU36" s="937"/>
      <c r="EV36" s="795"/>
      <c r="EW36" s="940"/>
      <c r="FE36" s="502"/>
      <c r="FF36" s="503"/>
      <c r="FG36" s="503"/>
      <c r="FH36" s="349"/>
      <c r="FI36" s="941"/>
      <c r="FJ36" s="936"/>
      <c r="FK36" s="937"/>
      <c r="FL36" s="795"/>
      <c r="FM36" s="940"/>
      <c r="FU36" s="502"/>
      <c r="FV36" s="503"/>
      <c r="FW36" s="503"/>
      <c r="FX36" s="349"/>
      <c r="FY36" s="941"/>
      <c r="FZ36" s="936"/>
      <c r="GA36" s="937"/>
      <c r="GB36" s="795"/>
      <c r="GC36" s="940"/>
      <c r="GK36" s="502"/>
      <c r="GL36" s="503"/>
      <c r="GM36" s="503"/>
      <c r="GN36" s="349"/>
      <c r="GO36" s="941"/>
      <c r="GP36" s="936"/>
      <c r="GQ36" s="937"/>
      <c r="GR36" s="795"/>
      <c r="GS36" s="940"/>
      <c r="HA36" s="502"/>
      <c r="HB36" s="503"/>
      <c r="HC36" s="503"/>
      <c r="HD36" s="349"/>
      <c r="HE36" s="941"/>
      <c r="HF36" s="936"/>
      <c r="HG36" s="937"/>
      <c r="HH36" s="795"/>
      <c r="HI36" s="940"/>
      <c r="HQ36" s="502"/>
      <c r="HR36" s="503"/>
      <c r="HS36" s="503"/>
      <c r="HT36" s="349"/>
      <c r="HU36" s="941"/>
      <c r="HV36" s="936"/>
      <c r="HW36" s="937"/>
      <c r="HX36" s="795"/>
      <c r="HY36" s="940"/>
      <c r="IG36" s="502"/>
      <c r="IH36" s="503"/>
      <c r="II36" s="503"/>
      <c r="IJ36" s="349"/>
      <c r="IK36" s="941"/>
      <c r="IL36" s="936"/>
      <c r="IM36" s="937"/>
      <c r="IN36" s="795"/>
      <c r="IO36" s="940"/>
    </row>
    <row r="37" spans="1:249" s="135" customFormat="1" ht="27" customHeight="1">
      <c r="A37" s="319" t="s">
        <v>1362</v>
      </c>
      <c r="B37" s="299"/>
      <c r="C37" s="220" t="s">
        <v>1363</v>
      </c>
      <c r="D37" s="183" t="s">
        <v>1364</v>
      </c>
      <c r="E37" s="931" t="s">
        <v>210</v>
      </c>
      <c r="F37" s="742">
        <v>1</v>
      </c>
      <c r="G37" s="932"/>
      <c r="H37" s="933">
        <f t="shared" si="0"/>
        <v>0</v>
      </c>
      <c r="I37" s="225" t="s">
        <v>112</v>
      </c>
      <c r="J37" s="934"/>
      <c r="L37" s="926"/>
      <c r="M37" s="939"/>
      <c r="N37" s="218"/>
      <c r="O37" s="218"/>
      <c r="P37" s="218"/>
      <c r="Q37" s="886"/>
      <c r="R37" s="922"/>
      <c r="S37" s="935"/>
      <c r="T37" s="349"/>
      <c r="U37" s="935"/>
      <c r="V37" s="936"/>
      <c r="W37" s="937"/>
      <c r="Y37" s="795"/>
      <c r="Z37" s="218"/>
      <c r="AG37" s="502"/>
      <c r="AH37" s="503"/>
      <c r="AI37" s="503"/>
      <c r="AJ37" s="349"/>
      <c r="AK37" s="941"/>
      <c r="AL37" s="936"/>
      <c r="AM37" s="937"/>
      <c r="AN37" s="795"/>
      <c r="AO37" s="940"/>
      <c r="AW37" s="502"/>
      <c r="AX37" s="503"/>
      <c r="AY37" s="503"/>
      <c r="AZ37" s="349"/>
      <c r="BA37" s="941"/>
      <c r="BB37" s="936"/>
      <c r="BC37" s="937"/>
      <c r="BD37" s="795"/>
      <c r="BE37" s="940"/>
      <c r="BM37" s="502"/>
      <c r="BN37" s="503"/>
      <c r="BO37" s="503"/>
      <c r="BP37" s="349"/>
      <c r="BQ37" s="941"/>
      <c r="BR37" s="936"/>
      <c r="BS37" s="937"/>
      <c r="BT37" s="795"/>
      <c r="BU37" s="940"/>
      <c r="CC37" s="502"/>
      <c r="CD37" s="503"/>
      <c r="CE37" s="503"/>
      <c r="CF37" s="349"/>
      <c r="CG37" s="941"/>
      <c r="CH37" s="936"/>
      <c r="CI37" s="937"/>
      <c r="CJ37" s="795"/>
      <c r="CK37" s="940"/>
      <c r="CS37" s="502"/>
      <c r="CT37" s="503"/>
      <c r="CU37" s="503"/>
      <c r="CV37" s="349"/>
      <c r="CW37" s="941"/>
      <c r="CX37" s="936"/>
      <c r="CY37" s="937"/>
      <c r="CZ37" s="795"/>
      <c r="DA37" s="940"/>
      <c r="DI37" s="502"/>
      <c r="DJ37" s="503"/>
      <c r="DK37" s="503"/>
      <c r="DL37" s="349"/>
      <c r="DM37" s="941"/>
      <c r="DN37" s="936"/>
      <c r="DO37" s="937"/>
      <c r="DP37" s="795"/>
      <c r="DQ37" s="940"/>
      <c r="DY37" s="502"/>
      <c r="DZ37" s="503"/>
      <c r="EA37" s="503"/>
      <c r="EB37" s="349"/>
      <c r="EC37" s="941"/>
      <c r="ED37" s="936"/>
      <c r="EE37" s="937"/>
      <c r="EF37" s="795"/>
      <c r="EG37" s="940"/>
      <c r="EO37" s="502"/>
      <c r="EP37" s="503"/>
      <c r="EQ37" s="503"/>
      <c r="ER37" s="349"/>
      <c r="ES37" s="941"/>
      <c r="ET37" s="936"/>
      <c r="EU37" s="937"/>
      <c r="EV37" s="795"/>
      <c r="EW37" s="940"/>
      <c r="FE37" s="502"/>
      <c r="FF37" s="503"/>
      <c r="FG37" s="503"/>
      <c r="FH37" s="349"/>
      <c r="FI37" s="941"/>
      <c r="FJ37" s="936"/>
      <c r="FK37" s="937"/>
      <c r="FL37" s="795"/>
      <c r="FM37" s="940"/>
      <c r="FU37" s="502"/>
      <c r="FV37" s="503"/>
      <c r="FW37" s="503"/>
      <c r="FX37" s="349"/>
      <c r="FY37" s="941"/>
      <c r="FZ37" s="936"/>
      <c r="GA37" s="937"/>
      <c r="GB37" s="795"/>
      <c r="GC37" s="940"/>
      <c r="GK37" s="502"/>
      <c r="GL37" s="503"/>
      <c r="GM37" s="503"/>
      <c r="GN37" s="349"/>
      <c r="GO37" s="941"/>
      <c r="GP37" s="936"/>
      <c r="GQ37" s="937"/>
      <c r="GR37" s="795"/>
      <c r="GS37" s="940"/>
      <c r="HA37" s="502"/>
      <c r="HB37" s="503"/>
      <c r="HC37" s="503"/>
      <c r="HD37" s="349"/>
      <c r="HE37" s="941"/>
      <c r="HF37" s="936"/>
      <c r="HG37" s="937"/>
      <c r="HH37" s="795"/>
      <c r="HI37" s="940"/>
      <c r="HQ37" s="502"/>
      <c r="HR37" s="503"/>
      <c r="HS37" s="503"/>
      <c r="HT37" s="349"/>
      <c r="HU37" s="941"/>
      <c r="HV37" s="936"/>
      <c r="HW37" s="937"/>
      <c r="HX37" s="795"/>
      <c r="HY37" s="940"/>
      <c r="IG37" s="502"/>
      <c r="IH37" s="503"/>
      <c r="II37" s="503"/>
      <c r="IJ37" s="349"/>
      <c r="IK37" s="941"/>
      <c r="IL37" s="936"/>
      <c r="IM37" s="937"/>
      <c r="IN37" s="795"/>
      <c r="IO37" s="940"/>
    </row>
    <row r="38" spans="1:249" s="135" customFormat="1" ht="27" customHeight="1">
      <c r="A38" s="319" t="s">
        <v>1365</v>
      </c>
      <c r="B38" s="299"/>
      <c r="C38" s="220" t="s">
        <v>1366</v>
      </c>
      <c r="D38" s="183" t="s">
        <v>1367</v>
      </c>
      <c r="E38" s="931" t="s">
        <v>210</v>
      </c>
      <c r="F38" s="742">
        <v>1</v>
      </c>
      <c r="G38" s="932"/>
      <c r="H38" s="933">
        <f t="shared" si="0"/>
        <v>0</v>
      </c>
      <c r="I38" s="225" t="s">
        <v>112</v>
      </c>
      <c r="J38" s="934"/>
      <c r="L38" s="926"/>
      <c r="M38" s="939"/>
      <c r="N38" s="218"/>
      <c r="O38" s="218"/>
      <c r="P38" s="218"/>
      <c r="Q38" s="935"/>
      <c r="R38" s="922"/>
      <c r="S38" s="935"/>
      <c r="T38" s="349"/>
      <c r="U38" s="935"/>
      <c r="V38" s="936"/>
      <c r="W38" s="937"/>
      <c r="Y38" s="795"/>
      <c r="Z38" s="218"/>
      <c r="AG38" s="502"/>
      <c r="AH38" s="503"/>
      <c r="AI38" s="503"/>
      <c r="AJ38" s="349"/>
      <c r="AK38" s="941"/>
      <c r="AL38" s="936"/>
      <c r="AM38" s="937"/>
      <c r="AN38" s="795"/>
      <c r="AO38" s="940"/>
      <c r="AW38" s="502"/>
      <c r="AX38" s="503"/>
      <c r="AY38" s="503"/>
      <c r="AZ38" s="349"/>
      <c r="BA38" s="941"/>
      <c r="BB38" s="936"/>
      <c r="BC38" s="937"/>
      <c r="BD38" s="795"/>
      <c r="BE38" s="940"/>
      <c r="BM38" s="502"/>
      <c r="BN38" s="503"/>
      <c r="BO38" s="503"/>
      <c r="BP38" s="349"/>
      <c r="BQ38" s="941"/>
      <c r="BR38" s="936"/>
      <c r="BS38" s="937"/>
      <c r="BT38" s="795"/>
      <c r="BU38" s="940"/>
      <c r="CC38" s="502"/>
      <c r="CD38" s="503"/>
      <c r="CE38" s="503"/>
      <c r="CF38" s="349"/>
      <c r="CG38" s="941"/>
      <c r="CH38" s="936"/>
      <c r="CI38" s="937"/>
      <c r="CJ38" s="795"/>
      <c r="CK38" s="940"/>
      <c r="CS38" s="502"/>
      <c r="CT38" s="503"/>
      <c r="CU38" s="503"/>
      <c r="CV38" s="349"/>
      <c r="CW38" s="941"/>
      <c r="CX38" s="936"/>
      <c r="CY38" s="937"/>
      <c r="CZ38" s="795"/>
      <c r="DA38" s="940"/>
      <c r="DI38" s="502"/>
      <c r="DJ38" s="503"/>
      <c r="DK38" s="503"/>
      <c r="DL38" s="349"/>
      <c r="DM38" s="941"/>
      <c r="DN38" s="936"/>
      <c r="DO38" s="937"/>
      <c r="DP38" s="795"/>
      <c r="DQ38" s="940"/>
      <c r="DY38" s="502"/>
      <c r="DZ38" s="503"/>
      <c r="EA38" s="503"/>
      <c r="EB38" s="349"/>
      <c r="EC38" s="941"/>
      <c r="ED38" s="936"/>
      <c r="EE38" s="937"/>
      <c r="EF38" s="795"/>
      <c r="EG38" s="940"/>
      <c r="EO38" s="502"/>
      <c r="EP38" s="503"/>
      <c r="EQ38" s="503"/>
      <c r="ER38" s="349"/>
      <c r="ES38" s="941"/>
      <c r="ET38" s="936"/>
      <c r="EU38" s="937"/>
      <c r="EV38" s="795"/>
      <c r="EW38" s="940"/>
      <c r="FE38" s="502"/>
      <c r="FF38" s="503"/>
      <c r="FG38" s="503"/>
      <c r="FH38" s="349"/>
      <c r="FI38" s="941"/>
      <c r="FJ38" s="936"/>
      <c r="FK38" s="937"/>
      <c r="FL38" s="795"/>
      <c r="FM38" s="940"/>
      <c r="FU38" s="502"/>
      <c r="FV38" s="503"/>
      <c r="FW38" s="503"/>
      <c r="FX38" s="349"/>
      <c r="FY38" s="941"/>
      <c r="FZ38" s="936"/>
      <c r="GA38" s="937"/>
      <c r="GB38" s="795"/>
      <c r="GC38" s="940"/>
      <c r="GK38" s="502"/>
      <c r="GL38" s="503"/>
      <c r="GM38" s="503"/>
      <c r="GN38" s="349"/>
      <c r="GO38" s="941"/>
      <c r="GP38" s="936"/>
      <c r="GQ38" s="937"/>
      <c r="GR38" s="795"/>
      <c r="GS38" s="940"/>
      <c r="HA38" s="502"/>
      <c r="HB38" s="503"/>
      <c r="HC38" s="503"/>
      <c r="HD38" s="349"/>
      <c r="HE38" s="941"/>
      <c r="HF38" s="936"/>
      <c r="HG38" s="937"/>
      <c r="HH38" s="795"/>
      <c r="HI38" s="940"/>
      <c r="HQ38" s="502"/>
      <c r="HR38" s="503"/>
      <c r="HS38" s="503"/>
      <c r="HT38" s="349"/>
      <c r="HU38" s="941"/>
      <c r="HV38" s="936"/>
      <c r="HW38" s="937"/>
      <c r="HX38" s="795"/>
      <c r="HY38" s="940"/>
      <c r="IG38" s="502"/>
      <c r="IH38" s="503"/>
      <c r="II38" s="503"/>
      <c r="IJ38" s="349"/>
      <c r="IK38" s="941"/>
      <c r="IL38" s="936"/>
      <c r="IM38" s="937"/>
      <c r="IN38" s="795"/>
      <c r="IO38" s="940"/>
    </row>
    <row r="39" spans="1:249" s="135" customFormat="1" ht="27" customHeight="1">
      <c r="A39" s="319" t="s">
        <v>1368</v>
      </c>
      <c r="B39" s="299"/>
      <c r="C39" s="220" t="s">
        <v>1369</v>
      </c>
      <c r="D39" s="183" t="s">
        <v>1370</v>
      </c>
      <c r="E39" s="931" t="s">
        <v>210</v>
      </c>
      <c r="F39" s="742">
        <v>1</v>
      </c>
      <c r="G39" s="932"/>
      <c r="H39" s="933">
        <f t="shared" si="0"/>
        <v>0</v>
      </c>
      <c r="I39" s="225" t="s">
        <v>112</v>
      </c>
      <c r="J39" s="934"/>
      <c r="L39" s="926"/>
      <c r="M39" s="939"/>
      <c r="N39" s="218"/>
      <c r="O39" s="218"/>
      <c r="P39" s="218"/>
      <c r="R39" s="922"/>
      <c r="S39" s="935"/>
      <c r="T39" s="349"/>
      <c r="U39" s="941"/>
      <c r="V39" s="936"/>
      <c r="W39" s="937"/>
      <c r="Y39" s="795"/>
      <c r="Z39" s="218"/>
      <c r="AG39" s="502"/>
      <c r="AH39" s="503"/>
      <c r="AI39" s="503"/>
      <c r="AJ39" s="349"/>
      <c r="AK39" s="941"/>
      <c r="AL39" s="936"/>
      <c r="AM39" s="937"/>
      <c r="AN39" s="795"/>
      <c r="AO39" s="940"/>
      <c r="AW39" s="502"/>
      <c r="AX39" s="503"/>
      <c r="AY39" s="503"/>
      <c r="AZ39" s="349"/>
      <c r="BA39" s="941"/>
      <c r="BB39" s="936"/>
      <c r="BC39" s="937"/>
      <c r="BD39" s="795"/>
      <c r="BE39" s="940"/>
      <c r="BM39" s="502"/>
      <c r="BN39" s="503"/>
      <c r="BO39" s="503"/>
      <c r="BP39" s="349"/>
      <c r="BQ39" s="941"/>
      <c r="BR39" s="936"/>
      <c r="BS39" s="937"/>
      <c r="BT39" s="795"/>
      <c r="BU39" s="940"/>
      <c r="CC39" s="502"/>
      <c r="CD39" s="503"/>
      <c r="CE39" s="503"/>
      <c r="CF39" s="349"/>
      <c r="CG39" s="941"/>
      <c r="CH39" s="936"/>
      <c r="CI39" s="937"/>
      <c r="CJ39" s="795"/>
      <c r="CK39" s="940"/>
      <c r="CS39" s="502"/>
      <c r="CT39" s="503"/>
      <c r="CU39" s="503"/>
      <c r="CV39" s="349"/>
      <c r="CW39" s="941"/>
      <c r="CX39" s="936"/>
      <c r="CY39" s="937"/>
      <c r="CZ39" s="795"/>
      <c r="DA39" s="940"/>
      <c r="DI39" s="502"/>
      <c r="DJ39" s="503"/>
      <c r="DK39" s="503"/>
      <c r="DL39" s="349"/>
      <c r="DM39" s="941"/>
      <c r="DN39" s="936"/>
      <c r="DO39" s="937"/>
      <c r="DP39" s="795"/>
      <c r="DQ39" s="940"/>
      <c r="DY39" s="502"/>
      <c r="DZ39" s="503"/>
      <c r="EA39" s="503"/>
      <c r="EB39" s="349"/>
      <c r="EC39" s="941"/>
      <c r="ED39" s="936"/>
      <c r="EE39" s="937"/>
      <c r="EF39" s="795"/>
      <c r="EG39" s="940"/>
      <c r="EO39" s="502"/>
      <c r="EP39" s="503"/>
      <c r="EQ39" s="503"/>
      <c r="ER39" s="349"/>
      <c r="ES39" s="941"/>
      <c r="ET39" s="936"/>
      <c r="EU39" s="937"/>
      <c r="EV39" s="795"/>
      <c r="EW39" s="940"/>
      <c r="FE39" s="502"/>
      <c r="FF39" s="503"/>
      <c r="FG39" s="503"/>
      <c r="FH39" s="349"/>
      <c r="FI39" s="941"/>
      <c r="FJ39" s="936"/>
      <c r="FK39" s="937"/>
      <c r="FL39" s="795"/>
      <c r="FM39" s="940"/>
      <c r="FU39" s="502"/>
      <c r="FV39" s="503"/>
      <c r="FW39" s="503"/>
      <c r="FX39" s="349"/>
      <c r="FY39" s="941"/>
      <c r="FZ39" s="936"/>
      <c r="GA39" s="937"/>
      <c r="GB39" s="795"/>
      <c r="GC39" s="940"/>
      <c r="GK39" s="502"/>
      <c r="GL39" s="503"/>
      <c r="GM39" s="503"/>
      <c r="GN39" s="349"/>
      <c r="GO39" s="941"/>
      <c r="GP39" s="936"/>
      <c r="GQ39" s="937"/>
      <c r="GR39" s="795"/>
      <c r="GS39" s="940"/>
      <c r="HA39" s="502"/>
      <c r="HB39" s="503"/>
      <c r="HC39" s="503"/>
      <c r="HD39" s="349"/>
      <c r="HE39" s="941"/>
      <c r="HF39" s="936"/>
      <c r="HG39" s="937"/>
      <c r="HH39" s="795"/>
      <c r="HI39" s="940"/>
      <c r="HQ39" s="502"/>
      <c r="HR39" s="503"/>
      <c r="HS39" s="503"/>
      <c r="HT39" s="349"/>
      <c r="HU39" s="941"/>
      <c r="HV39" s="936"/>
      <c r="HW39" s="937"/>
      <c r="HX39" s="795"/>
      <c r="HY39" s="940"/>
      <c r="IG39" s="502"/>
      <c r="IH39" s="503"/>
      <c r="II39" s="503"/>
      <c r="IJ39" s="349"/>
      <c r="IK39" s="941"/>
      <c r="IL39" s="936"/>
      <c r="IM39" s="937"/>
      <c r="IN39" s="795"/>
      <c r="IO39" s="940"/>
    </row>
    <row r="40" spans="1:249" s="135" customFormat="1" ht="13.5" customHeight="1">
      <c r="A40" s="319" t="s">
        <v>1371</v>
      </c>
      <c r="B40" s="299"/>
      <c r="C40" s="220" t="s">
        <v>1372</v>
      </c>
      <c r="D40" s="183" t="s">
        <v>1373</v>
      </c>
      <c r="E40" s="931" t="s">
        <v>210</v>
      </c>
      <c r="F40" s="742">
        <v>1</v>
      </c>
      <c r="G40" s="932"/>
      <c r="H40" s="933">
        <f t="shared" si="0"/>
        <v>0</v>
      </c>
      <c r="I40" s="225" t="s">
        <v>112</v>
      </c>
      <c r="J40" s="934"/>
      <c r="K40" s="218"/>
      <c r="L40" s="926"/>
      <c r="M40" s="939"/>
      <c r="N40" s="218"/>
      <c r="O40" s="218"/>
      <c r="P40" s="942"/>
      <c r="Q40" s="939"/>
      <c r="R40" s="218"/>
      <c r="S40" s="935"/>
      <c r="T40" s="218"/>
      <c r="U40" s="218"/>
      <c r="V40" s="218"/>
      <c r="W40" s="926"/>
      <c r="Y40" s="943"/>
      <c r="Z40" s="218"/>
      <c r="AA40" s="218"/>
      <c r="AB40" s="218"/>
      <c r="AC40" s="218"/>
      <c r="AD40" s="218"/>
      <c r="AE40" s="218"/>
      <c r="AF40" s="218"/>
      <c r="AG40" s="942"/>
      <c r="AH40" s="922"/>
      <c r="AI40" s="503"/>
      <c r="AJ40" s="349"/>
      <c r="AK40" s="941"/>
      <c r="AL40" s="936"/>
      <c r="AM40" s="937"/>
      <c r="AN40" s="795"/>
      <c r="AO40" s="940"/>
      <c r="AW40" s="502"/>
      <c r="AX40" s="503"/>
      <c r="AY40" s="503"/>
      <c r="AZ40" s="349"/>
      <c r="BA40" s="941"/>
      <c r="BB40" s="936"/>
      <c r="BC40" s="937"/>
      <c r="BD40" s="795"/>
      <c r="BE40" s="940"/>
      <c r="BM40" s="502"/>
      <c r="BN40" s="503"/>
      <c r="BO40" s="503"/>
      <c r="BP40" s="349"/>
      <c r="BQ40" s="941"/>
      <c r="BR40" s="936"/>
      <c r="BS40" s="937"/>
      <c r="BT40" s="795"/>
      <c r="BU40" s="940"/>
      <c r="CC40" s="502"/>
      <c r="CD40" s="503"/>
      <c r="CE40" s="503"/>
      <c r="CF40" s="349"/>
      <c r="CG40" s="941"/>
      <c r="CH40" s="936"/>
      <c r="CI40" s="937"/>
      <c r="CJ40" s="795"/>
      <c r="CK40" s="940"/>
      <c r="CS40" s="502"/>
      <c r="CT40" s="503"/>
      <c r="CU40" s="503"/>
      <c r="CV40" s="349"/>
      <c r="CW40" s="941"/>
      <c r="CX40" s="936"/>
      <c r="CY40" s="937"/>
      <c r="CZ40" s="795"/>
      <c r="DA40" s="940"/>
      <c r="DI40" s="502"/>
      <c r="DJ40" s="503"/>
      <c r="DK40" s="503"/>
      <c r="DL40" s="349"/>
      <c r="DM40" s="941"/>
      <c r="DN40" s="936"/>
      <c r="DO40" s="937"/>
      <c r="DP40" s="795"/>
      <c r="DQ40" s="940"/>
      <c r="DY40" s="502"/>
      <c r="DZ40" s="503"/>
      <c r="EA40" s="503"/>
      <c r="EB40" s="349"/>
      <c r="EC40" s="941"/>
      <c r="ED40" s="936"/>
      <c r="EE40" s="937"/>
      <c r="EF40" s="795"/>
      <c r="EG40" s="940"/>
      <c r="EO40" s="502"/>
      <c r="EP40" s="503"/>
      <c r="EQ40" s="503"/>
      <c r="ER40" s="349"/>
      <c r="ES40" s="941"/>
      <c r="ET40" s="936"/>
      <c r="EU40" s="937"/>
      <c r="EV40" s="795"/>
      <c r="EW40" s="940"/>
      <c r="FE40" s="502"/>
      <c r="FF40" s="503"/>
      <c r="FG40" s="503"/>
      <c r="FH40" s="349"/>
      <c r="FI40" s="941"/>
      <c r="FJ40" s="936"/>
      <c r="FK40" s="937"/>
      <c r="FL40" s="795"/>
      <c r="FM40" s="940"/>
      <c r="FU40" s="502"/>
      <c r="FV40" s="503"/>
      <c r="FW40" s="503"/>
      <c r="FX40" s="349"/>
      <c r="FY40" s="941"/>
      <c r="FZ40" s="936"/>
      <c r="GA40" s="937"/>
      <c r="GB40" s="795"/>
      <c r="GC40" s="940"/>
      <c r="GK40" s="502"/>
      <c r="GL40" s="503"/>
      <c r="GM40" s="503"/>
      <c r="GN40" s="349"/>
      <c r="GO40" s="941"/>
      <c r="GP40" s="936"/>
      <c r="GQ40" s="937"/>
      <c r="GR40" s="795"/>
      <c r="GS40" s="940"/>
      <c r="HA40" s="502"/>
      <c r="HB40" s="503"/>
      <c r="HC40" s="503"/>
      <c r="HD40" s="349"/>
      <c r="HE40" s="941"/>
      <c r="HF40" s="936"/>
      <c r="HG40" s="937"/>
      <c r="HH40" s="795"/>
      <c r="HI40" s="940"/>
      <c r="HQ40" s="502"/>
      <c r="HR40" s="503"/>
      <c r="HS40" s="503"/>
      <c r="HT40" s="349"/>
      <c r="HU40" s="941"/>
      <c r="HV40" s="936"/>
      <c r="HW40" s="937"/>
      <c r="HX40" s="795"/>
      <c r="HY40" s="940"/>
      <c r="IG40" s="502"/>
      <c r="IH40" s="503"/>
      <c r="II40" s="503"/>
      <c r="IJ40" s="349"/>
      <c r="IK40" s="941"/>
      <c r="IL40" s="936"/>
      <c r="IM40" s="937"/>
      <c r="IN40" s="795"/>
      <c r="IO40" s="940"/>
    </row>
    <row r="41" spans="1:249" s="135" customFormat="1" ht="13.5" customHeight="1">
      <c r="A41" s="179"/>
      <c r="B41" s="180"/>
      <c r="C41" s="177"/>
      <c r="D41" s="183" t="s">
        <v>1374</v>
      </c>
      <c r="E41" s="177"/>
      <c r="F41" s="742">
        <v>1</v>
      </c>
      <c r="G41" s="181"/>
      <c r="H41" s="181"/>
      <c r="I41" s="867"/>
      <c r="J41" s="934"/>
      <c r="R41" s="442"/>
      <c r="S41" s="182"/>
    </row>
    <row r="42" spans="1:249" s="135" customFormat="1" ht="40.5" customHeight="1">
      <c r="A42" s="215"/>
      <c r="B42" s="177"/>
      <c r="C42" s="177"/>
      <c r="D42" s="490" t="s">
        <v>1375</v>
      </c>
      <c r="E42" s="177"/>
      <c r="F42" s="740"/>
      <c r="G42" s="920"/>
      <c r="H42" s="181"/>
      <c r="I42" s="216"/>
      <c r="J42" s="921"/>
      <c r="O42" s="218"/>
      <c r="P42" s="886"/>
      <c r="Q42" s="922"/>
      <c r="R42" s="922"/>
      <c r="S42" s="923"/>
      <c r="T42" s="924"/>
      <c r="U42" s="925"/>
      <c r="V42" s="218"/>
      <c r="W42" s="926"/>
      <c r="X42" s="218"/>
      <c r="AG42" s="927"/>
      <c r="AH42" s="504"/>
      <c r="AI42" s="504"/>
      <c r="AJ42" s="928"/>
      <c r="AK42" s="504"/>
      <c r="AL42" s="929"/>
      <c r="AM42" s="930"/>
      <c r="AN42" s="795"/>
      <c r="AO42" s="182"/>
      <c r="AW42" s="927"/>
      <c r="AX42" s="504"/>
      <c r="AY42" s="504"/>
      <c r="AZ42" s="928"/>
      <c r="BA42" s="504"/>
      <c r="BB42" s="929"/>
      <c r="BC42" s="930"/>
      <c r="BD42" s="795"/>
      <c r="BE42" s="182"/>
      <c r="BM42" s="927"/>
      <c r="BN42" s="504"/>
      <c r="BO42" s="504"/>
      <c r="BP42" s="928"/>
      <c r="BQ42" s="504"/>
      <c r="BR42" s="929"/>
      <c r="BS42" s="930"/>
      <c r="BT42" s="795"/>
      <c r="BU42" s="182"/>
      <c r="CC42" s="927"/>
      <c r="CD42" s="504"/>
      <c r="CE42" s="504"/>
      <c r="CF42" s="928"/>
      <c r="CG42" s="504"/>
      <c r="CH42" s="929"/>
      <c r="CI42" s="930"/>
      <c r="CJ42" s="795"/>
      <c r="CK42" s="182"/>
      <c r="CS42" s="927"/>
      <c r="CT42" s="504"/>
      <c r="CU42" s="504"/>
      <c r="CV42" s="928"/>
      <c r="CW42" s="504"/>
      <c r="CX42" s="929"/>
      <c r="CY42" s="930"/>
      <c r="CZ42" s="795"/>
      <c r="DA42" s="182"/>
      <c r="DI42" s="927"/>
      <c r="DJ42" s="504"/>
      <c r="DK42" s="504"/>
      <c r="DL42" s="928"/>
      <c r="DM42" s="504"/>
      <c r="DN42" s="929"/>
      <c r="DO42" s="930"/>
      <c r="DP42" s="795"/>
      <c r="DQ42" s="182"/>
      <c r="DY42" s="927"/>
      <c r="DZ42" s="504"/>
      <c r="EA42" s="504"/>
      <c r="EB42" s="928"/>
      <c r="EC42" s="504"/>
      <c r="ED42" s="929"/>
      <c r="EE42" s="930"/>
      <c r="EF42" s="795"/>
      <c r="EG42" s="182"/>
      <c r="EO42" s="927"/>
      <c r="EP42" s="504"/>
      <c r="EQ42" s="504"/>
      <c r="ER42" s="928"/>
      <c r="ES42" s="504"/>
      <c r="ET42" s="929"/>
      <c r="EU42" s="930"/>
      <c r="EV42" s="795"/>
      <c r="EW42" s="182"/>
      <c r="FE42" s="927"/>
      <c r="FF42" s="504"/>
      <c r="FG42" s="504"/>
      <c r="FH42" s="928"/>
      <c r="FI42" s="504"/>
      <c r="FJ42" s="929"/>
      <c r="FK42" s="930"/>
      <c r="FL42" s="795"/>
      <c r="FM42" s="182"/>
      <c r="FU42" s="927"/>
      <c r="FV42" s="504"/>
      <c r="FW42" s="504"/>
      <c r="FX42" s="928"/>
      <c r="FY42" s="504"/>
      <c r="FZ42" s="929"/>
      <c r="GA42" s="930"/>
      <c r="GB42" s="795"/>
      <c r="GC42" s="182"/>
      <c r="GK42" s="927"/>
      <c r="GL42" s="504"/>
      <c r="GM42" s="504"/>
      <c r="GN42" s="928"/>
      <c r="GO42" s="504"/>
      <c r="GP42" s="929"/>
      <c r="GQ42" s="930"/>
      <c r="GR42" s="795"/>
      <c r="GS42" s="182"/>
      <c r="HA42" s="927"/>
      <c r="HB42" s="504"/>
      <c r="HC42" s="504"/>
      <c r="HD42" s="928"/>
      <c r="HE42" s="504"/>
      <c r="HF42" s="929"/>
      <c r="HG42" s="930"/>
      <c r="HH42" s="795"/>
      <c r="HI42" s="182"/>
      <c r="HQ42" s="927"/>
      <c r="HR42" s="504"/>
      <c r="HS42" s="504"/>
      <c r="HT42" s="928"/>
      <c r="HU42" s="504"/>
      <c r="HV42" s="929"/>
      <c r="HW42" s="930"/>
      <c r="HX42" s="795"/>
      <c r="HY42" s="182"/>
      <c r="IG42" s="927"/>
      <c r="IH42" s="504"/>
      <c r="II42" s="504"/>
      <c r="IJ42" s="928"/>
      <c r="IK42" s="504"/>
      <c r="IL42" s="929"/>
      <c r="IM42" s="930"/>
      <c r="IN42" s="795"/>
      <c r="IO42" s="182"/>
    </row>
    <row r="43" spans="1:249" s="135" customFormat="1" ht="27" customHeight="1">
      <c r="A43" s="215"/>
      <c r="B43" s="177"/>
      <c r="C43" s="177"/>
      <c r="D43" s="490" t="s">
        <v>1376</v>
      </c>
      <c r="E43" s="177"/>
      <c r="F43" s="740"/>
      <c r="G43" s="920"/>
      <c r="H43" s="181"/>
      <c r="I43" s="216"/>
      <c r="J43" s="921"/>
      <c r="O43" s="218"/>
      <c r="P43" s="886"/>
      <c r="Q43" s="922"/>
      <c r="R43" s="922"/>
      <c r="S43" s="923"/>
      <c r="T43" s="924"/>
      <c r="U43" s="925"/>
      <c r="V43" s="218"/>
      <c r="W43" s="926"/>
      <c r="X43" s="218"/>
      <c r="AG43" s="927"/>
      <c r="AH43" s="504"/>
      <c r="AI43" s="504"/>
      <c r="AJ43" s="928"/>
      <c r="AK43" s="504"/>
      <c r="AL43" s="929"/>
      <c r="AM43" s="930"/>
      <c r="AN43" s="795"/>
      <c r="AO43" s="182"/>
      <c r="AW43" s="927"/>
      <c r="AX43" s="504"/>
      <c r="AY43" s="504"/>
      <c r="AZ43" s="928"/>
      <c r="BA43" s="504"/>
      <c r="BB43" s="929"/>
      <c r="BC43" s="930"/>
      <c r="BD43" s="795"/>
      <c r="BE43" s="182"/>
      <c r="BM43" s="927"/>
      <c r="BN43" s="504"/>
      <c r="BO43" s="504"/>
      <c r="BP43" s="928"/>
      <c r="BQ43" s="504"/>
      <c r="BR43" s="929"/>
      <c r="BS43" s="930"/>
      <c r="BT43" s="795"/>
      <c r="BU43" s="182"/>
      <c r="CC43" s="927"/>
      <c r="CD43" s="504"/>
      <c r="CE43" s="504"/>
      <c r="CF43" s="928"/>
      <c r="CG43" s="504"/>
      <c r="CH43" s="929"/>
      <c r="CI43" s="930"/>
      <c r="CJ43" s="795"/>
      <c r="CK43" s="182"/>
      <c r="CS43" s="927"/>
      <c r="CT43" s="504"/>
      <c r="CU43" s="504"/>
      <c r="CV43" s="928"/>
      <c r="CW43" s="504"/>
      <c r="CX43" s="929"/>
      <c r="CY43" s="930"/>
      <c r="CZ43" s="795"/>
      <c r="DA43" s="182"/>
      <c r="DI43" s="927"/>
      <c r="DJ43" s="504"/>
      <c r="DK43" s="504"/>
      <c r="DL43" s="928"/>
      <c r="DM43" s="504"/>
      <c r="DN43" s="929"/>
      <c r="DO43" s="930"/>
      <c r="DP43" s="795"/>
      <c r="DQ43" s="182"/>
      <c r="DY43" s="927"/>
      <c r="DZ43" s="504"/>
      <c r="EA43" s="504"/>
      <c r="EB43" s="928"/>
      <c r="EC43" s="504"/>
      <c r="ED43" s="929"/>
      <c r="EE43" s="930"/>
      <c r="EF43" s="795"/>
      <c r="EG43" s="182"/>
      <c r="EO43" s="927"/>
      <c r="EP43" s="504"/>
      <c r="EQ43" s="504"/>
      <c r="ER43" s="928"/>
      <c r="ES43" s="504"/>
      <c r="ET43" s="929"/>
      <c r="EU43" s="930"/>
      <c r="EV43" s="795"/>
      <c r="EW43" s="182"/>
      <c r="FE43" s="927"/>
      <c r="FF43" s="504"/>
      <c r="FG43" s="504"/>
      <c r="FH43" s="928"/>
      <c r="FI43" s="504"/>
      <c r="FJ43" s="929"/>
      <c r="FK43" s="930"/>
      <c r="FL43" s="795"/>
      <c r="FM43" s="182"/>
      <c r="FU43" s="927"/>
      <c r="FV43" s="504"/>
      <c r="FW43" s="504"/>
      <c r="FX43" s="928"/>
      <c r="FY43" s="504"/>
      <c r="FZ43" s="929"/>
      <c r="GA43" s="930"/>
      <c r="GB43" s="795"/>
      <c r="GC43" s="182"/>
      <c r="GK43" s="927"/>
      <c r="GL43" s="504"/>
      <c r="GM43" s="504"/>
      <c r="GN43" s="928"/>
      <c r="GO43" s="504"/>
      <c r="GP43" s="929"/>
      <c r="GQ43" s="930"/>
      <c r="GR43" s="795"/>
      <c r="GS43" s="182"/>
      <c r="HA43" s="927"/>
      <c r="HB43" s="504"/>
      <c r="HC43" s="504"/>
      <c r="HD43" s="928"/>
      <c r="HE43" s="504"/>
      <c r="HF43" s="929"/>
      <c r="HG43" s="930"/>
      <c r="HH43" s="795"/>
      <c r="HI43" s="182"/>
      <c r="HQ43" s="927"/>
      <c r="HR43" s="504"/>
      <c r="HS43" s="504"/>
      <c r="HT43" s="928"/>
      <c r="HU43" s="504"/>
      <c r="HV43" s="929"/>
      <c r="HW43" s="930"/>
      <c r="HX43" s="795"/>
      <c r="HY43" s="182"/>
      <c r="IG43" s="927"/>
      <c r="IH43" s="504"/>
      <c r="II43" s="504"/>
      <c r="IJ43" s="928"/>
      <c r="IK43" s="504"/>
      <c r="IL43" s="929"/>
      <c r="IM43" s="930"/>
      <c r="IN43" s="795"/>
      <c r="IO43" s="182"/>
    </row>
    <row r="44" spans="1:249" s="135" customFormat="1" ht="27" customHeight="1">
      <c r="A44" s="215"/>
      <c r="B44" s="177"/>
      <c r="C44" s="177"/>
      <c r="D44" s="490" t="s">
        <v>1377</v>
      </c>
      <c r="E44" s="177"/>
      <c r="F44" s="740"/>
      <c r="G44" s="920"/>
      <c r="H44" s="181"/>
      <c r="I44" s="216"/>
      <c r="J44" s="921"/>
      <c r="O44" s="218"/>
      <c r="P44" s="886"/>
      <c r="Q44" s="922"/>
      <c r="R44" s="922"/>
      <c r="S44" s="923"/>
      <c r="T44" s="924"/>
      <c r="U44" s="925"/>
      <c r="V44" s="218"/>
      <c r="W44" s="926"/>
      <c r="X44" s="218"/>
      <c r="AG44" s="927"/>
      <c r="AH44" s="504"/>
      <c r="AI44" s="504"/>
      <c r="AJ44" s="928"/>
      <c r="AK44" s="504"/>
      <c r="AL44" s="929"/>
      <c r="AM44" s="930"/>
      <c r="AN44" s="795"/>
      <c r="AO44" s="182"/>
      <c r="AW44" s="927"/>
      <c r="AX44" s="504"/>
      <c r="AY44" s="504"/>
      <c r="AZ44" s="928"/>
      <c r="BA44" s="504"/>
      <c r="BB44" s="929"/>
      <c r="BC44" s="930"/>
      <c r="BD44" s="795"/>
      <c r="BE44" s="182"/>
      <c r="BM44" s="927"/>
      <c r="BN44" s="504"/>
      <c r="BO44" s="504"/>
      <c r="BP44" s="928"/>
      <c r="BQ44" s="504"/>
      <c r="BR44" s="929"/>
      <c r="BS44" s="930"/>
      <c r="BT44" s="795"/>
      <c r="BU44" s="182"/>
      <c r="CC44" s="927"/>
      <c r="CD44" s="504"/>
      <c r="CE44" s="504"/>
      <c r="CF44" s="928"/>
      <c r="CG44" s="504"/>
      <c r="CH44" s="929"/>
      <c r="CI44" s="930"/>
      <c r="CJ44" s="795"/>
      <c r="CK44" s="182"/>
      <c r="CS44" s="927"/>
      <c r="CT44" s="504"/>
      <c r="CU44" s="504"/>
      <c r="CV44" s="928"/>
      <c r="CW44" s="504"/>
      <c r="CX44" s="929"/>
      <c r="CY44" s="930"/>
      <c r="CZ44" s="795"/>
      <c r="DA44" s="182"/>
      <c r="DI44" s="927"/>
      <c r="DJ44" s="504"/>
      <c r="DK44" s="504"/>
      <c r="DL44" s="928"/>
      <c r="DM44" s="504"/>
      <c r="DN44" s="929"/>
      <c r="DO44" s="930"/>
      <c r="DP44" s="795"/>
      <c r="DQ44" s="182"/>
      <c r="DY44" s="927"/>
      <c r="DZ44" s="504"/>
      <c r="EA44" s="504"/>
      <c r="EB44" s="928"/>
      <c r="EC44" s="504"/>
      <c r="ED44" s="929"/>
      <c r="EE44" s="930"/>
      <c r="EF44" s="795"/>
      <c r="EG44" s="182"/>
      <c r="EO44" s="927"/>
      <c r="EP44" s="504"/>
      <c r="EQ44" s="504"/>
      <c r="ER44" s="928"/>
      <c r="ES44" s="504"/>
      <c r="ET44" s="929"/>
      <c r="EU44" s="930"/>
      <c r="EV44" s="795"/>
      <c r="EW44" s="182"/>
      <c r="FE44" s="927"/>
      <c r="FF44" s="504"/>
      <c r="FG44" s="504"/>
      <c r="FH44" s="928"/>
      <c r="FI44" s="504"/>
      <c r="FJ44" s="929"/>
      <c r="FK44" s="930"/>
      <c r="FL44" s="795"/>
      <c r="FM44" s="182"/>
      <c r="FU44" s="927"/>
      <c r="FV44" s="504"/>
      <c r="FW44" s="504"/>
      <c r="FX44" s="928"/>
      <c r="FY44" s="504"/>
      <c r="FZ44" s="929"/>
      <c r="GA44" s="930"/>
      <c r="GB44" s="795"/>
      <c r="GC44" s="182"/>
      <c r="GK44" s="927"/>
      <c r="GL44" s="504"/>
      <c r="GM44" s="504"/>
      <c r="GN44" s="928"/>
      <c r="GO44" s="504"/>
      <c r="GP44" s="929"/>
      <c r="GQ44" s="930"/>
      <c r="GR44" s="795"/>
      <c r="GS44" s="182"/>
      <c r="HA44" s="927"/>
      <c r="HB44" s="504"/>
      <c r="HC44" s="504"/>
      <c r="HD44" s="928"/>
      <c r="HE44" s="504"/>
      <c r="HF44" s="929"/>
      <c r="HG44" s="930"/>
      <c r="HH44" s="795"/>
      <c r="HI44" s="182"/>
      <c r="HQ44" s="927"/>
      <c r="HR44" s="504"/>
      <c r="HS44" s="504"/>
      <c r="HT44" s="928"/>
      <c r="HU44" s="504"/>
      <c r="HV44" s="929"/>
      <c r="HW44" s="930"/>
      <c r="HX44" s="795"/>
      <c r="HY44" s="182"/>
      <c r="IG44" s="927"/>
      <c r="IH44" s="504"/>
      <c r="II44" s="504"/>
      <c r="IJ44" s="928"/>
      <c r="IK44" s="504"/>
      <c r="IL44" s="929"/>
      <c r="IM44" s="930"/>
      <c r="IN44" s="795"/>
      <c r="IO44" s="182"/>
    </row>
    <row r="45" spans="1:249" s="158" customFormat="1" ht="27" customHeight="1">
      <c r="A45" s="356">
        <v>7</v>
      </c>
      <c r="B45" s="180" t="s">
        <v>1090</v>
      </c>
      <c r="C45" s="177" t="s">
        <v>1378</v>
      </c>
      <c r="D45" s="757" t="s">
        <v>1379</v>
      </c>
      <c r="E45" s="662" t="s">
        <v>210</v>
      </c>
      <c r="F45" s="740">
        <f>ROUND(SUM(F47),3)</f>
        <v>3</v>
      </c>
      <c r="G45" s="664"/>
      <c r="H45" s="741">
        <f>ROUND(F45*G45,2)</f>
        <v>0</v>
      </c>
      <c r="I45" s="676" t="s">
        <v>112</v>
      </c>
      <c r="J45" s="758"/>
      <c r="K45" s="763"/>
      <c r="L45" s="760"/>
      <c r="M45" s="761"/>
      <c r="N45" s="762"/>
      <c r="O45" s="763"/>
    </row>
    <row r="46" spans="1:249" s="135" customFormat="1" ht="13.5" customHeight="1">
      <c r="A46" s="179"/>
      <c r="B46" s="180"/>
      <c r="C46" s="177"/>
      <c r="D46" s="183" t="s">
        <v>1380</v>
      </c>
      <c r="E46" s="177"/>
      <c r="F46" s="742"/>
      <c r="G46" s="181"/>
      <c r="H46" s="181"/>
      <c r="I46" s="765"/>
      <c r="J46" s="916"/>
      <c r="K46" s="605"/>
      <c r="L46" s="325"/>
      <c r="M46" s="325"/>
      <c r="N46" s="325"/>
      <c r="O46" s="325"/>
      <c r="P46" s="325"/>
      <c r="Q46" s="325"/>
      <c r="R46" s="442"/>
      <c r="S46" s="182"/>
    </row>
    <row r="47" spans="1:249" s="135" customFormat="1" ht="13.5" customHeight="1">
      <c r="A47" s="179"/>
      <c r="B47" s="180"/>
      <c r="C47" s="177"/>
      <c r="D47" s="183" t="s">
        <v>1381</v>
      </c>
      <c r="E47" s="177"/>
      <c r="F47" s="742">
        <v>3</v>
      </c>
      <c r="G47" s="181"/>
      <c r="H47" s="181"/>
      <c r="I47" s="765"/>
      <c r="J47" s="916"/>
      <c r="K47" s="605"/>
      <c r="L47" s="325"/>
      <c r="M47" s="325"/>
      <c r="N47" s="325"/>
      <c r="O47" s="325"/>
      <c r="P47" s="325"/>
      <c r="Q47" s="325"/>
      <c r="R47" s="442"/>
      <c r="S47" s="182"/>
    </row>
    <row r="48" spans="1:249" s="135" customFormat="1" ht="13.5" customHeight="1">
      <c r="A48" s="179"/>
      <c r="B48" s="180"/>
      <c r="C48" s="177"/>
      <c r="D48" s="183" t="s">
        <v>1331</v>
      </c>
      <c r="E48" s="177"/>
      <c r="F48" s="742"/>
      <c r="G48" s="181"/>
      <c r="H48" s="181"/>
      <c r="I48" s="765"/>
      <c r="J48" s="916"/>
      <c r="K48" s="605"/>
      <c r="L48" s="325"/>
      <c r="M48" s="325"/>
      <c r="N48" s="325"/>
      <c r="O48" s="325"/>
      <c r="P48" s="325"/>
      <c r="Q48" s="325"/>
      <c r="R48" s="442"/>
      <c r="S48" s="182"/>
    </row>
    <row r="49" spans="1:19" s="158" customFormat="1" ht="27" customHeight="1">
      <c r="A49" s="356">
        <v>8</v>
      </c>
      <c r="B49" s="180" t="s">
        <v>1090</v>
      </c>
      <c r="C49" s="177" t="s">
        <v>1382</v>
      </c>
      <c r="D49" s="757" t="s">
        <v>1383</v>
      </c>
      <c r="E49" s="662" t="s">
        <v>210</v>
      </c>
      <c r="F49" s="740">
        <f>ROUND(SUM(F51),3)</f>
        <v>2</v>
      </c>
      <c r="G49" s="664"/>
      <c r="H49" s="741">
        <f>ROUND(F49*G49,2)</f>
        <v>0</v>
      </c>
      <c r="I49" s="676" t="s">
        <v>112</v>
      </c>
      <c r="J49" s="758"/>
      <c r="K49" s="763"/>
      <c r="L49" s="760"/>
      <c r="M49" s="761"/>
      <c r="N49" s="762"/>
      <c r="O49" s="763"/>
    </row>
    <row r="50" spans="1:19" s="135" customFormat="1" ht="13.5" customHeight="1">
      <c r="A50" s="179"/>
      <c r="B50" s="180"/>
      <c r="C50" s="177"/>
      <c r="D50" s="183" t="s">
        <v>1380</v>
      </c>
      <c r="E50" s="177"/>
      <c r="F50" s="742"/>
      <c r="G50" s="181"/>
      <c r="H50" s="181"/>
      <c r="I50" s="765"/>
      <c r="J50" s="916"/>
      <c r="K50" s="605"/>
      <c r="L50" s="325"/>
      <c r="M50" s="325"/>
      <c r="N50" s="325"/>
      <c r="O50" s="325"/>
      <c r="P50" s="325"/>
      <c r="Q50" s="325"/>
      <c r="R50" s="442"/>
      <c r="S50" s="182"/>
    </row>
    <row r="51" spans="1:19" s="135" customFormat="1" ht="13.5" customHeight="1">
      <c r="A51" s="179"/>
      <c r="B51" s="180"/>
      <c r="C51" s="177"/>
      <c r="D51" s="183" t="s">
        <v>1384</v>
      </c>
      <c r="E51" s="177"/>
      <c r="F51" s="742">
        <v>2</v>
      </c>
      <c r="G51" s="181"/>
      <c r="H51" s="181"/>
      <c r="I51" s="765"/>
      <c r="J51" s="916"/>
      <c r="K51" s="605"/>
      <c r="L51" s="325"/>
      <c r="M51" s="325"/>
      <c r="N51" s="325"/>
      <c r="O51" s="325"/>
      <c r="P51" s="325"/>
      <c r="Q51" s="325"/>
      <c r="R51" s="442"/>
      <c r="S51" s="182"/>
    </row>
    <row r="52" spans="1:19" s="135" customFormat="1" ht="13.5" customHeight="1">
      <c r="A52" s="179"/>
      <c r="B52" s="180"/>
      <c r="C52" s="177"/>
      <c r="D52" s="183" t="s">
        <v>1331</v>
      </c>
      <c r="E52" s="177"/>
      <c r="F52" s="742"/>
      <c r="G52" s="181"/>
      <c r="H52" s="181"/>
      <c r="I52" s="765"/>
      <c r="J52" s="916"/>
      <c r="K52" s="605"/>
      <c r="L52" s="325"/>
      <c r="M52" s="325"/>
      <c r="N52" s="325"/>
      <c r="O52" s="325"/>
      <c r="P52" s="325"/>
      <c r="Q52" s="325"/>
      <c r="R52" s="442"/>
      <c r="S52" s="182"/>
    </row>
    <row r="53" spans="1:19" s="158" customFormat="1" ht="27" customHeight="1">
      <c r="A53" s="356">
        <v>9</v>
      </c>
      <c r="B53" s="180" t="s">
        <v>1090</v>
      </c>
      <c r="C53" s="177" t="s">
        <v>1385</v>
      </c>
      <c r="D53" s="757" t="s">
        <v>1386</v>
      </c>
      <c r="E53" s="662" t="s">
        <v>142</v>
      </c>
      <c r="F53" s="740">
        <f>ROUND(SUM(F55:F55),3)</f>
        <v>4.3600000000000003</v>
      </c>
      <c r="G53" s="664"/>
      <c r="H53" s="741">
        <f>ROUND(F53*G53,2)</f>
        <v>0</v>
      </c>
      <c r="I53" s="676" t="s">
        <v>112</v>
      </c>
      <c r="J53" s="758"/>
      <c r="K53" s="763"/>
      <c r="L53" s="760"/>
      <c r="M53" s="761"/>
      <c r="N53" s="762"/>
      <c r="O53" s="763"/>
    </row>
    <row r="54" spans="1:19" s="135" customFormat="1" ht="27" customHeight="1">
      <c r="A54" s="179"/>
      <c r="B54" s="180"/>
      <c r="C54" s="177"/>
      <c r="D54" s="183" t="s">
        <v>1387</v>
      </c>
      <c r="E54" s="177"/>
      <c r="F54" s="742"/>
      <c r="G54" s="181"/>
      <c r="H54" s="181"/>
      <c r="I54" s="765"/>
      <c r="J54" s="916"/>
      <c r="K54" s="605"/>
      <c r="L54" s="325"/>
      <c r="M54" s="325"/>
      <c r="N54" s="325"/>
      <c r="O54" s="325"/>
      <c r="P54" s="325"/>
      <c r="Q54" s="325"/>
      <c r="R54" s="442"/>
      <c r="S54" s="182"/>
    </row>
    <row r="55" spans="1:19" s="135" customFormat="1" ht="13.5" customHeight="1">
      <c r="A55" s="179"/>
      <c r="B55" s="180"/>
      <c r="C55" s="177"/>
      <c r="D55" s="183" t="s">
        <v>1182</v>
      </c>
      <c r="E55" s="177"/>
      <c r="F55" s="742">
        <v>4.3600000000000003</v>
      </c>
      <c r="G55" s="181"/>
      <c r="H55" s="181"/>
      <c r="I55" s="765"/>
      <c r="J55" s="916"/>
      <c r="K55" s="605"/>
      <c r="L55" s="325"/>
      <c r="M55" s="325"/>
      <c r="N55" s="325"/>
      <c r="O55" s="325"/>
      <c r="P55" s="325"/>
      <c r="Q55" s="325"/>
      <c r="R55" s="442"/>
      <c r="S55" s="182"/>
    </row>
    <row r="56" spans="1:19" s="135" customFormat="1" ht="13.5" customHeight="1">
      <c r="A56" s="179"/>
      <c r="B56" s="180"/>
      <c r="C56" s="177"/>
      <c r="D56" s="183" t="s">
        <v>1331</v>
      </c>
      <c r="E56" s="177"/>
      <c r="F56" s="742"/>
      <c r="G56" s="181"/>
      <c r="H56" s="181"/>
      <c r="I56" s="765"/>
      <c r="J56" s="916"/>
      <c r="K56" s="605"/>
      <c r="L56" s="325"/>
      <c r="M56" s="325"/>
      <c r="N56" s="325"/>
      <c r="O56" s="325"/>
      <c r="P56" s="325"/>
      <c r="Q56" s="325"/>
      <c r="R56" s="442"/>
      <c r="S56" s="182"/>
    </row>
    <row r="57" spans="1:19" s="158" customFormat="1" ht="27" customHeight="1">
      <c r="A57" s="356">
        <v>10</v>
      </c>
      <c r="B57" s="180" t="s">
        <v>1090</v>
      </c>
      <c r="C57" s="177" t="s">
        <v>1388</v>
      </c>
      <c r="D57" s="757" t="s">
        <v>1389</v>
      </c>
      <c r="E57" s="662" t="s">
        <v>1328</v>
      </c>
      <c r="F57" s="740">
        <f>ROUND(SUM(F59),3)</f>
        <v>1</v>
      </c>
      <c r="G57" s="664"/>
      <c r="H57" s="741">
        <f>ROUND(F57*G57,2)</f>
        <v>0</v>
      </c>
      <c r="I57" s="676" t="s">
        <v>112</v>
      </c>
      <c r="J57" s="758"/>
      <c r="K57" s="763"/>
      <c r="L57" s="760"/>
      <c r="M57" s="761"/>
      <c r="N57" s="762"/>
      <c r="O57" s="763"/>
    </row>
    <row r="58" spans="1:19" s="135" customFormat="1" ht="27" customHeight="1">
      <c r="A58" s="179"/>
      <c r="B58" s="180"/>
      <c r="C58" s="177"/>
      <c r="D58" s="183" t="s">
        <v>1390</v>
      </c>
      <c r="E58" s="177"/>
      <c r="F58" s="742"/>
      <c r="G58" s="181"/>
      <c r="H58" s="181"/>
      <c r="I58" s="765"/>
      <c r="J58" s="905"/>
      <c r="K58" s="944"/>
      <c r="L58" s="141"/>
      <c r="M58" s="141"/>
      <c r="N58" s="141"/>
      <c r="O58" s="141"/>
      <c r="P58" s="141"/>
      <c r="Q58" s="141"/>
      <c r="R58" s="141"/>
      <c r="S58" s="843"/>
    </row>
    <row r="59" spans="1:19" s="135" customFormat="1" ht="13.5" customHeight="1">
      <c r="A59" s="179"/>
      <c r="B59" s="180"/>
      <c r="C59" s="177"/>
      <c r="D59" s="183" t="s">
        <v>1182</v>
      </c>
      <c r="E59" s="177"/>
      <c r="F59" s="742">
        <v>1</v>
      </c>
      <c r="G59" s="181"/>
      <c r="H59" s="181"/>
      <c r="I59" s="765"/>
      <c r="J59" s="916"/>
      <c r="K59" s="605"/>
      <c r="L59" s="325"/>
      <c r="M59" s="325"/>
      <c r="N59" s="325"/>
      <c r="O59" s="325"/>
      <c r="P59" s="325"/>
      <c r="Q59" s="325"/>
      <c r="R59" s="442"/>
      <c r="S59" s="182"/>
    </row>
    <row r="60" spans="1:19" s="135" customFormat="1" ht="13.5" customHeight="1">
      <c r="A60" s="179"/>
      <c r="B60" s="180"/>
      <c r="C60" s="177"/>
      <c r="D60" s="183" t="s">
        <v>1391</v>
      </c>
      <c r="E60" s="177"/>
      <c r="F60" s="742"/>
      <c r="G60" s="181"/>
      <c r="H60" s="181"/>
      <c r="I60" s="765"/>
      <c r="J60" s="916"/>
      <c r="K60" s="605"/>
      <c r="L60" s="325"/>
      <c r="M60" s="325"/>
      <c r="N60" s="325"/>
      <c r="O60" s="325"/>
      <c r="P60" s="325"/>
      <c r="Q60" s="325"/>
      <c r="R60" s="442"/>
      <c r="S60" s="182"/>
    </row>
    <row r="61" spans="1:19" s="158" customFormat="1" ht="27" customHeight="1">
      <c r="A61" s="356">
        <v>11</v>
      </c>
      <c r="B61" s="180" t="s">
        <v>1090</v>
      </c>
      <c r="C61" s="177" t="s">
        <v>1392</v>
      </c>
      <c r="D61" s="757" t="s">
        <v>1393</v>
      </c>
      <c r="E61" s="662" t="s">
        <v>210</v>
      </c>
      <c r="F61" s="740">
        <f>ROUND(SUM(F63:F63),3)</f>
        <v>1</v>
      </c>
      <c r="G61" s="664"/>
      <c r="H61" s="741">
        <f>ROUND(F61*G61,2)</f>
        <v>0</v>
      </c>
      <c r="I61" s="676" t="s">
        <v>112</v>
      </c>
      <c r="J61" s="758"/>
      <c r="L61" s="771"/>
      <c r="M61" s="916"/>
    </row>
    <row r="62" spans="1:19" s="135" customFormat="1" ht="27" customHeight="1">
      <c r="A62" s="179"/>
      <c r="B62" s="180"/>
      <c r="C62" s="177"/>
      <c r="D62" s="945" t="s">
        <v>1394</v>
      </c>
      <c r="E62" s="177"/>
      <c r="F62" s="742"/>
      <c r="G62" s="181"/>
      <c r="H62" s="181"/>
      <c r="I62" s="946"/>
      <c r="J62" s="905"/>
      <c r="K62" s="141"/>
      <c r="L62" s="141"/>
      <c r="M62" s="141"/>
      <c r="N62" s="141"/>
      <c r="O62" s="141"/>
      <c r="P62" s="141"/>
      <c r="Q62" s="141"/>
      <c r="R62" s="141"/>
      <c r="S62" s="141"/>
    </row>
    <row r="63" spans="1:19" s="135" customFormat="1" ht="13.5" customHeight="1">
      <c r="A63" s="179"/>
      <c r="B63" s="180"/>
      <c r="C63" s="177"/>
      <c r="D63" s="183" t="s">
        <v>1182</v>
      </c>
      <c r="E63" s="177"/>
      <c r="F63" s="742">
        <v>1</v>
      </c>
      <c r="G63" s="181"/>
      <c r="H63" s="181"/>
      <c r="I63" s="765"/>
      <c r="J63" s="947"/>
      <c r="K63" s="687"/>
      <c r="L63" s="325"/>
      <c r="M63" s="325"/>
      <c r="N63" s="325"/>
      <c r="O63" s="325"/>
      <c r="P63" s="325"/>
      <c r="Q63" s="325"/>
      <c r="R63" s="442"/>
      <c r="S63" s="182"/>
    </row>
    <row r="64" spans="1:19" s="135" customFormat="1" ht="13.5" customHeight="1">
      <c r="A64" s="179"/>
      <c r="B64" s="180"/>
      <c r="C64" s="177"/>
      <c r="D64" s="183" t="s">
        <v>1391</v>
      </c>
      <c r="E64" s="177"/>
      <c r="F64" s="742"/>
      <c r="G64" s="181"/>
      <c r="H64" s="181"/>
      <c r="I64" s="867"/>
      <c r="J64" s="947"/>
      <c r="K64" s="605"/>
      <c r="L64" s="325"/>
      <c r="M64" s="325"/>
      <c r="N64" s="325"/>
      <c r="O64" s="325"/>
      <c r="P64" s="325"/>
      <c r="Q64" s="325"/>
      <c r="R64" s="442"/>
      <c r="S64" s="182"/>
    </row>
    <row r="65" spans="1:19" s="158" customFormat="1" ht="27" customHeight="1">
      <c r="A65" s="356">
        <v>12</v>
      </c>
      <c r="B65" s="180" t="s">
        <v>1090</v>
      </c>
      <c r="C65" s="177" t="s">
        <v>1395</v>
      </c>
      <c r="D65" s="757" t="s">
        <v>1396</v>
      </c>
      <c r="E65" s="662" t="s">
        <v>210</v>
      </c>
      <c r="F65" s="740">
        <f>ROUND(SUM(F67:F67),3)</f>
        <v>1</v>
      </c>
      <c r="G65" s="664"/>
      <c r="H65" s="741">
        <f>ROUND(F65*G65,2)</f>
        <v>0</v>
      </c>
      <c r="I65" s="676" t="s">
        <v>112</v>
      </c>
      <c r="J65" s="758"/>
      <c r="L65" s="771"/>
      <c r="M65" s="916"/>
    </row>
    <row r="66" spans="1:19" s="135" customFormat="1" ht="27" customHeight="1">
      <c r="A66" s="179"/>
      <c r="B66" s="180"/>
      <c r="C66" s="177"/>
      <c r="D66" s="945" t="s">
        <v>1397</v>
      </c>
      <c r="E66" s="177"/>
      <c r="F66" s="742"/>
      <c r="G66" s="181"/>
      <c r="H66" s="181"/>
      <c r="I66" s="946"/>
      <c r="J66" s="905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s="135" customFormat="1" ht="13.5" customHeight="1">
      <c r="A67" s="179"/>
      <c r="B67" s="180"/>
      <c r="C67" s="177"/>
      <c r="D67" s="183" t="s">
        <v>1182</v>
      </c>
      <c r="E67" s="177"/>
      <c r="F67" s="742">
        <v>1</v>
      </c>
      <c r="G67" s="181"/>
      <c r="H67" s="181"/>
      <c r="I67" s="765"/>
      <c r="J67" s="947"/>
      <c r="K67" s="687"/>
      <c r="L67" s="325"/>
      <c r="M67" s="325"/>
      <c r="N67" s="325"/>
      <c r="O67" s="325"/>
      <c r="P67" s="325"/>
      <c r="Q67" s="325"/>
      <c r="R67" s="442"/>
      <c r="S67" s="182"/>
    </row>
    <row r="68" spans="1:19" s="135" customFormat="1" ht="13.5" customHeight="1">
      <c r="A68" s="179"/>
      <c r="B68" s="180"/>
      <c r="C68" s="177"/>
      <c r="D68" s="183" t="s">
        <v>1391</v>
      </c>
      <c r="E68" s="177"/>
      <c r="F68" s="742"/>
      <c r="G68" s="181"/>
      <c r="H68" s="181"/>
      <c r="I68" s="867"/>
      <c r="J68" s="947"/>
      <c r="K68" s="605"/>
      <c r="L68" s="325"/>
      <c r="M68" s="325"/>
      <c r="N68" s="325"/>
      <c r="O68" s="325"/>
      <c r="P68" s="325"/>
      <c r="Q68" s="325"/>
      <c r="R68" s="442"/>
      <c r="S68" s="182"/>
    </row>
    <row r="69" spans="1:19" s="158" customFormat="1" ht="27" customHeight="1">
      <c r="A69" s="356">
        <v>13</v>
      </c>
      <c r="B69" s="180" t="s">
        <v>1090</v>
      </c>
      <c r="C69" s="177" t="s">
        <v>1398</v>
      </c>
      <c r="D69" s="757" t="s">
        <v>1399</v>
      </c>
      <c r="E69" s="662" t="s">
        <v>210</v>
      </c>
      <c r="F69" s="740">
        <f>ROUND(SUM(F71),3)</f>
        <v>2</v>
      </c>
      <c r="G69" s="664"/>
      <c r="H69" s="741">
        <f>ROUND(F69*G69,2)</f>
        <v>0</v>
      </c>
      <c r="I69" s="676" t="s">
        <v>112</v>
      </c>
      <c r="J69" s="758"/>
      <c r="K69" s="763"/>
      <c r="L69" s="760"/>
      <c r="M69" s="761"/>
      <c r="N69" s="762"/>
      <c r="O69" s="763"/>
    </row>
    <row r="70" spans="1:19" s="135" customFormat="1" ht="27" customHeight="1">
      <c r="A70" s="179"/>
      <c r="B70" s="180"/>
      <c r="C70" s="177"/>
      <c r="D70" s="183" t="s">
        <v>1400</v>
      </c>
      <c r="E70" s="177"/>
      <c r="F70" s="742"/>
      <c r="G70" s="181"/>
      <c r="H70" s="181"/>
      <c r="I70" s="765"/>
      <c r="J70" s="916"/>
      <c r="K70" s="605"/>
      <c r="L70" s="325"/>
      <c r="M70" s="325"/>
      <c r="N70" s="325"/>
      <c r="O70" s="325"/>
      <c r="P70" s="325"/>
      <c r="Q70" s="325"/>
      <c r="R70" s="442"/>
      <c r="S70" s="182"/>
    </row>
    <row r="71" spans="1:19" s="135" customFormat="1" ht="13.5" customHeight="1">
      <c r="A71" s="179"/>
      <c r="B71" s="180"/>
      <c r="C71" s="177"/>
      <c r="D71" s="183" t="s">
        <v>1384</v>
      </c>
      <c r="E71" s="177"/>
      <c r="F71" s="742">
        <v>2</v>
      </c>
      <c r="G71" s="181"/>
      <c r="H71" s="181"/>
      <c r="I71" s="765"/>
      <c r="J71" s="916"/>
      <c r="K71" s="605"/>
      <c r="L71" s="325"/>
      <c r="M71" s="325"/>
      <c r="N71" s="325"/>
      <c r="O71" s="325"/>
      <c r="P71" s="325"/>
      <c r="Q71" s="325"/>
      <c r="R71" s="442"/>
      <c r="S71" s="182"/>
    </row>
    <row r="72" spans="1:19" s="135" customFormat="1" ht="13.5" customHeight="1">
      <c r="A72" s="179"/>
      <c r="B72" s="180"/>
      <c r="C72" s="177"/>
      <c r="D72" s="183" t="s">
        <v>1391</v>
      </c>
      <c r="E72" s="177"/>
      <c r="F72" s="742"/>
      <c r="G72" s="181"/>
      <c r="H72" s="181"/>
      <c r="I72" s="765"/>
      <c r="J72" s="916"/>
      <c r="K72" s="605"/>
      <c r="L72" s="325"/>
      <c r="M72" s="325"/>
      <c r="N72" s="325"/>
      <c r="O72" s="325"/>
      <c r="P72" s="325"/>
      <c r="Q72" s="325"/>
      <c r="R72" s="442"/>
      <c r="S72" s="182"/>
    </row>
    <row r="73" spans="1:19" s="158" customFormat="1" ht="27" customHeight="1">
      <c r="A73" s="356">
        <v>14</v>
      </c>
      <c r="B73" s="180" t="s">
        <v>1090</v>
      </c>
      <c r="C73" s="177" t="s">
        <v>1401</v>
      </c>
      <c r="D73" s="757" t="s">
        <v>1402</v>
      </c>
      <c r="E73" s="662" t="s">
        <v>49</v>
      </c>
      <c r="F73" s="740">
        <f>ROUND(SUM(F75:F75),3)</f>
        <v>1</v>
      </c>
      <c r="G73" s="664"/>
      <c r="H73" s="741">
        <f>ROUND(F73*G73,2)</f>
        <v>0</v>
      </c>
      <c r="I73" s="676" t="s">
        <v>112</v>
      </c>
      <c r="J73" s="758"/>
      <c r="K73" s="763"/>
      <c r="L73" s="760"/>
      <c r="M73" s="761"/>
      <c r="N73" s="762"/>
      <c r="O73" s="763"/>
    </row>
    <row r="74" spans="1:19" s="135" customFormat="1" ht="13.5" customHeight="1">
      <c r="A74" s="179"/>
      <c r="B74" s="180"/>
      <c r="C74" s="177"/>
      <c r="D74" s="183" t="s">
        <v>1403</v>
      </c>
      <c r="E74" s="177"/>
      <c r="F74" s="742"/>
      <c r="G74" s="181"/>
      <c r="H74" s="181"/>
      <c r="I74" s="765"/>
      <c r="J74" s="905"/>
      <c r="K74" s="633"/>
      <c r="L74" s="141"/>
      <c r="M74" s="141"/>
      <c r="N74" s="141"/>
      <c r="O74" s="141"/>
      <c r="P74" s="141"/>
      <c r="Q74" s="141"/>
      <c r="R74" s="141"/>
      <c r="S74" s="843"/>
    </row>
    <row r="75" spans="1:19" s="135" customFormat="1" ht="13.5" customHeight="1">
      <c r="A75" s="179"/>
      <c r="B75" s="180"/>
      <c r="C75" s="177"/>
      <c r="D75" s="183" t="s">
        <v>1182</v>
      </c>
      <c r="E75" s="177"/>
      <c r="F75" s="742">
        <v>1</v>
      </c>
      <c r="G75" s="181"/>
      <c r="H75" s="181"/>
      <c r="I75" s="765"/>
      <c r="J75" s="905"/>
      <c r="K75" s="605"/>
      <c r="L75" s="325"/>
      <c r="M75" s="325"/>
      <c r="N75" s="325"/>
      <c r="O75" s="325"/>
      <c r="P75" s="325"/>
      <c r="Q75" s="325"/>
      <c r="R75" s="442"/>
      <c r="S75" s="182"/>
    </row>
    <row r="76" spans="1:19" s="135" customFormat="1" ht="13.5" customHeight="1">
      <c r="A76" s="179"/>
      <c r="B76" s="180"/>
      <c r="C76" s="177"/>
      <c r="D76" s="183" t="s">
        <v>1391</v>
      </c>
      <c r="E76" s="177"/>
      <c r="F76" s="742"/>
      <c r="G76" s="181"/>
      <c r="H76" s="181"/>
      <c r="I76" s="765"/>
      <c r="J76" s="916"/>
      <c r="K76" s="605"/>
      <c r="L76" s="325"/>
      <c r="M76" s="325"/>
      <c r="N76" s="325"/>
      <c r="O76" s="325"/>
      <c r="P76" s="325"/>
      <c r="Q76" s="325"/>
      <c r="R76" s="442"/>
      <c r="S76" s="182"/>
    </row>
    <row r="77" spans="1:19" s="158" customFormat="1" ht="27" customHeight="1">
      <c r="A77" s="356">
        <v>15</v>
      </c>
      <c r="B77" s="180" t="s">
        <v>1090</v>
      </c>
      <c r="C77" s="177" t="s">
        <v>1404</v>
      </c>
      <c r="D77" s="757" t="s">
        <v>1405</v>
      </c>
      <c r="E77" s="662" t="s">
        <v>142</v>
      </c>
      <c r="F77" s="740">
        <f>ROUND(SUM(F79:F79),3)</f>
        <v>7.5</v>
      </c>
      <c r="G77" s="664"/>
      <c r="H77" s="741">
        <f>ROUND(F77*G77,2)</f>
        <v>0</v>
      </c>
      <c r="I77" s="676" t="s">
        <v>112</v>
      </c>
      <c r="J77" s="758"/>
      <c r="K77" s="763"/>
      <c r="L77" s="760"/>
      <c r="M77" s="761"/>
      <c r="N77" s="762"/>
      <c r="O77" s="763"/>
    </row>
    <row r="78" spans="1:19" s="135" customFormat="1" ht="54" customHeight="1">
      <c r="A78" s="179"/>
      <c r="B78" s="180"/>
      <c r="C78" s="177"/>
      <c r="D78" s="183" t="s">
        <v>1406</v>
      </c>
      <c r="E78" s="177"/>
      <c r="F78" s="742"/>
      <c r="G78" s="181"/>
      <c r="H78" s="181"/>
      <c r="I78" s="765"/>
      <c r="J78" s="905"/>
      <c r="K78" s="633"/>
      <c r="L78" s="141"/>
      <c r="M78" s="141"/>
      <c r="N78" s="141"/>
      <c r="O78" s="141"/>
      <c r="P78" s="141"/>
      <c r="Q78" s="141"/>
      <c r="R78" s="141"/>
      <c r="S78" s="843"/>
    </row>
    <row r="79" spans="1:19" s="135" customFormat="1" ht="13.5" customHeight="1">
      <c r="A79" s="179"/>
      <c r="B79" s="180"/>
      <c r="C79" s="177"/>
      <c r="D79" s="183" t="s">
        <v>1182</v>
      </c>
      <c r="E79" s="177"/>
      <c r="F79" s="742">
        <v>7.5</v>
      </c>
      <c r="G79" s="181"/>
      <c r="H79" s="181"/>
      <c r="I79" s="765"/>
      <c r="J79" s="916"/>
      <c r="K79" s="605"/>
      <c r="L79" s="325"/>
      <c r="M79" s="325"/>
      <c r="N79" s="325"/>
      <c r="O79" s="325"/>
      <c r="P79" s="325"/>
      <c r="Q79" s="325"/>
      <c r="R79" s="442"/>
      <c r="S79" s="182"/>
    </row>
    <row r="80" spans="1:19" s="135" customFormat="1" ht="13.5" customHeight="1">
      <c r="A80" s="179"/>
      <c r="B80" s="180"/>
      <c r="C80" s="177"/>
      <c r="D80" s="183" t="s">
        <v>1391</v>
      </c>
      <c r="E80" s="177"/>
      <c r="F80" s="742"/>
      <c r="G80" s="181"/>
      <c r="H80" s="181"/>
      <c r="I80" s="765"/>
      <c r="J80" s="916"/>
      <c r="K80" s="605"/>
      <c r="L80" s="325"/>
      <c r="M80" s="325"/>
      <c r="N80" s="325"/>
      <c r="O80" s="325"/>
      <c r="P80" s="325"/>
      <c r="Q80" s="325"/>
      <c r="R80" s="442"/>
      <c r="S80" s="182"/>
    </row>
    <row r="81" spans="1:19" s="158" customFormat="1" ht="27" customHeight="1">
      <c r="A81" s="356">
        <v>16</v>
      </c>
      <c r="B81" s="180" t="s">
        <v>1090</v>
      </c>
      <c r="C81" s="177" t="s">
        <v>1407</v>
      </c>
      <c r="D81" s="757" t="s">
        <v>1408</v>
      </c>
      <c r="E81" s="662" t="s">
        <v>142</v>
      </c>
      <c r="F81" s="740">
        <f>ROUND(SUM(F83:F83),3)</f>
        <v>10.15</v>
      </c>
      <c r="G81" s="664"/>
      <c r="H81" s="741">
        <f>ROUND(F81*G81,2)</f>
        <v>0</v>
      </c>
      <c r="I81" s="676" t="s">
        <v>112</v>
      </c>
      <c r="J81" s="758"/>
      <c r="K81" s="763"/>
      <c r="L81" s="760"/>
      <c r="M81" s="761"/>
      <c r="N81" s="762"/>
      <c r="O81" s="763"/>
    </row>
    <row r="82" spans="1:19" s="135" customFormat="1" ht="40.5" customHeight="1">
      <c r="A82" s="179"/>
      <c r="B82" s="180"/>
      <c r="C82" s="177"/>
      <c r="D82" s="183" t="s">
        <v>1409</v>
      </c>
      <c r="E82" s="177"/>
      <c r="F82" s="742"/>
      <c r="G82" s="181"/>
      <c r="H82" s="181"/>
      <c r="I82" s="765"/>
      <c r="J82" s="905"/>
      <c r="K82" s="633"/>
      <c r="L82" s="141"/>
      <c r="M82" s="141"/>
      <c r="N82" s="141"/>
      <c r="O82" s="141"/>
      <c r="P82" s="141"/>
      <c r="Q82" s="141"/>
      <c r="R82" s="141"/>
      <c r="S82" s="843"/>
    </row>
    <row r="83" spans="1:19" s="135" customFormat="1" ht="13.5" customHeight="1">
      <c r="A83" s="179"/>
      <c r="B83" s="180"/>
      <c r="C83" s="177"/>
      <c r="D83" s="183" t="s">
        <v>1182</v>
      </c>
      <c r="E83" s="177"/>
      <c r="F83" s="742">
        <v>10.15</v>
      </c>
      <c r="G83" s="181"/>
      <c r="H83" s="181"/>
      <c r="I83" s="765"/>
      <c r="J83" s="916"/>
      <c r="K83" s="605"/>
      <c r="L83" s="325"/>
      <c r="M83" s="325"/>
      <c r="N83" s="325"/>
      <c r="O83" s="325"/>
      <c r="P83" s="325"/>
      <c r="Q83" s="325"/>
      <c r="R83" s="442"/>
      <c r="S83" s="182"/>
    </row>
    <row r="84" spans="1:19" s="135" customFormat="1" ht="13.5" customHeight="1">
      <c r="A84" s="179"/>
      <c r="B84" s="180"/>
      <c r="C84" s="177"/>
      <c r="D84" s="183" t="s">
        <v>1391</v>
      </c>
      <c r="E84" s="177"/>
      <c r="F84" s="742"/>
      <c r="G84" s="181"/>
      <c r="H84" s="181"/>
      <c r="I84" s="765"/>
      <c r="J84" s="916"/>
      <c r="K84" s="605"/>
      <c r="L84" s="325"/>
      <c r="M84" s="325"/>
      <c r="N84" s="325"/>
      <c r="O84" s="325"/>
      <c r="P84" s="325"/>
      <c r="Q84" s="325"/>
      <c r="R84" s="442"/>
      <c r="S84" s="182"/>
    </row>
    <row r="85" spans="1:19" s="158" customFormat="1" ht="27" customHeight="1">
      <c r="A85" s="356">
        <v>17</v>
      </c>
      <c r="B85" s="180" t="s">
        <v>1090</v>
      </c>
      <c r="C85" s="177" t="s">
        <v>1410</v>
      </c>
      <c r="D85" s="757" t="s">
        <v>1411</v>
      </c>
      <c r="E85" s="662" t="s">
        <v>1328</v>
      </c>
      <c r="F85" s="740">
        <f>ROUND(SUM(F87),3)</f>
        <v>1</v>
      </c>
      <c r="G85" s="664"/>
      <c r="H85" s="741">
        <f>ROUND(F85*G85,2)</f>
        <v>0</v>
      </c>
      <c r="I85" s="676" t="s">
        <v>112</v>
      </c>
      <c r="J85" s="758"/>
      <c r="K85" s="763"/>
      <c r="L85" s="760"/>
      <c r="M85" s="761"/>
      <c r="N85" s="762"/>
      <c r="O85" s="763"/>
    </row>
    <row r="86" spans="1:19" s="135" customFormat="1" ht="13.5" customHeight="1">
      <c r="A86" s="179"/>
      <c r="B86" s="180"/>
      <c r="C86" s="177"/>
      <c r="D86" s="183" t="s">
        <v>1412</v>
      </c>
      <c r="E86" s="177"/>
      <c r="F86" s="742"/>
      <c r="G86" s="181"/>
      <c r="H86" s="181"/>
      <c r="I86" s="765"/>
      <c r="J86" s="905"/>
      <c r="K86" s="633"/>
      <c r="L86" s="141"/>
      <c r="M86" s="141"/>
      <c r="N86" s="141"/>
      <c r="O86" s="141"/>
      <c r="P86" s="141"/>
      <c r="Q86" s="141"/>
      <c r="R86" s="141"/>
      <c r="S86" s="843"/>
    </row>
    <row r="87" spans="1:19" s="135" customFormat="1" ht="13.5" customHeight="1">
      <c r="A87" s="179"/>
      <c r="B87" s="180"/>
      <c r="C87" s="177"/>
      <c r="D87" s="183" t="s">
        <v>1182</v>
      </c>
      <c r="E87" s="177"/>
      <c r="F87" s="742">
        <v>1</v>
      </c>
      <c r="G87" s="181"/>
      <c r="H87" s="181"/>
      <c r="I87" s="765"/>
      <c r="J87" s="916"/>
      <c r="K87" s="605"/>
      <c r="L87" s="325"/>
      <c r="M87" s="325"/>
      <c r="N87" s="325"/>
      <c r="O87" s="325"/>
      <c r="P87" s="325"/>
      <c r="Q87" s="325"/>
      <c r="R87" s="442"/>
      <c r="S87" s="182"/>
    </row>
    <row r="88" spans="1:19" s="135" customFormat="1" ht="13.5" customHeight="1">
      <c r="A88" s="179"/>
      <c r="B88" s="180"/>
      <c r="C88" s="177"/>
      <c r="D88" s="183" t="s">
        <v>1391</v>
      </c>
      <c r="E88" s="177"/>
      <c r="F88" s="742"/>
      <c r="G88" s="181"/>
      <c r="H88" s="181"/>
      <c r="I88" s="765"/>
      <c r="J88" s="916"/>
      <c r="K88" s="605"/>
      <c r="L88" s="325"/>
      <c r="M88" s="325"/>
      <c r="N88" s="325"/>
      <c r="O88" s="325"/>
      <c r="P88" s="325"/>
      <c r="Q88" s="325"/>
      <c r="R88" s="442"/>
      <c r="S88" s="182"/>
    </row>
    <row r="89" spans="1:19" s="158" customFormat="1" ht="27" customHeight="1">
      <c r="A89" s="356">
        <v>18</v>
      </c>
      <c r="B89" s="180" t="s">
        <v>1090</v>
      </c>
      <c r="C89" s="177" t="s">
        <v>1413</v>
      </c>
      <c r="D89" s="757" t="s">
        <v>1414</v>
      </c>
      <c r="E89" s="662" t="s">
        <v>1328</v>
      </c>
      <c r="F89" s="740">
        <f>ROUND(SUM(F91),3)</f>
        <v>4</v>
      </c>
      <c r="G89" s="664"/>
      <c r="H89" s="741">
        <f>ROUND(F89*G89,2)</f>
        <v>0</v>
      </c>
      <c r="I89" s="676" t="s">
        <v>112</v>
      </c>
      <c r="J89" s="758"/>
      <c r="K89" s="763"/>
      <c r="L89" s="760"/>
      <c r="M89" s="761"/>
      <c r="N89" s="762"/>
      <c r="O89" s="763"/>
    </row>
    <row r="90" spans="1:19" s="135" customFormat="1" ht="13.5" customHeight="1">
      <c r="A90" s="179"/>
      <c r="B90" s="180"/>
      <c r="C90" s="177"/>
      <c r="D90" s="183" t="s">
        <v>1415</v>
      </c>
      <c r="E90" s="177"/>
      <c r="F90" s="742"/>
      <c r="G90" s="181"/>
      <c r="H90" s="181"/>
      <c r="I90" s="765"/>
      <c r="J90" s="905"/>
      <c r="K90" s="633"/>
      <c r="L90" s="141"/>
      <c r="M90" s="141"/>
      <c r="N90" s="141"/>
      <c r="O90" s="141"/>
      <c r="P90" s="141"/>
      <c r="Q90" s="141"/>
      <c r="R90" s="141"/>
      <c r="S90" s="843"/>
    </row>
    <row r="91" spans="1:19" s="135" customFormat="1" ht="13.5" customHeight="1">
      <c r="A91" s="179"/>
      <c r="B91" s="180"/>
      <c r="C91" s="177"/>
      <c r="D91" s="183" t="s">
        <v>1416</v>
      </c>
      <c r="E91" s="177"/>
      <c r="F91" s="742">
        <v>4</v>
      </c>
      <c r="G91" s="181"/>
      <c r="H91" s="181"/>
      <c r="I91" s="765"/>
      <c r="J91" s="916"/>
      <c r="K91" s="605"/>
      <c r="L91" s="325"/>
      <c r="M91" s="325"/>
      <c r="N91" s="325"/>
      <c r="O91" s="325"/>
      <c r="P91" s="325"/>
      <c r="Q91" s="325"/>
      <c r="R91" s="442"/>
      <c r="S91" s="182"/>
    </row>
    <row r="92" spans="1:19" s="135" customFormat="1" ht="13.5" customHeight="1">
      <c r="A92" s="179"/>
      <c r="B92" s="180"/>
      <c r="C92" s="177"/>
      <c r="D92" s="183" t="s">
        <v>1391</v>
      </c>
      <c r="E92" s="177"/>
      <c r="F92" s="742"/>
      <c r="G92" s="181"/>
      <c r="H92" s="181"/>
      <c r="I92" s="765"/>
      <c r="J92" s="916"/>
      <c r="K92" s="605"/>
      <c r="L92" s="325"/>
      <c r="M92" s="325"/>
      <c r="N92" s="325"/>
      <c r="O92" s="325"/>
      <c r="P92" s="325"/>
      <c r="Q92" s="325"/>
      <c r="R92" s="442"/>
      <c r="S92" s="182"/>
    </row>
    <row r="93" spans="1:19" s="158" customFormat="1" ht="27" customHeight="1">
      <c r="A93" s="356">
        <v>19</v>
      </c>
      <c r="B93" s="180" t="s">
        <v>1090</v>
      </c>
      <c r="C93" s="177" t="s">
        <v>1417</v>
      </c>
      <c r="D93" s="757" t="s">
        <v>1418</v>
      </c>
      <c r="E93" s="662" t="s">
        <v>1328</v>
      </c>
      <c r="F93" s="740">
        <f>ROUND(SUM(F95),3)</f>
        <v>1</v>
      </c>
      <c r="G93" s="664"/>
      <c r="H93" s="741">
        <f>ROUND(F93*G93,2)</f>
        <v>0</v>
      </c>
      <c r="I93" s="676" t="s">
        <v>112</v>
      </c>
      <c r="J93" s="758"/>
      <c r="K93" s="763"/>
      <c r="L93" s="760"/>
      <c r="M93" s="761"/>
      <c r="N93" s="762"/>
      <c r="O93" s="763"/>
    </row>
    <row r="94" spans="1:19" s="135" customFormat="1" ht="13.5" customHeight="1">
      <c r="A94" s="179"/>
      <c r="B94" s="180"/>
      <c r="C94" s="177"/>
      <c r="D94" s="183" t="s">
        <v>1415</v>
      </c>
      <c r="E94" s="177"/>
      <c r="F94" s="742"/>
      <c r="G94" s="181"/>
      <c r="H94" s="181"/>
      <c r="I94" s="765"/>
      <c r="J94" s="905"/>
      <c r="K94" s="633"/>
      <c r="L94" s="141"/>
      <c r="M94" s="141"/>
      <c r="N94" s="141"/>
      <c r="O94" s="141"/>
      <c r="P94" s="141"/>
      <c r="Q94" s="141"/>
      <c r="R94" s="141"/>
      <c r="S94" s="843"/>
    </row>
    <row r="95" spans="1:19" s="135" customFormat="1" ht="13.5" customHeight="1">
      <c r="A95" s="179"/>
      <c r="B95" s="180"/>
      <c r="C95" s="177"/>
      <c r="D95" s="183" t="s">
        <v>1416</v>
      </c>
      <c r="E95" s="177"/>
      <c r="F95" s="742">
        <v>1</v>
      </c>
      <c r="G95" s="181"/>
      <c r="H95" s="181"/>
      <c r="I95" s="765"/>
      <c r="J95" s="916"/>
      <c r="K95" s="605"/>
      <c r="L95" s="325"/>
      <c r="M95" s="325"/>
      <c r="N95" s="325"/>
      <c r="O95" s="325"/>
      <c r="P95" s="325"/>
      <c r="Q95" s="325"/>
      <c r="R95" s="442"/>
      <c r="S95" s="182"/>
    </row>
    <row r="96" spans="1:19" s="135" customFormat="1" ht="13.5" customHeight="1">
      <c r="A96" s="179"/>
      <c r="B96" s="180"/>
      <c r="C96" s="177"/>
      <c r="D96" s="183" t="s">
        <v>1391</v>
      </c>
      <c r="E96" s="177"/>
      <c r="F96" s="742"/>
      <c r="G96" s="181"/>
      <c r="H96" s="181"/>
      <c r="I96" s="765"/>
      <c r="J96" s="916"/>
      <c r="K96" s="605"/>
      <c r="L96" s="325"/>
      <c r="M96" s="325"/>
      <c r="N96" s="325"/>
      <c r="O96" s="325"/>
      <c r="P96" s="325"/>
      <c r="Q96" s="325"/>
      <c r="R96" s="442"/>
      <c r="S96" s="182"/>
    </row>
    <row r="97" spans="1:62" s="158" customFormat="1" ht="13.5" customHeight="1">
      <c r="A97" s="356">
        <v>20</v>
      </c>
      <c r="B97" s="180" t="s">
        <v>1090</v>
      </c>
      <c r="C97" s="177">
        <v>998767202</v>
      </c>
      <c r="D97" s="177" t="s">
        <v>1091</v>
      </c>
      <c r="E97" s="357" t="s">
        <v>10</v>
      </c>
      <c r="F97" s="768">
        <v>0.98</v>
      </c>
      <c r="G97" s="664"/>
      <c r="H97" s="741">
        <f>ROUND(F97*G97,2)</f>
        <v>0</v>
      </c>
      <c r="I97" s="676" t="s">
        <v>138</v>
      </c>
      <c r="J97" s="769"/>
      <c r="L97" s="771"/>
      <c r="M97" s="761"/>
    </row>
    <row r="98" spans="1:62" s="158" customFormat="1" ht="13.5" customHeight="1">
      <c r="A98" s="356">
        <v>21</v>
      </c>
      <c r="B98" s="180" t="s">
        <v>369</v>
      </c>
      <c r="C98" s="177" t="s">
        <v>1092</v>
      </c>
      <c r="D98" s="177" t="s">
        <v>1093</v>
      </c>
      <c r="E98" s="357" t="s">
        <v>69</v>
      </c>
      <c r="F98" s="740">
        <f>ROUND(SUM(F99),3)</f>
        <v>15</v>
      </c>
      <c r="G98" s="664"/>
      <c r="H98" s="741">
        <f>ROUND(F98*G98,2)</f>
        <v>0</v>
      </c>
      <c r="I98" s="676" t="s">
        <v>138</v>
      </c>
      <c r="J98" s="758"/>
      <c r="L98" s="771"/>
      <c r="M98" s="761"/>
    </row>
    <row r="99" spans="1:62" s="135" customFormat="1" ht="13.5" customHeight="1">
      <c r="A99" s="179"/>
      <c r="B99" s="180"/>
      <c r="C99" s="177"/>
      <c r="D99" s="183" t="s">
        <v>1419</v>
      </c>
      <c r="E99" s="177"/>
      <c r="F99" s="742">
        <v>15</v>
      </c>
      <c r="G99" s="181"/>
      <c r="H99" s="181"/>
      <c r="I99" s="867"/>
      <c r="J99" s="947"/>
      <c r="K99" s="605"/>
      <c r="L99" s="325"/>
      <c r="M99" s="325"/>
      <c r="N99" s="325"/>
      <c r="O99" s="325"/>
      <c r="P99" s="325"/>
      <c r="Q99" s="325"/>
      <c r="R99" s="442"/>
      <c r="S99" s="182"/>
    </row>
    <row r="100" spans="1:62" s="135" customFormat="1" ht="13.5" customHeight="1">
      <c r="A100" s="179"/>
      <c r="B100" s="180"/>
      <c r="C100" s="177"/>
      <c r="D100" s="183" t="s">
        <v>540</v>
      </c>
      <c r="E100" s="177"/>
      <c r="F100" s="742"/>
      <c r="G100" s="181"/>
      <c r="H100" s="181"/>
      <c r="I100" s="867"/>
      <c r="J100" s="947"/>
      <c r="K100" s="605"/>
      <c r="L100" s="325"/>
      <c r="M100" s="325"/>
      <c r="N100" s="325"/>
      <c r="O100" s="325"/>
      <c r="P100" s="325"/>
      <c r="Q100" s="325"/>
      <c r="R100" s="442"/>
      <c r="S100" s="182"/>
    </row>
    <row r="101" spans="1:62" s="135" customFormat="1" ht="21" customHeight="1">
      <c r="A101" s="496"/>
      <c r="B101" s="497"/>
      <c r="C101" s="497"/>
      <c r="D101" s="497" t="s">
        <v>0</v>
      </c>
      <c r="E101" s="497"/>
      <c r="F101" s="948"/>
      <c r="G101" s="781"/>
      <c r="H101" s="781">
        <f>H8</f>
        <v>0</v>
      </c>
      <c r="J101" s="905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</row>
    <row r="102" spans="1:62">
      <c r="J102" s="321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</row>
    <row r="103" spans="1:62" ht="13.5" customHeight="1">
      <c r="A103" s="3038" t="s">
        <v>875</v>
      </c>
      <c r="B103" s="3067"/>
      <c r="C103" s="3068"/>
      <c r="D103" s="500" t="s">
        <v>1420</v>
      </c>
      <c r="E103" s="501"/>
      <c r="F103" s="950"/>
      <c r="G103" s="785"/>
      <c r="H103" s="786">
        <f>H101</f>
        <v>0</v>
      </c>
      <c r="J103" s="951"/>
    </row>
    <row r="104" spans="1:62">
      <c r="J104" s="952"/>
      <c r="L104" s="789"/>
      <c r="M104" s="790"/>
      <c r="N104" s="791"/>
      <c r="O104" s="792"/>
      <c r="P104" s="735"/>
      <c r="Q104" s="735"/>
      <c r="R104" s="135"/>
      <c r="S104" s="146"/>
      <c r="T104" s="147"/>
      <c r="U104" s="789"/>
      <c r="V104" s="790"/>
      <c r="W104" s="791"/>
      <c r="X104" s="792"/>
      <c r="Y104" s="735"/>
      <c r="Z104" s="735"/>
      <c r="AA104" s="135"/>
      <c r="AB104" s="146"/>
      <c r="AC104" s="147"/>
      <c r="AD104" s="789"/>
      <c r="AE104" s="790"/>
      <c r="AF104" s="791"/>
      <c r="AG104" s="792"/>
      <c r="AH104" s="735"/>
      <c r="AI104" s="735"/>
      <c r="AJ104" s="135"/>
      <c r="AK104" s="146"/>
      <c r="AL104" s="147"/>
      <c r="AM104" s="789"/>
      <c r="AN104" s="790"/>
      <c r="AO104" s="791"/>
      <c r="AP104" s="792"/>
      <c r="AQ104" s="735"/>
      <c r="AR104" s="735"/>
      <c r="AS104" s="135"/>
      <c r="AT104" s="146"/>
      <c r="AU104" s="147"/>
      <c r="AV104" s="789"/>
      <c r="AW104" s="790"/>
      <c r="AX104" s="791"/>
      <c r="AY104" s="792"/>
      <c r="AZ104" s="735"/>
      <c r="BA104" s="735"/>
      <c r="BB104" s="135"/>
      <c r="BC104" s="146"/>
      <c r="BD104" s="147"/>
      <c r="BE104" s="789"/>
      <c r="BF104" s="790"/>
      <c r="BG104" s="791"/>
      <c r="BH104" s="792"/>
      <c r="BI104" s="735"/>
      <c r="BJ104" s="735"/>
    </row>
    <row r="105" spans="1:62">
      <c r="A105" s="129" t="s">
        <v>1</v>
      </c>
      <c r="B105" s="130"/>
      <c r="C105" s="129"/>
      <c r="D105" s="129"/>
      <c r="E105" s="129"/>
      <c r="F105" s="129"/>
      <c r="G105" s="129"/>
      <c r="H105" s="129"/>
      <c r="I105" s="182"/>
      <c r="J105" s="953"/>
      <c r="L105" s="789"/>
      <c r="M105" s="790"/>
      <c r="N105" s="791"/>
      <c r="O105" s="792"/>
      <c r="P105" s="735"/>
      <c r="Q105" s="735"/>
      <c r="R105" s="135"/>
      <c r="S105" s="146"/>
      <c r="T105" s="147"/>
      <c r="U105" s="789"/>
      <c r="V105" s="790"/>
      <c r="W105" s="791"/>
      <c r="X105" s="792"/>
      <c r="Y105" s="735"/>
      <c r="Z105" s="735"/>
      <c r="AA105" s="135"/>
      <c r="AB105" s="146"/>
      <c r="AC105" s="147"/>
      <c r="AD105" s="789"/>
      <c r="AE105" s="790"/>
      <c r="AF105" s="791"/>
      <c r="AG105" s="792"/>
      <c r="AH105" s="735"/>
      <c r="AI105" s="735"/>
      <c r="AJ105" s="135"/>
      <c r="AK105" s="146"/>
      <c r="AL105" s="147"/>
      <c r="AM105" s="789"/>
      <c r="AN105" s="790"/>
      <c r="AO105" s="791"/>
      <c r="AP105" s="792"/>
      <c r="AQ105" s="735"/>
      <c r="AR105" s="735"/>
      <c r="AS105" s="135"/>
      <c r="AT105" s="146"/>
      <c r="AU105" s="147"/>
      <c r="AV105" s="789"/>
      <c r="AW105" s="790"/>
      <c r="AX105" s="791"/>
      <c r="AY105" s="792"/>
      <c r="AZ105" s="735"/>
      <c r="BA105" s="735"/>
      <c r="BB105" s="135"/>
      <c r="BC105" s="146"/>
      <c r="BD105" s="147"/>
      <c r="BE105" s="789"/>
      <c r="BF105" s="790"/>
      <c r="BG105" s="791"/>
      <c r="BH105" s="792"/>
      <c r="BI105" s="735"/>
      <c r="BJ105" s="735"/>
    </row>
    <row r="106" spans="1:62" ht="27" customHeight="1">
      <c r="A106" s="3018" t="s">
        <v>1125</v>
      </c>
      <c r="B106" s="3037"/>
      <c r="C106" s="3037"/>
      <c r="D106" s="3037"/>
      <c r="E106" s="3037"/>
      <c r="F106" s="3037"/>
      <c r="G106" s="3037"/>
      <c r="H106" s="129"/>
      <c r="I106" s="795"/>
      <c r="J106" s="954"/>
      <c r="L106" s="789"/>
      <c r="M106" s="790"/>
      <c r="N106" s="791"/>
      <c r="O106" s="792"/>
      <c r="P106" s="735"/>
      <c r="Q106" s="735"/>
      <c r="R106" s="135"/>
      <c r="S106" s="146"/>
      <c r="T106" s="147"/>
      <c r="U106" s="789"/>
      <c r="V106" s="790"/>
      <c r="W106" s="791"/>
      <c r="X106" s="792"/>
      <c r="Y106" s="735"/>
      <c r="Z106" s="735"/>
      <c r="AA106" s="135"/>
      <c r="AB106" s="146"/>
      <c r="AC106" s="147"/>
      <c r="AD106" s="789"/>
      <c r="AE106" s="790"/>
      <c r="AF106" s="791"/>
      <c r="AG106" s="792"/>
      <c r="AH106" s="735"/>
      <c r="AI106" s="735"/>
      <c r="AJ106" s="135"/>
      <c r="AK106" s="146"/>
      <c r="AL106" s="147"/>
      <c r="AM106" s="789"/>
      <c r="AN106" s="790"/>
      <c r="AO106" s="791"/>
      <c r="AP106" s="792"/>
      <c r="AQ106" s="735"/>
      <c r="AR106" s="735"/>
      <c r="AS106" s="135"/>
      <c r="AT106" s="146"/>
      <c r="AU106" s="147"/>
      <c r="AV106" s="789"/>
      <c r="AW106" s="790"/>
      <c r="AX106" s="791"/>
      <c r="AY106" s="792"/>
      <c r="AZ106" s="735"/>
      <c r="BA106" s="735"/>
      <c r="BB106" s="135"/>
      <c r="BC106" s="146"/>
      <c r="BD106" s="147"/>
      <c r="BE106" s="789"/>
      <c r="BF106" s="790"/>
      <c r="BG106" s="791"/>
      <c r="BH106" s="792"/>
      <c r="BI106" s="735"/>
      <c r="BJ106" s="735"/>
    </row>
    <row r="107" spans="1:62" ht="90" customHeight="1">
      <c r="A107" s="3018" t="s">
        <v>1126</v>
      </c>
      <c r="B107" s="3041"/>
      <c r="C107" s="3041"/>
      <c r="D107" s="3041"/>
      <c r="E107" s="3041"/>
      <c r="F107" s="3041"/>
      <c r="G107" s="3041"/>
      <c r="H107" s="129"/>
      <c r="I107" s="129"/>
      <c r="J107" s="951"/>
      <c r="L107" s="789"/>
      <c r="M107" s="790"/>
      <c r="N107" s="791"/>
      <c r="O107" s="792"/>
      <c r="P107" s="735"/>
      <c r="Q107" s="735"/>
      <c r="R107" s="135"/>
      <c r="S107" s="146"/>
      <c r="T107" s="147"/>
      <c r="U107" s="789"/>
      <c r="V107" s="790"/>
      <c r="W107" s="791"/>
      <c r="X107" s="792"/>
      <c r="Y107" s="735"/>
      <c r="Z107" s="735"/>
      <c r="AA107" s="135"/>
      <c r="AB107" s="146"/>
      <c r="AC107" s="147"/>
      <c r="AD107" s="789"/>
      <c r="AE107" s="790"/>
      <c r="AF107" s="791"/>
      <c r="AG107" s="792"/>
      <c r="AH107" s="735"/>
      <c r="AI107" s="735"/>
      <c r="AJ107" s="135"/>
      <c r="AK107" s="146"/>
      <c r="AL107" s="147"/>
      <c r="AM107" s="789"/>
      <c r="AN107" s="790"/>
      <c r="AO107" s="791"/>
      <c r="AP107" s="792"/>
      <c r="AQ107" s="735"/>
      <c r="AR107" s="735"/>
      <c r="AS107" s="135"/>
      <c r="AT107" s="146"/>
      <c r="AU107" s="147"/>
      <c r="AV107" s="789"/>
      <c r="AW107" s="790"/>
      <c r="AX107" s="791"/>
      <c r="AY107" s="792"/>
      <c r="AZ107" s="735"/>
      <c r="BA107" s="735"/>
      <c r="BB107" s="135"/>
      <c r="BC107" s="146"/>
      <c r="BD107" s="147"/>
      <c r="BE107" s="789"/>
      <c r="BF107" s="790"/>
      <c r="BG107" s="791"/>
      <c r="BH107" s="792"/>
      <c r="BI107" s="735"/>
      <c r="BJ107" s="735"/>
    </row>
    <row r="108" spans="1:62">
      <c r="A108" s="3018" t="s">
        <v>105</v>
      </c>
      <c r="B108" s="3042"/>
      <c r="C108" s="3042"/>
      <c r="D108" s="3042"/>
      <c r="E108" s="3042"/>
      <c r="F108" s="3042"/>
      <c r="G108" s="3042"/>
      <c r="H108" s="507"/>
      <c r="I108" s="507"/>
      <c r="J108" s="951"/>
      <c r="L108" s="789"/>
      <c r="M108" s="790"/>
      <c r="N108" s="791"/>
      <c r="O108" s="792"/>
      <c r="P108" s="735"/>
      <c r="Q108" s="735"/>
      <c r="R108" s="135"/>
      <c r="S108" s="146"/>
      <c r="T108" s="147"/>
      <c r="U108" s="789"/>
      <c r="V108" s="790"/>
      <c r="W108" s="791"/>
      <c r="X108" s="792"/>
      <c r="Y108" s="735"/>
      <c r="Z108" s="735"/>
      <c r="AA108" s="135"/>
      <c r="AB108" s="146"/>
      <c r="AC108" s="147"/>
      <c r="AD108" s="789"/>
      <c r="AE108" s="790"/>
      <c r="AF108" s="791"/>
      <c r="AG108" s="792"/>
      <c r="AH108" s="735"/>
      <c r="AI108" s="735"/>
      <c r="AJ108" s="135"/>
      <c r="AK108" s="146"/>
      <c r="AL108" s="147"/>
      <c r="AM108" s="789"/>
      <c r="AN108" s="790"/>
      <c r="AO108" s="791"/>
      <c r="AP108" s="792"/>
      <c r="AQ108" s="735"/>
      <c r="AR108" s="735"/>
      <c r="AS108" s="135"/>
      <c r="AT108" s="146"/>
      <c r="AU108" s="147"/>
      <c r="AV108" s="789"/>
      <c r="AW108" s="790"/>
      <c r="AX108" s="791"/>
      <c r="AY108" s="792"/>
      <c r="AZ108" s="735"/>
      <c r="BA108" s="735"/>
      <c r="BB108" s="135"/>
      <c r="BC108" s="146"/>
      <c r="BD108" s="147"/>
      <c r="BE108" s="789"/>
      <c r="BF108" s="790"/>
      <c r="BG108" s="791"/>
      <c r="BH108" s="792"/>
      <c r="BI108" s="735"/>
      <c r="BJ108" s="735"/>
    </row>
    <row r="109" spans="1:62">
      <c r="A109" s="3018" t="s">
        <v>106</v>
      </c>
      <c r="B109" s="3042"/>
      <c r="C109" s="3042"/>
      <c r="D109" s="3042"/>
      <c r="E109" s="3042"/>
      <c r="F109" s="3042"/>
      <c r="G109" s="3042"/>
      <c r="H109" s="507"/>
      <c r="I109" s="507"/>
      <c r="J109" s="321"/>
      <c r="L109" s="789"/>
      <c r="M109" s="790"/>
      <c r="N109" s="791"/>
      <c r="O109" s="792"/>
      <c r="P109" s="735"/>
      <c r="Q109" s="735"/>
      <c r="R109" s="135"/>
      <c r="S109" s="146"/>
      <c r="T109" s="147"/>
      <c r="U109" s="789"/>
      <c r="V109" s="790"/>
      <c r="W109" s="791"/>
      <c r="X109" s="792"/>
      <c r="Y109" s="735"/>
      <c r="Z109" s="735"/>
      <c r="AA109" s="135"/>
      <c r="AB109" s="146"/>
      <c r="AC109" s="147"/>
      <c r="AD109" s="789"/>
      <c r="AE109" s="790"/>
      <c r="AF109" s="791"/>
      <c r="AG109" s="792"/>
      <c r="AH109" s="735"/>
      <c r="AI109" s="735"/>
      <c r="AJ109" s="135"/>
      <c r="AK109" s="146"/>
      <c r="AL109" s="147"/>
      <c r="AM109" s="789"/>
      <c r="AN109" s="790"/>
      <c r="AO109" s="791"/>
      <c r="AP109" s="792"/>
      <c r="AQ109" s="735"/>
      <c r="AR109" s="735"/>
      <c r="AS109" s="135"/>
      <c r="AT109" s="146"/>
      <c r="AU109" s="147"/>
      <c r="AV109" s="789"/>
      <c r="AW109" s="790"/>
      <c r="AX109" s="791"/>
      <c r="AY109" s="792"/>
      <c r="AZ109" s="735"/>
      <c r="BA109" s="735"/>
      <c r="BB109" s="135"/>
      <c r="BC109" s="146"/>
      <c r="BD109" s="147"/>
      <c r="BE109" s="789"/>
      <c r="BF109" s="790"/>
      <c r="BG109" s="791"/>
      <c r="BH109" s="792"/>
      <c r="BI109" s="735"/>
      <c r="BJ109" s="735"/>
    </row>
    <row r="110" spans="1:62" ht="108" customHeight="1">
      <c r="A110" s="3057" t="s">
        <v>1026</v>
      </c>
      <c r="B110" s="3057"/>
      <c r="C110" s="3057"/>
      <c r="D110" s="3057"/>
      <c r="E110" s="3057"/>
      <c r="F110" s="3057"/>
      <c r="G110" s="3057"/>
      <c r="H110" s="325"/>
      <c r="I110" s="797"/>
      <c r="J110" s="141"/>
    </row>
    <row r="111" spans="1:62" ht="40.5" customHeight="1">
      <c r="A111" s="3057" t="s">
        <v>878</v>
      </c>
      <c r="B111" s="3057"/>
      <c r="C111" s="3057"/>
      <c r="D111" s="3057"/>
      <c r="E111" s="3057"/>
      <c r="F111" s="3057"/>
      <c r="G111" s="3057"/>
      <c r="H111" s="141"/>
      <c r="I111" s="142"/>
    </row>
    <row r="112" spans="1:62">
      <c r="J112" s="951"/>
      <c r="L112" s="789"/>
      <c r="M112" s="790"/>
      <c r="N112" s="791"/>
      <c r="O112" s="792"/>
      <c r="P112" s="735"/>
      <c r="Q112" s="735"/>
      <c r="R112" s="135"/>
      <c r="S112" s="146"/>
      <c r="T112" s="147"/>
      <c r="U112" s="789"/>
      <c r="V112" s="790"/>
      <c r="W112" s="791"/>
      <c r="X112" s="792"/>
      <c r="Y112" s="735"/>
      <c r="Z112" s="735"/>
      <c r="AA112" s="135"/>
      <c r="AB112" s="146"/>
      <c r="AC112" s="147"/>
      <c r="AD112" s="789"/>
      <c r="AE112" s="790"/>
      <c r="AF112" s="791"/>
      <c r="AG112" s="792"/>
      <c r="AH112" s="735"/>
      <c r="AI112" s="735"/>
      <c r="AJ112" s="135"/>
      <c r="AK112" s="146"/>
      <c r="AL112" s="147"/>
      <c r="AM112" s="789"/>
      <c r="AN112" s="790"/>
      <c r="AO112" s="791"/>
      <c r="AP112" s="792"/>
      <c r="AQ112" s="735"/>
      <c r="AR112" s="735"/>
      <c r="AS112" s="135"/>
      <c r="AT112" s="146"/>
      <c r="AU112" s="147"/>
      <c r="AV112" s="789"/>
      <c r="AW112" s="790"/>
      <c r="AX112" s="791"/>
      <c r="AY112" s="792"/>
      <c r="AZ112" s="735"/>
      <c r="BA112" s="735"/>
      <c r="BB112" s="135"/>
      <c r="BC112" s="146"/>
      <c r="BD112" s="147"/>
      <c r="BE112" s="789"/>
      <c r="BF112" s="790"/>
      <c r="BG112" s="791"/>
      <c r="BH112" s="792"/>
      <c r="BI112" s="735"/>
      <c r="BJ112" s="735"/>
    </row>
    <row r="113" spans="10:62">
      <c r="J113" s="951"/>
      <c r="L113" s="789"/>
      <c r="M113" s="790"/>
      <c r="N113" s="791"/>
      <c r="O113" s="792"/>
      <c r="P113" s="735"/>
      <c r="Q113" s="735"/>
      <c r="R113" s="135"/>
      <c r="S113" s="146"/>
      <c r="T113" s="147"/>
      <c r="U113" s="789"/>
      <c r="V113" s="790"/>
      <c r="W113" s="791"/>
      <c r="X113" s="792"/>
      <c r="Y113" s="735"/>
      <c r="Z113" s="735"/>
      <c r="AA113" s="135"/>
      <c r="AB113" s="146"/>
      <c r="AC113" s="147"/>
      <c r="AD113" s="789"/>
      <c r="AE113" s="790"/>
      <c r="AF113" s="791"/>
      <c r="AG113" s="792"/>
      <c r="AH113" s="735"/>
      <c r="AI113" s="735"/>
      <c r="AJ113" s="135"/>
      <c r="AK113" s="146"/>
      <c r="AL113" s="147"/>
      <c r="AM113" s="789"/>
      <c r="AN113" s="790"/>
      <c r="AO113" s="791"/>
      <c r="AP113" s="792"/>
      <c r="AQ113" s="735"/>
      <c r="AR113" s="735"/>
      <c r="AS113" s="135"/>
      <c r="AT113" s="146"/>
      <c r="AU113" s="147"/>
      <c r="AV113" s="789"/>
      <c r="AW113" s="790"/>
      <c r="AX113" s="791"/>
      <c r="AY113" s="792"/>
      <c r="AZ113" s="735"/>
      <c r="BA113" s="735"/>
      <c r="BB113" s="135"/>
      <c r="BC113" s="146"/>
      <c r="BD113" s="147"/>
      <c r="BE113" s="789"/>
      <c r="BF113" s="790"/>
      <c r="BG113" s="791"/>
      <c r="BH113" s="792"/>
      <c r="BI113" s="735"/>
      <c r="BJ113" s="735"/>
    </row>
    <row r="114" spans="10:62">
      <c r="J114" s="321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</row>
  </sheetData>
  <mergeCells count="9">
    <mergeCell ref="A109:G109"/>
    <mergeCell ref="A111:G111"/>
    <mergeCell ref="A2:I2"/>
    <mergeCell ref="A3:D3"/>
    <mergeCell ref="A103:C103"/>
    <mergeCell ref="A106:G106"/>
    <mergeCell ref="A107:G107"/>
    <mergeCell ref="A108:G108"/>
    <mergeCell ref="A110:G110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1" fitToHeight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F029-70DD-41B7-82FA-B354F9B9C9FE}">
  <sheetPr>
    <pageSetUpPr fitToPage="1"/>
  </sheetPr>
  <dimension ref="A1:AD119"/>
  <sheetViews>
    <sheetView zoomScaleNormal="100" workbookViewId="0"/>
  </sheetViews>
  <sheetFormatPr defaultRowHeight="15"/>
  <cols>
    <col min="1" max="1" width="5.5" style="1175" customWidth="1"/>
    <col min="2" max="2" width="5.5" style="141" customWidth="1"/>
    <col min="3" max="3" width="15.1640625" style="141" customWidth="1"/>
    <col min="4" max="4" width="72" style="141" customWidth="1"/>
    <col min="5" max="5" width="8.1640625" style="141" customWidth="1"/>
    <col min="6" max="6" width="11.33203125" style="1186" customWidth="1"/>
    <col min="7" max="7" width="13.6640625" style="577" customWidth="1"/>
    <col min="8" max="8" width="18.5" style="577" customWidth="1"/>
    <col min="9" max="9" width="20.1640625" style="141" customWidth="1"/>
    <col min="10" max="10" width="19.5" style="1119" customWidth="1"/>
    <col min="11" max="11" width="12.1640625" style="1119" bestFit="1" customWidth="1"/>
    <col min="12" max="12" width="9.33203125" style="855"/>
    <col min="13" max="13" width="15.83203125" style="855" customWidth="1"/>
    <col min="14" max="14" width="14.6640625" style="855" bestFit="1" customWidth="1"/>
    <col min="15" max="15" width="9.33203125" style="1120"/>
    <col min="16" max="16" width="14.6640625" style="141" customWidth="1"/>
    <col min="17" max="17" width="14.5" style="141" customWidth="1"/>
    <col min="18" max="19" width="9.33203125" style="141"/>
    <col min="20" max="20" width="19.5" style="141" customWidth="1"/>
    <col min="21" max="21" width="12.6640625" style="141" customWidth="1"/>
    <col min="22" max="22" width="15.33203125" style="141" customWidth="1"/>
    <col min="23" max="16384" width="9.33203125" style="141"/>
  </cols>
  <sheetData>
    <row r="1" spans="1:18" ht="18">
      <c r="A1" s="133" t="s">
        <v>2956</v>
      </c>
      <c r="B1" s="134"/>
      <c r="C1" s="134"/>
      <c r="D1" s="134"/>
      <c r="E1" s="134"/>
      <c r="F1" s="724"/>
      <c r="G1" s="535"/>
      <c r="H1" s="535"/>
      <c r="I1" s="135"/>
    </row>
    <row r="2" spans="1:18" ht="13.5" customHeight="1">
      <c r="A2" s="591" t="s">
        <v>116</v>
      </c>
      <c r="B2" s="1121"/>
      <c r="C2" s="1122"/>
      <c r="D2" s="1122"/>
      <c r="E2" s="1122"/>
      <c r="F2" s="1123"/>
      <c r="G2" s="1122"/>
      <c r="H2" s="1122"/>
      <c r="I2" s="135"/>
      <c r="J2" s="801"/>
      <c r="K2" s="801"/>
      <c r="L2" s="890"/>
      <c r="N2" s="1124"/>
    </row>
    <row r="3" spans="1:18" ht="13.5" customHeight="1">
      <c r="A3" s="3059" t="s">
        <v>1838</v>
      </c>
      <c r="B3" s="3060"/>
      <c r="C3" s="3060"/>
      <c r="D3" s="3060"/>
      <c r="E3" s="140"/>
      <c r="F3" s="724"/>
      <c r="G3" s="535"/>
      <c r="H3" s="557"/>
      <c r="I3" s="135"/>
    </row>
    <row r="4" spans="1:18">
      <c r="A4" s="1125"/>
      <c r="B4" s="140"/>
      <c r="C4" s="140"/>
      <c r="D4" s="1126"/>
      <c r="E4" s="140"/>
      <c r="F4" s="1127"/>
      <c r="G4" s="535"/>
      <c r="H4" s="535"/>
      <c r="I4" s="135"/>
    </row>
    <row r="5" spans="1:18">
      <c r="A5" s="1125"/>
      <c r="B5" s="140"/>
      <c r="C5" s="140"/>
      <c r="D5" s="1126"/>
      <c r="E5" s="140"/>
      <c r="F5" s="1127"/>
      <c r="G5" s="535"/>
      <c r="H5" s="535"/>
      <c r="I5" s="135"/>
    </row>
    <row r="6" spans="1:18" ht="22.5">
      <c r="A6" s="1128" t="s">
        <v>119</v>
      </c>
      <c r="B6" s="145" t="s">
        <v>120</v>
      </c>
      <c r="C6" s="145" t="s">
        <v>121</v>
      </c>
      <c r="D6" s="145" t="s">
        <v>122</v>
      </c>
      <c r="E6" s="145" t="s">
        <v>123</v>
      </c>
      <c r="F6" s="732" t="s">
        <v>124</v>
      </c>
      <c r="G6" s="538" t="s">
        <v>125</v>
      </c>
      <c r="H6" s="538" t="s">
        <v>2</v>
      </c>
      <c r="I6" s="145" t="s">
        <v>46</v>
      </c>
    </row>
    <row r="7" spans="1:18">
      <c r="A7" s="1128" t="s">
        <v>126</v>
      </c>
      <c r="B7" s="145" t="s">
        <v>127</v>
      </c>
      <c r="C7" s="145" t="s">
        <v>128</v>
      </c>
      <c r="D7" s="145" t="s">
        <v>129</v>
      </c>
      <c r="E7" s="145" t="s">
        <v>130</v>
      </c>
      <c r="F7" s="732" t="s">
        <v>131</v>
      </c>
      <c r="G7" s="538" t="s">
        <v>132</v>
      </c>
      <c r="H7" s="145">
        <v>8</v>
      </c>
      <c r="I7" s="145">
        <v>9</v>
      </c>
    </row>
    <row r="8" spans="1:18" s="158" customFormat="1" ht="21" customHeight="1">
      <c r="A8" s="1129"/>
      <c r="B8" s="1130"/>
      <c r="C8" s="1130" t="s">
        <v>373</v>
      </c>
      <c r="D8" s="1130" t="s">
        <v>374</v>
      </c>
      <c r="E8" s="1130"/>
      <c r="F8" s="1131"/>
      <c r="G8" s="1132"/>
      <c r="H8" s="1132">
        <f>H9</f>
        <v>0</v>
      </c>
      <c r="J8" s="312"/>
      <c r="K8" s="312"/>
      <c r="L8" s="312"/>
      <c r="M8" s="312"/>
      <c r="N8" s="312"/>
    </row>
    <row r="9" spans="1:18" s="135" customFormat="1" ht="13.5" customHeight="1">
      <c r="A9" s="343"/>
      <c r="B9" s="344"/>
      <c r="C9" s="1133">
        <v>764</v>
      </c>
      <c r="D9" s="1133" t="s">
        <v>1839</v>
      </c>
      <c r="E9" s="149"/>
      <c r="F9" s="772"/>
      <c r="G9" s="345"/>
      <c r="H9" s="345">
        <f>SUM(H10:H17,H20:H23,H26:H29,H32:H35,H39:H42,H46:H65,H70:H75)</f>
        <v>0</v>
      </c>
      <c r="I9" s="311"/>
      <c r="J9" s="1119"/>
      <c r="K9" s="801"/>
      <c r="L9" s="801"/>
      <c r="M9" s="801"/>
      <c r="N9" s="801"/>
      <c r="O9" s="1134"/>
    </row>
    <row r="10" spans="1:18" ht="27" customHeight="1">
      <c r="A10" s="186">
        <v>1</v>
      </c>
      <c r="B10" s="481" t="s">
        <v>1840</v>
      </c>
      <c r="C10" s="331" t="s">
        <v>1841</v>
      </c>
      <c r="D10" s="177" t="s">
        <v>1842</v>
      </c>
      <c r="E10" s="177" t="s">
        <v>142</v>
      </c>
      <c r="F10" s="845">
        <f>8.4+8.7+8.9</f>
        <v>26</v>
      </c>
      <c r="G10" s="178"/>
      <c r="H10" s="315">
        <f t="shared" ref="H10" si="0">ROUND(F10*G10,2)</f>
        <v>0</v>
      </c>
      <c r="I10" s="216" t="s">
        <v>111</v>
      </c>
      <c r="J10" s="1135"/>
      <c r="O10" s="855"/>
    </row>
    <row r="11" spans="1:18" ht="27" customHeight="1">
      <c r="A11" s="186"/>
      <c r="B11" s="481"/>
      <c r="C11" s="331"/>
      <c r="D11" s="183" t="s">
        <v>1843</v>
      </c>
      <c r="E11" s="177"/>
      <c r="F11" s="845"/>
      <c r="G11" s="178"/>
      <c r="H11" s="178"/>
      <c r="I11" s="216"/>
      <c r="O11" s="855"/>
    </row>
    <row r="12" spans="1:18" ht="13.5" customHeight="1">
      <c r="A12" s="319"/>
      <c r="B12" s="299"/>
      <c r="C12" s="299"/>
      <c r="D12" s="183" t="s">
        <v>1844</v>
      </c>
      <c r="E12" s="300"/>
      <c r="F12" s="742"/>
      <c r="G12" s="1136"/>
      <c r="H12" s="305"/>
      <c r="I12" s="1137"/>
      <c r="J12" s="1138"/>
      <c r="K12" s="1139"/>
      <c r="L12" s="1140"/>
      <c r="M12" s="1141"/>
      <c r="N12" s="1140"/>
      <c r="Q12" s="1142"/>
      <c r="R12" s="1143"/>
    </row>
    <row r="13" spans="1:18" ht="27" customHeight="1">
      <c r="A13" s="186">
        <v>2</v>
      </c>
      <c r="B13" s="481" t="s">
        <v>1840</v>
      </c>
      <c r="C13" s="331" t="s">
        <v>1845</v>
      </c>
      <c r="D13" s="177" t="s">
        <v>1846</v>
      </c>
      <c r="E13" s="177" t="s">
        <v>142</v>
      </c>
      <c r="F13" s="845">
        <v>4</v>
      </c>
      <c r="G13" s="178"/>
      <c r="H13" s="315">
        <f t="shared" ref="H13" si="1">ROUND(F13*G13,2)</f>
        <v>0</v>
      </c>
      <c r="I13" s="216" t="s">
        <v>111</v>
      </c>
      <c r="K13" s="1135"/>
      <c r="L13" s="1119"/>
    </row>
    <row r="14" spans="1:18" ht="27" customHeight="1">
      <c r="A14" s="186"/>
      <c r="B14" s="481"/>
      <c r="C14" s="331"/>
      <c r="D14" s="183" t="s">
        <v>1847</v>
      </c>
      <c r="E14" s="177"/>
      <c r="F14" s="845"/>
      <c r="G14" s="178"/>
      <c r="H14" s="178"/>
      <c r="I14" s="216"/>
      <c r="L14" s="1119"/>
    </row>
    <row r="15" spans="1:18" ht="13.5" customHeight="1">
      <c r="A15" s="319"/>
      <c r="B15" s="299"/>
      <c r="C15" s="299"/>
      <c r="D15" s="183" t="s">
        <v>1844</v>
      </c>
      <c r="E15" s="300"/>
      <c r="F15" s="742"/>
      <c r="G15" s="1136"/>
      <c r="H15" s="305"/>
      <c r="I15" s="1137"/>
      <c r="J15" s="1144"/>
      <c r="K15" s="1139"/>
      <c r="L15" s="1140"/>
      <c r="M15" s="1141"/>
      <c r="N15" s="1140"/>
      <c r="Q15" s="1142"/>
      <c r="R15" s="1143"/>
    </row>
    <row r="16" spans="1:18" ht="27" customHeight="1">
      <c r="A16" s="1145">
        <v>3</v>
      </c>
      <c r="B16" s="481" t="s">
        <v>1840</v>
      </c>
      <c r="C16" s="331" t="s">
        <v>1848</v>
      </c>
      <c r="D16" s="177" t="s">
        <v>1849</v>
      </c>
      <c r="E16" s="177" t="s">
        <v>142</v>
      </c>
      <c r="F16" s="773">
        <f>ROUND(SUM(F20),3)</f>
        <v>129</v>
      </c>
      <c r="G16" s="178">
        <f>ROUND(SUM(H18:H19)/F16,2)</f>
        <v>0</v>
      </c>
      <c r="H16" s="315">
        <f t="shared" ref="H16" si="2">ROUND(F16*G16,2)</f>
        <v>0</v>
      </c>
      <c r="I16" s="216" t="s">
        <v>111</v>
      </c>
    </row>
    <row r="17" spans="1:23" ht="27" customHeight="1">
      <c r="A17" s="186"/>
      <c r="B17" s="481"/>
      <c r="C17" s="331"/>
      <c r="D17" s="183" t="s">
        <v>1850</v>
      </c>
      <c r="E17" s="177"/>
      <c r="F17" s="845"/>
      <c r="G17" s="178"/>
      <c r="H17" s="178"/>
      <c r="I17" s="216"/>
    </row>
    <row r="18" spans="1:23" ht="27" customHeight="1">
      <c r="A18" s="319" t="s">
        <v>1146</v>
      </c>
      <c r="B18" s="299"/>
      <c r="C18" s="300">
        <v>764511602</v>
      </c>
      <c r="D18" s="183" t="s">
        <v>1851</v>
      </c>
      <c r="E18" s="300" t="s">
        <v>142</v>
      </c>
      <c r="F18" s="1136">
        <f>(1.2*2+9.45*2+11.05*2+41.6+44)*1.1</f>
        <v>141.9</v>
      </c>
      <c r="G18" s="1091"/>
      <c r="H18" s="1146">
        <f t="shared" ref="H18:H19" si="3">ROUND(F18*G18,2)</f>
        <v>0</v>
      </c>
      <c r="I18" s="494" t="s">
        <v>138</v>
      </c>
      <c r="V18" s="725"/>
      <c r="W18" s="725"/>
    </row>
    <row r="19" spans="1:23" ht="27" customHeight="1">
      <c r="A19" s="319" t="s">
        <v>1148</v>
      </c>
      <c r="B19" s="299"/>
      <c r="C19" s="300" t="s">
        <v>1852</v>
      </c>
      <c r="D19" s="183" t="s">
        <v>1853</v>
      </c>
      <c r="E19" s="300" t="s">
        <v>142</v>
      </c>
      <c r="F19" s="1136">
        <f>(1.2*2+9.45*2+11.05*2+41.6+44)*1.1</f>
        <v>141.9</v>
      </c>
      <c r="G19" s="1091"/>
      <c r="H19" s="1146">
        <f t="shared" si="3"/>
        <v>0</v>
      </c>
      <c r="I19" s="494" t="s">
        <v>111</v>
      </c>
      <c r="K19" s="1139"/>
      <c r="L19" s="1147"/>
      <c r="M19" s="1141"/>
      <c r="N19" s="1140"/>
      <c r="O19" s="333"/>
      <c r="P19" s="333"/>
      <c r="Q19" s="333"/>
      <c r="R19" s="333"/>
    </row>
    <row r="20" spans="1:23" ht="13.5" customHeight="1">
      <c r="A20" s="319"/>
      <c r="B20" s="299"/>
      <c r="C20" s="299"/>
      <c r="D20" s="183" t="s">
        <v>1202</v>
      </c>
      <c r="E20" s="300"/>
      <c r="F20" s="1136">
        <v>129</v>
      </c>
      <c r="G20" s="1136"/>
      <c r="H20" s="305"/>
      <c r="I20" s="1137"/>
      <c r="J20" s="1144"/>
      <c r="K20" s="1139"/>
      <c r="L20" s="1140"/>
      <c r="M20" s="1141"/>
      <c r="N20" s="1140"/>
      <c r="Q20" s="1142"/>
      <c r="R20" s="1143"/>
    </row>
    <row r="21" spans="1:23" ht="13.5" customHeight="1">
      <c r="A21" s="319"/>
      <c r="B21" s="299"/>
      <c r="C21" s="299"/>
      <c r="D21" s="183" t="s">
        <v>1844</v>
      </c>
      <c r="E21" s="300"/>
      <c r="F21" s="1136"/>
      <c r="G21" s="1136"/>
      <c r="H21" s="305"/>
      <c r="I21" s="1137"/>
      <c r="J21" s="1144"/>
      <c r="K21" s="1139"/>
      <c r="L21" s="1140"/>
      <c r="M21" s="1141"/>
      <c r="N21" s="1140"/>
      <c r="Q21" s="1142"/>
      <c r="R21" s="1143"/>
    </row>
    <row r="22" spans="1:23" ht="27" customHeight="1">
      <c r="A22" s="1145">
        <v>4</v>
      </c>
      <c r="B22" s="481" t="s">
        <v>1840</v>
      </c>
      <c r="C22" s="331" t="s">
        <v>1854</v>
      </c>
      <c r="D22" s="177" t="s">
        <v>1855</v>
      </c>
      <c r="E22" s="177" t="s">
        <v>142</v>
      </c>
      <c r="F22" s="773">
        <f>ROUND(SUM(F26),3)</f>
        <v>5.0999999999999996</v>
      </c>
      <c r="G22" s="178">
        <f>ROUND(SUM(H24:H25)/F22,2)</f>
        <v>0</v>
      </c>
      <c r="H22" s="315">
        <f t="shared" ref="H22" si="4">ROUND(F22*G22,2)</f>
        <v>0</v>
      </c>
      <c r="I22" s="216" t="s">
        <v>111</v>
      </c>
    </row>
    <row r="23" spans="1:23" ht="27" customHeight="1">
      <c r="A23" s="186"/>
      <c r="B23" s="481"/>
      <c r="C23" s="331"/>
      <c r="D23" s="183" t="s">
        <v>1856</v>
      </c>
      <c r="E23" s="177"/>
      <c r="F23" s="845"/>
      <c r="G23" s="178"/>
      <c r="H23" s="178"/>
      <c r="I23" s="216"/>
    </row>
    <row r="24" spans="1:23" ht="13.5" customHeight="1">
      <c r="A24" s="319" t="s">
        <v>1152</v>
      </c>
      <c r="B24" s="299"/>
      <c r="C24" s="300">
        <v>764511612</v>
      </c>
      <c r="D24" s="183" t="s">
        <v>1857</v>
      </c>
      <c r="E24" s="300" t="s">
        <v>142</v>
      </c>
      <c r="F24" s="1136">
        <f>(5.05)*1.1</f>
        <v>5.5550000000000006</v>
      </c>
      <c r="G24" s="1091"/>
      <c r="H24" s="1146">
        <f t="shared" ref="H24:H25" si="5">ROUND(F24*G24,2)</f>
        <v>0</v>
      </c>
      <c r="I24" s="494" t="s">
        <v>138</v>
      </c>
      <c r="V24" s="725"/>
      <c r="W24" s="725"/>
    </row>
    <row r="25" spans="1:23" ht="13.5" customHeight="1">
      <c r="A25" s="319" t="s">
        <v>1154</v>
      </c>
      <c r="B25" s="299"/>
      <c r="C25" s="300" t="s">
        <v>1858</v>
      </c>
      <c r="D25" s="183" t="s">
        <v>1859</v>
      </c>
      <c r="E25" s="300" t="s">
        <v>142</v>
      </c>
      <c r="F25" s="1136">
        <f>(5.05)*1.1</f>
        <v>5.5550000000000006</v>
      </c>
      <c r="G25" s="1091"/>
      <c r="H25" s="1146">
        <f t="shared" si="5"/>
        <v>0</v>
      </c>
      <c r="I25" s="494" t="s">
        <v>111</v>
      </c>
      <c r="K25" s="1139"/>
      <c r="L25" s="1147"/>
      <c r="M25" s="1141"/>
      <c r="N25" s="1140"/>
      <c r="O25" s="333"/>
      <c r="P25" s="333"/>
      <c r="Q25" s="333"/>
      <c r="R25" s="333"/>
    </row>
    <row r="26" spans="1:23" ht="13.5" customHeight="1">
      <c r="A26" s="319"/>
      <c r="B26" s="299"/>
      <c r="C26" s="299"/>
      <c r="D26" s="183" t="s">
        <v>1202</v>
      </c>
      <c r="E26" s="300"/>
      <c r="F26" s="1136">
        <v>5.0999999999999996</v>
      </c>
      <c r="G26" s="1136"/>
      <c r="H26" s="305"/>
      <c r="I26" s="1137"/>
      <c r="J26" s="1144"/>
      <c r="K26" s="1139"/>
      <c r="L26" s="1140"/>
      <c r="M26" s="1141"/>
      <c r="N26" s="1140"/>
      <c r="Q26" s="1142"/>
      <c r="R26" s="1143"/>
    </row>
    <row r="27" spans="1:23" ht="13.5" customHeight="1">
      <c r="A27" s="319"/>
      <c r="B27" s="299"/>
      <c r="C27" s="299"/>
      <c r="D27" s="183" t="s">
        <v>1844</v>
      </c>
      <c r="E27" s="300"/>
      <c r="F27" s="1136"/>
      <c r="G27" s="1136"/>
      <c r="H27" s="305"/>
      <c r="I27" s="1137"/>
      <c r="J27" s="1144"/>
      <c r="K27" s="1139"/>
      <c r="L27" s="1140"/>
      <c r="M27" s="1141"/>
      <c r="N27" s="1140"/>
      <c r="Q27" s="1142"/>
      <c r="R27" s="1143"/>
    </row>
    <row r="28" spans="1:23" s="333" customFormat="1" ht="27" customHeight="1">
      <c r="A28" s="1145">
        <v>5</v>
      </c>
      <c r="B28" s="481" t="s">
        <v>1840</v>
      </c>
      <c r="C28" s="331" t="s">
        <v>1860</v>
      </c>
      <c r="D28" s="331" t="s">
        <v>1861</v>
      </c>
      <c r="E28" s="331" t="s">
        <v>142</v>
      </c>
      <c r="F28" s="773">
        <f>ROUND(SUM(F32),3)</f>
        <v>6.3</v>
      </c>
      <c r="G28" s="178">
        <f>ROUND(SUM(H30:H31)/F28,2)</f>
        <v>0</v>
      </c>
      <c r="H28" s="315">
        <f t="shared" ref="H28" si="6">ROUND(F28*G28,2)</f>
        <v>0</v>
      </c>
      <c r="I28" s="216" t="s">
        <v>111</v>
      </c>
      <c r="J28" s="1148"/>
      <c r="K28" s="1148"/>
      <c r="M28" s="726"/>
      <c r="P28" s="1149"/>
    </row>
    <row r="29" spans="1:23" s="333" customFormat="1" ht="27" customHeight="1">
      <c r="A29" s="1145"/>
      <c r="B29" s="481"/>
      <c r="C29" s="331"/>
      <c r="D29" s="242" t="s">
        <v>1862</v>
      </c>
      <c r="E29" s="331"/>
      <c r="F29" s="1150"/>
      <c r="G29" s="338"/>
      <c r="H29" s="338"/>
      <c r="I29" s="216"/>
      <c r="J29" s="1148"/>
      <c r="K29" s="1148"/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3" ht="27" customHeight="1">
      <c r="A30" s="319" t="s">
        <v>1166</v>
      </c>
      <c r="B30" s="299"/>
      <c r="C30" s="300" t="s">
        <v>1863</v>
      </c>
      <c r="D30" s="183" t="s">
        <v>1864</v>
      </c>
      <c r="E30" s="300" t="s">
        <v>142</v>
      </c>
      <c r="F30" s="742">
        <f>F32*1.1</f>
        <v>6.9300000000000006</v>
      </c>
      <c r="G30" s="1091"/>
      <c r="H30" s="305">
        <f t="shared" ref="H30:H31" si="7">ROUND(F30*G30,2)</f>
        <v>0</v>
      </c>
      <c r="I30" s="494" t="s">
        <v>111</v>
      </c>
      <c r="V30" s="725"/>
      <c r="W30" s="725"/>
    </row>
    <row r="31" spans="1:23" ht="13.5" customHeight="1">
      <c r="A31" s="319" t="s">
        <v>1168</v>
      </c>
      <c r="B31" s="299"/>
      <c r="C31" s="300" t="s">
        <v>1865</v>
      </c>
      <c r="D31" s="183" t="s">
        <v>1866</v>
      </c>
      <c r="E31" s="300" t="s">
        <v>142</v>
      </c>
      <c r="F31" s="742">
        <f>(F32*0.19)*1.1</f>
        <v>1.3167000000000002</v>
      </c>
      <c r="G31" s="1091"/>
      <c r="H31" s="305">
        <f t="shared" si="7"/>
        <v>0</v>
      </c>
      <c r="I31" s="494" t="s">
        <v>111</v>
      </c>
      <c r="V31" s="725"/>
      <c r="W31" s="725"/>
    </row>
    <row r="32" spans="1:23" s="333" customFormat="1" ht="13.5" customHeight="1">
      <c r="A32" s="337"/>
      <c r="B32" s="331"/>
      <c r="C32" s="331"/>
      <c r="D32" s="242" t="s">
        <v>1867</v>
      </c>
      <c r="E32" s="331"/>
      <c r="F32" s="1151">
        <v>6.3</v>
      </c>
      <c r="G32" s="338"/>
      <c r="H32" s="338"/>
      <c r="I32" s="216"/>
      <c r="J32" s="1148"/>
      <c r="K32" s="1148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3" s="135" customFormat="1" ht="13.5" customHeight="1">
      <c r="A33" s="176"/>
      <c r="B33" s="180"/>
      <c r="C33" s="177"/>
      <c r="D33" s="183" t="s">
        <v>1844</v>
      </c>
      <c r="E33" s="177"/>
      <c r="F33" s="740"/>
      <c r="G33" s="178"/>
      <c r="H33" s="178"/>
      <c r="I33" s="216"/>
      <c r="J33" s="1148"/>
      <c r="K33" s="1148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3" ht="27" customHeight="1">
      <c r="A34" s="186">
        <v>6</v>
      </c>
      <c r="B34" s="481" t="s">
        <v>1840</v>
      </c>
      <c r="C34" s="331" t="s">
        <v>1868</v>
      </c>
      <c r="D34" s="177" t="s">
        <v>1869</v>
      </c>
      <c r="E34" s="177" t="s">
        <v>142</v>
      </c>
      <c r="F34" s="773">
        <f>ROUND(SUM(F39),3)</f>
        <v>0.7</v>
      </c>
      <c r="G34" s="178">
        <f>ROUND(SUM(H36:H38)/F34,2)</f>
        <v>0</v>
      </c>
      <c r="H34" s="315">
        <f t="shared" ref="H34" si="8">ROUND(F34*G34,2)</f>
        <v>0</v>
      </c>
      <c r="I34" s="216" t="s">
        <v>111</v>
      </c>
    </row>
    <row r="35" spans="1:23" ht="27" customHeight="1">
      <c r="A35" s="186"/>
      <c r="B35" s="481"/>
      <c r="C35" s="1152"/>
      <c r="D35" s="242" t="s">
        <v>1870</v>
      </c>
      <c r="E35" s="177"/>
      <c r="F35" s="845"/>
      <c r="G35" s="178"/>
      <c r="H35" s="178"/>
      <c r="I35" s="216"/>
    </row>
    <row r="36" spans="1:23" ht="27" customHeight="1">
      <c r="A36" s="319" t="s">
        <v>1349</v>
      </c>
      <c r="B36" s="299"/>
      <c r="C36" s="300">
        <v>764214611</v>
      </c>
      <c r="D36" s="183" t="s">
        <v>1871</v>
      </c>
      <c r="E36" s="300" t="s">
        <v>165</v>
      </c>
      <c r="F36" s="742">
        <f>(F39*0.99)*1.1</f>
        <v>0.76229999999999998</v>
      </c>
      <c r="G36" s="1091"/>
      <c r="H36" s="305">
        <f t="shared" ref="H36:H38" si="9">ROUND(F36*G36,2)</f>
        <v>0</v>
      </c>
      <c r="I36" s="494" t="s">
        <v>138</v>
      </c>
      <c r="V36" s="725"/>
      <c r="W36" s="725"/>
    </row>
    <row r="37" spans="1:23" ht="27" customHeight="1">
      <c r="A37" s="319" t="s">
        <v>1352</v>
      </c>
      <c r="B37" s="299"/>
      <c r="C37" s="300" t="s">
        <v>1872</v>
      </c>
      <c r="D37" s="183" t="s">
        <v>1873</v>
      </c>
      <c r="E37" s="300" t="s">
        <v>165</v>
      </c>
      <c r="F37" s="742">
        <f>(F39*0.8)*1.1</f>
        <v>0.61599999999999999</v>
      </c>
      <c r="G37" s="1091"/>
      <c r="H37" s="305">
        <f t="shared" si="9"/>
        <v>0</v>
      </c>
      <c r="I37" s="494" t="s">
        <v>111</v>
      </c>
      <c r="V37" s="725"/>
      <c r="W37" s="725"/>
    </row>
    <row r="38" spans="1:23" ht="13.5" customHeight="1">
      <c r="A38" s="319" t="s">
        <v>1355</v>
      </c>
      <c r="B38" s="299"/>
      <c r="C38" s="300">
        <v>762361321</v>
      </c>
      <c r="D38" s="183" t="s">
        <v>1874</v>
      </c>
      <c r="E38" s="300" t="s">
        <v>165</v>
      </c>
      <c r="F38" s="742">
        <f>(F39*0.62)*1.1</f>
        <v>0.47740000000000005</v>
      </c>
      <c r="G38" s="1091"/>
      <c r="H38" s="305">
        <f t="shared" si="9"/>
        <v>0</v>
      </c>
      <c r="I38" s="494" t="s">
        <v>138</v>
      </c>
    </row>
    <row r="39" spans="1:23" ht="13.5" customHeight="1">
      <c r="A39" s="319"/>
      <c r="B39" s="299"/>
      <c r="C39" s="300"/>
      <c r="D39" s="183" t="s">
        <v>1875</v>
      </c>
      <c r="E39" s="300"/>
      <c r="F39" s="742">
        <v>0.7</v>
      </c>
      <c r="G39" s="305"/>
      <c r="H39" s="305"/>
      <c r="I39" s="1153"/>
    </row>
    <row r="40" spans="1:23" s="135" customFormat="1" ht="13.5" customHeight="1">
      <c r="A40" s="176"/>
      <c r="B40" s="180"/>
      <c r="C40" s="300"/>
      <c r="D40" s="183" t="s">
        <v>1844</v>
      </c>
      <c r="E40" s="177"/>
      <c r="F40" s="740"/>
      <c r="G40" s="178"/>
      <c r="H40" s="178"/>
      <c r="I40" s="216"/>
      <c r="J40" s="1119"/>
      <c r="K40" s="1119"/>
      <c r="L40" s="855"/>
      <c r="M40" s="855"/>
      <c r="N40" s="855"/>
      <c r="O40" s="1120"/>
      <c r="P40" s="141"/>
      <c r="Q40" s="141"/>
      <c r="R40" s="141"/>
      <c r="S40" s="141"/>
      <c r="T40" s="141"/>
    </row>
    <row r="41" spans="1:23" ht="27" customHeight="1">
      <c r="A41" s="186">
        <v>7</v>
      </c>
      <c r="B41" s="481" t="s">
        <v>1840</v>
      </c>
      <c r="C41" s="331" t="s">
        <v>1876</v>
      </c>
      <c r="D41" s="177" t="s">
        <v>1877</v>
      </c>
      <c r="E41" s="177" t="s">
        <v>142</v>
      </c>
      <c r="F41" s="773">
        <f>ROUND(SUM(F46),3)</f>
        <v>1.8</v>
      </c>
      <c r="G41" s="178">
        <f>ROUND(SUM(H43:H45)/F41,2)</f>
        <v>0</v>
      </c>
      <c r="H41" s="315">
        <f t="shared" ref="H41" si="10">ROUND(F41*G41,2)</f>
        <v>0</v>
      </c>
      <c r="I41" s="216" t="s">
        <v>111</v>
      </c>
    </row>
    <row r="42" spans="1:23" ht="27" customHeight="1">
      <c r="A42" s="186"/>
      <c r="B42" s="481"/>
      <c r="C42" s="1152"/>
      <c r="D42" s="242" t="s">
        <v>1862</v>
      </c>
      <c r="E42" s="177"/>
      <c r="F42" s="845"/>
      <c r="G42" s="178"/>
      <c r="H42" s="178"/>
      <c r="I42" s="216"/>
    </row>
    <row r="43" spans="1:23" ht="27" customHeight="1">
      <c r="A43" s="319" t="s">
        <v>1878</v>
      </c>
      <c r="B43" s="299"/>
      <c r="C43" s="300">
        <v>764214611</v>
      </c>
      <c r="D43" s="183" t="s">
        <v>1879</v>
      </c>
      <c r="E43" s="300" t="s">
        <v>165</v>
      </c>
      <c r="F43" s="742">
        <f>(F46*0.82)*1.1</f>
        <v>1.6236000000000002</v>
      </c>
      <c r="G43" s="1091"/>
      <c r="H43" s="305">
        <f t="shared" ref="H43:H45" si="11">ROUND(F43*G43,2)</f>
        <v>0</v>
      </c>
      <c r="I43" s="494" t="s">
        <v>138</v>
      </c>
      <c r="V43" s="725"/>
      <c r="W43" s="725"/>
    </row>
    <row r="44" spans="1:23" ht="27" customHeight="1">
      <c r="A44" s="319" t="s">
        <v>1880</v>
      </c>
      <c r="B44" s="299"/>
      <c r="C44" s="300" t="s">
        <v>1881</v>
      </c>
      <c r="D44" s="183" t="s">
        <v>1882</v>
      </c>
      <c r="E44" s="300" t="s">
        <v>165</v>
      </c>
      <c r="F44" s="742">
        <f>(F46*0.67)*1.1</f>
        <v>1.3266000000000002</v>
      </c>
      <c r="G44" s="1091"/>
      <c r="H44" s="305">
        <f t="shared" si="11"/>
        <v>0</v>
      </c>
      <c r="I44" s="494" t="s">
        <v>111</v>
      </c>
      <c r="J44" s="1154"/>
      <c r="K44" s="218"/>
      <c r="L44" s="218"/>
      <c r="M44" s="218"/>
      <c r="N44" s="218"/>
      <c r="O44" s="218"/>
      <c r="P44" s="135"/>
      <c r="Q44" s="942"/>
      <c r="R44" s="922"/>
      <c r="S44" s="922"/>
      <c r="T44" s="923"/>
      <c r="U44" s="218"/>
      <c r="V44" s="725"/>
      <c r="W44" s="725"/>
    </row>
    <row r="45" spans="1:23" ht="13.5" customHeight="1">
      <c r="A45" s="319" t="s">
        <v>1883</v>
      </c>
      <c r="B45" s="299"/>
      <c r="C45" s="300">
        <v>762361321</v>
      </c>
      <c r="D45" s="183" t="s">
        <v>1884</v>
      </c>
      <c r="E45" s="300" t="s">
        <v>165</v>
      </c>
      <c r="F45" s="742">
        <f>(F46*0.55)*1.1</f>
        <v>1.0890000000000002</v>
      </c>
      <c r="G45" s="1091"/>
      <c r="H45" s="305">
        <f t="shared" si="11"/>
        <v>0</v>
      </c>
      <c r="I45" s="494" t="s">
        <v>138</v>
      </c>
      <c r="J45" s="317"/>
      <c r="K45" s="135"/>
      <c r="L45" s="135"/>
      <c r="M45" s="135"/>
      <c r="N45" s="135"/>
      <c r="O45" s="135"/>
      <c r="P45" s="1155"/>
      <c r="Q45" s="135"/>
      <c r="R45" s="135"/>
      <c r="S45" s="135"/>
      <c r="T45" s="135"/>
      <c r="U45" s="135"/>
    </row>
    <row r="46" spans="1:23" ht="13.5" customHeight="1">
      <c r="A46" s="319"/>
      <c r="B46" s="299"/>
      <c r="C46" s="300"/>
      <c r="D46" s="183" t="s">
        <v>1885</v>
      </c>
      <c r="E46" s="300"/>
      <c r="F46" s="742">
        <v>1.8</v>
      </c>
      <c r="G46" s="305"/>
      <c r="H46" s="305"/>
      <c r="I46" s="1153"/>
    </row>
    <row r="47" spans="1:23" s="135" customFormat="1" ht="13.5" customHeight="1">
      <c r="A47" s="176"/>
      <c r="B47" s="180"/>
      <c r="C47" s="300"/>
      <c r="D47" s="183" t="s">
        <v>1844</v>
      </c>
      <c r="E47" s="177"/>
      <c r="F47" s="740"/>
      <c r="G47" s="178"/>
      <c r="H47" s="178"/>
      <c r="I47" s="216"/>
      <c r="J47" s="1119"/>
      <c r="K47" s="1119"/>
      <c r="L47" s="855"/>
      <c r="M47" s="855"/>
      <c r="N47" s="855"/>
      <c r="O47" s="1120"/>
      <c r="P47" s="141"/>
      <c r="Q47" s="141"/>
      <c r="R47" s="141"/>
      <c r="S47" s="141"/>
      <c r="T47" s="141"/>
    </row>
    <row r="48" spans="1:23" s="333" customFormat="1" ht="27" customHeight="1">
      <c r="A48" s="1145">
        <v>8</v>
      </c>
      <c r="B48" s="481" t="s">
        <v>1840</v>
      </c>
      <c r="C48" s="331" t="s">
        <v>1886</v>
      </c>
      <c r="D48" s="331" t="s">
        <v>1887</v>
      </c>
      <c r="E48" s="331" t="s">
        <v>142</v>
      </c>
      <c r="F48" s="773">
        <f>ROUND(SUM(F50),3)</f>
        <v>353.65</v>
      </c>
      <c r="G48" s="338"/>
      <c r="H48" s="315">
        <f t="shared" ref="H48" si="12">ROUND(F48*G48,2)</f>
        <v>0</v>
      </c>
      <c r="I48" s="216" t="s">
        <v>111</v>
      </c>
      <c r="J48" s="1148"/>
      <c r="K48" s="1148"/>
      <c r="M48" s="726"/>
      <c r="O48" s="1156"/>
      <c r="P48" s="1149"/>
    </row>
    <row r="49" spans="1:21" s="333" customFormat="1" ht="13.5" customHeight="1">
      <c r="A49" s="1145"/>
      <c r="B49" s="481"/>
      <c r="C49" s="331"/>
      <c r="D49" s="242" t="s">
        <v>1888</v>
      </c>
      <c r="E49" s="331"/>
      <c r="F49" s="1150"/>
      <c r="G49" s="338"/>
      <c r="H49" s="338"/>
      <c r="I49" s="216"/>
      <c r="J49" s="1157"/>
      <c r="K49" s="1148"/>
      <c r="L49" s="141"/>
      <c r="M49" s="141"/>
      <c r="N49" s="141"/>
      <c r="O49" s="141"/>
      <c r="P49" s="141"/>
      <c r="Q49" s="141"/>
      <c r="R49" s="141"/>
      <c r="S49" s="141"/>
      <c r="T49" s="141"/>
      <c r="U49" s="141"/>
    </row>
    <row r="50" spans="1:21" s="333" customFormat="1" ht="13.5" customHeight="1">
      <c r="A50" s="337"/>
      <c r="B50" s="331"/>
      <c r="C50" s="331"/>
      <c r="D50" s="242" t="s">
        <v>1889</v>
      </c>
      <c r="E50" s="331"/>
      <c r="F50" s="1151">
        <f>(321.5)*1.1</f>
        <v>353.65000000000003</v>
      </c>
      <c r="G50" s="338"/>
      <c r="H50" s="338"/>
      <c r="I50" s="216"/>
      <c r="J50" s="1148"/>
      <c r="K50" s="1148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 s="135" customFormat="1" ht="13.5" customHeight="1">
      <c r="A51" s="176"/>
      <c r="B51" s="180"/>
      <c r="C51" s="177"/>
      <c r="D51" s="183" t="s">
        <v>1844</v>
      </c>
      <c r="E51" s="177"/>
      <c r="F51" s="740"/>
      <c r="G51" s="178"/>
      <c r="H51" s="178"/>
      <c r="I51" s="216"/>
      <c r="J51" s="1148"/>
      <c r="K51" s="1148"/>
      <c r="L51" s="141"/>
      <c r="M51" s="141"/>
      <c r="N51" s="141"/>
      <c r="O51" s="141"/>
      <c r="P51" s="141"/>
      <c r="Q51" s="141"/>
      <c r="R51" s="141"/>
      <c r="S51" s="141"/>
      <c r="T51" s="141"/>
    </row>
    <row r="52" spans="1:21" s="333" customFormat="1" ht="27" customHeight="1">
      <c r="A52" s="1145">
        <v>9</v>
      </c>
      <c r="B52" s="481" t="s">
        <v>1840</v>
      </c>
      <c r="C52" s="331" t="s">
        <v>1890</v>
      </c>
      <c r="D52" s="331" t="s">
        <v>1891</v>
      </c>
      <c r="E52" s="331" t="s">
        <v>142</v>
      </c>
      <c r="F52" s="773">
        <f>ROUND(SUM(F54),3)</f>
        <v>27.5</v>
      </c>
      <c r="G52" s="338"/>
      <c r="H52" s="315">
        <f t="shared" ref="H52" si="13">ROUND(F52*G52,2)</f>
        <v>0</v>
      </c>
      <c r="I52" s="216" t="s">
        <v>111</v>
      </c>
      <c r="J52" s="1148"/>
      <c r="K52" s="1148"/>
      <c r="M52" s="726"/>
      <c r="P52" s="1149"/>
    </row>
    <row r="53" spans="1:21" s="333" customFormat="1" ht="13.5" customHeight="1">
      <c r="A53" s="1145"/>
      <c r="B53" s="481"/>
      <c r="C53" s="331"/>
      <c r="D53" s="242" t="s">
        <v>1892</v>
      </c>
      <c r="E53" s="331"/>
      <c r="F53" s="1150"/>
      <c r="G53" s="338"/>
      <c r="H53" s="338"/>
      <c r="I53" s="216"/>
      <c r="J53" s="1148"/>
      <c r="K53" s="1148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:21" s="333" customFormat="1" ht="13.5" customHeight="1">
      <c r="A54" s="337"/>
      <c r="B54" s="331"/>
      <c r="C54" s="331"/>
      <c r="D54" s="242" t="s">
        <v>1893</v>
      </c>
      <c r="E54" s="331"/>
      <c r="F54" s="1151">
        <f>(25)*1.1</f>
        <v>27.500000000000004</v>
      </c>
      <c r="G54" s="338"/>
      <c r="H54" s="338"/>
      <c r="I54" s="216"/>
      <c r="J54" s="1148"/>
      <c r="K54" s="1148"/>
      <c r="L54" s="141"/>
      <c r="M54" s="141"/>
      <c r="N54" s="141"/>
      <c r="O54" s="141"/>
      <c r="P54" s="141"/>
      <c r="Q54" s="141"/>
      <c r="R54" s="141"/>
      <c r="S54" s="141"/>
      <c r="T54" s="141"/>
      <c r="U54" s="141"/>
    </row>
    <row r="55" spans="1:21" s="135" customFormat="1" ht="13.5" customHeight="1">
      <c r="A55" s="176"/>
      <c r="B55" s="180"/>
      <c r="C55" s="177"/>
      <c r="D55" s="183" t="s">
        <v>1844</v>
      </c>
      <c r="E55" s="177"/>
      <c r="F55" s="740"/>
      <c r="G55" s="178"/>
      <c r="H55" s="178"/>
      <c r="I55" s="216"/>
      <c r="J55" s="1148"/>
      <c r="K55" s="1148"/>
      <c r="L55" s="141"/>
      <c r="M55" s="141"/>
      <c r="N55" s="141"/>
      <c r="O55" s="141"/>
      <c r="P55" s="141"/>
      <c r="Q55" s="141"/>
      <c r="R55" s="141"/>
      <c r="S55" s="141"/>
      <c r="T55" s="141"/>
    </row>
    <row r="56" spans="1:21" s="333" customFormat="1" ht="27" customHeight="1">
      <c r="A56" s="1145">
        <v>10</v>
      </c>
      <c r="B56" s="481" t="s">
        <v>1840</v>
      </c>
      <c r="C56" s="331" t="s">
        <v>1894</v>
      </c>
      <c r="D56" s="331" t="s">
        <v>1895</v>
      </c>
      <c r="E56" s="331" t="s">
        <v>142</v>
      </c>
      <c r="F56" s="773">
        <f>ROUND(SUM(F58:F58),3)</f>
        <v>145.31</v>
      </c>
      <c r="G56" s="338"/>
      <c r="H56" s="315">
        <f t="shared" ref="H56" si="14">ROUND(F56*G56,2)</f>
        <v>0</v>
      </c>
      <c r="I56" s="216" t="s">
        <v>111</v>
      </c>
      <c r="J56" s="1148"/>
      <c r="K56" s="1148"/>
      <c r="M56" s="726"/>
      <c r="P56" s="1149"/>
    </row>
    <row r="57" spans="1:21" s="333" customFormat="1" ht="13.5" customHeight="1">
      <c r="A57" s="1145"/>
      <c r="B57" s="481"/>
      <c r="C57" s="331"/>
      <c r="D57" s="242" t="s">
        <v>1896</v>
      </c>
      <c r="E57" s="331"/>
      <c r="F57" s="1150"/>
      <c r="G57" s="338"/>
      <c r="H57" s="338"/>
      <c r="I57" s="216"/>
      <c r="J57" s="1148"/>
      <c r="K57" s="1148"/>
      <c r="L57" s="141"/>
      <c r="M57" s="141"/>
      <c r="N57" s="141"/>
      <c r="O57" s="141"/>
      <c r="P57" s="141"/>
      <c r="Q57" s="141"/>
      <c r="R57" s="141"/>
      <c r="S57" s="141"/>
      <c r="T57" s="141"/>
      <c r="U57" s="141"/>
    </row>
    <row r="58" spans="1:21" s="333" customFormat="1" ht="13.5" customHeight="1">
      <c r="A58" s="337"/>
      <c r="B58" s="331"/>
      <c r="C58" s="331"/>
      <c r="D58" s="242" t="s">
        <v>1897</v>
      </c>
      <c r="E58" s="331"/>
      <c r="F58" s="1151">
        <f>(132.1)*1.1</f>
        <v>145.31</v>
      </c>
      <c r="G58" s="338"/>
      <c r="H58" s="338"/>
      <c r="I58" s="216"/>
      <c r="J58" s="1148"/>
      <c r="K58" s="1148"/>
      <c r="L58" s="141"/>
      <c r="M58" s="141"/>
      <c r="N58" s="141"/>
      <c r="O58" s="141"/>
      <c r="P58" s="141"/>
      <c r="Q58" s="141"/>
      <c r="R58" s="141"/>
      <c r="S58" s="141"/>
      <c r="T58" s="141"/>
      <c r="U58" s="141"/>
    </row>
    <row r="59" spans="1:21" s="135" customFormat="1" ht="13.5" customHeight="1">
      <c r="A59" s="176"/>
      <c r="B59" s="180"/>
      <c r="C59" s="177"/>
      <c r="D59" s="183" t="s">
        <v>1844</v>
      </c>
      <c r="E59" s="177"/>
      <c r="F59" s="740"/>
      <c r="G59" s="178"/>
      <c r="H59" s="178"/>
      <c r="I59" s="216"/>
      <c r="J59" s="1148"/>
      <c r="K59" s="1148"/>
      <c r="L59" s="141"/>
      <c r="M59" s="141"/>
      <c r="N59" s="141"/>
      <c r="O59" s="141"/>
      <c r="P59" s="141"/>
      <c r="Q59" s="141"/>
      <c r="R59" s="141"/>
      <c r="S59" s="141"/>
      <c r="T59" s="141"/>
    </row>
    <row r="60" spans="1:21" s="333" customFormat="1" ht="27" customHeight="1">
      <c r="A60" s="1145">
        <v>11</v>
      </c>
      <c r="B60" s="481" t="s">
        <v>1840</v>
      </c>
      <c r="C60" s="331" t="s">
        <v>1898</v>
      </c>
      <c r="D60" s="331" t="s">
        <v>1899</v>
      </c>
      <c r="E60" s="331" t="s">
        <v>142</v>
      </c>
      <c r="F60" s="773">
        <f>ROUND(SUM(F62),3)</f>
        <v>5.72</v>
      </c>
      <c r="G60" s="338"/>
      <c r="H60" s="315">
        <f t="shared" ref="H60" si="15">ROUND(F60*G60,2)</f>
        <v>0</v>
      </c>
      <c r="I60" s="216" t="s">
        <v>111</v>
      </c>
      <c r="J60" s="1148"/>
      <c r="K60" s="1148"/>
      <c r="M60" s="726"/>
      <c r="P60" s="1149"/>
    </row>
    <row r="61" spans="1:21" s="333" customFormat="1" ht="13.5" customHeight="1">
      <c r="A61" s="1145"/>
      <c r="B61" s="481"/>
      <c r="C61" s="331"/>
      <c r="D61" s="242" t="s">
        <v>1900</v>
      </c>
      <c r="E61" s="331"/>
      <c r="F61" s="1150"/>
      <c r="G61" s="338"/>
      <c r="H61" s="338"/>
      <c r="I61" s="216"/>
      <c r="J61" s="1148"/>
      <c r="K61" s="1148"/>
      <c r="L61" s="141"/>
      <c r="M61" s="141"/>
      <c r="N61" s="141"/>
      <c r="O61" s="141"/>
      <c r="P61" s="141"/>
      <c r="Q61" s="141"/>
      <c r="R61" s="141"/>
      <c r="S61" s="141"/>
      <c r="T61" s="141"/>
      <c r="U61" s="141"/>
    </row>
    <row r="62" spans="1:21" s="333" customFormat="1" ht="13.5" customHeight="1">
      <c r="A62" s="337"/>
      <c r="B62" s="331"/>
      <c r="C62" s="331"/>
      <c r="D62" s="242" t="s">
        <v>1901</v>
      </c>
      <c r="E62" s="331"/>
      <c r="F62" s="1151">
        <f>5.2*1.1</f>
        <v>5.7200000000000006</v>
      </c>
      <c r="G62" s="338"/>
      <c r="H62" s="338"/>
      <c r="I62" s="216"/>
      <c r="J62" s="1148"/>
      <c r="K62" s="1148"/>
      <c r="L62" s="141"/>
      <c r="M62" s="141"/>
      <c r="N62" s="141"/>
      <c r="O62" s="141"/>
      <c r="P62" s="141"/>
      <c r="Q62" s="141"/>
      <c r="R62" s="141"/>
      <c r="S62" s="141"/>
      <c r="T62" s="141"/>
      <c r="U62" s="141"/>
    </row>
    <row r="63" spans="1:21" s="135" customFormat="1" ht="13.5" customHeight="1">
      <c r="A63" s="176"/>
      <c r="B63" s="180"/>
      <c r="C63" s="177"/>
      <c r="D63" s="183" t="s">
        <v>1844</v>
      </c>
      <c r="E63" s="177"/>
      <c r="F63" s="740"/>
      <c r="G63" s="178"/>
      <c r="H63" s="178"/>
      <c r="I63" s="216"/>
      <c r="J63" s="1148"/>
      <c r="K63" s="1148"/>
      <c r="L63" s="141"/>
      <c r="M63" s="141"/>
      <c r="N63" s="141"/>
      <c r="O63" s="141"/>
      <c r="P63" s="141"/>
      <c r="Q63" s="141"/>
      <c r="R63" s="141"/>
      <c r="S63" s="141"/>
      <c r="T63" s="141"/>
    </row>
    <row r="64" spans="1:21" s="333" customFormat="1" ht="27" customHeight="1">
      <c r="A64" s="186">
        <v>12</v>
      </c>
      <c r="B64" s="481" t="s">
        <v>1840</v>
      </c>
      <c r="C64" s="331" t="s">
        <v>1902</v>
      </c>
      <c r="D64" s="331" t="s">
        <v>1903</v>
      </c>
      <c r="E64" s="331" t="s">
        <v>142</v>
      </c>
      <c r="F64" s="773">
        <f>ROUND(SUM(F70),3)</f>
        <v>14.25</v>
      </c>
      <c r="G64" s="178">
        <f>ROUND(SUM(H66:H69)/F64,2)</f>
        <v>0</v>
      </c>
      <c r="H64" s="315">
        <f t="shared" ref="H64" si="16">ROUND(F64*G64,2)</f>
        <v>0</v>
      </c>
      <c r="I64" s="216" t="s">
        <v>111</v>
      </c>
      <c r="J64" s="1158"/>
      <c r="K64" s="1139"/>
      <c r="L64" s="1140"/>
      <c r="M64" s="1141"/>
      <c r="N64" s="1140"/>
    </row>
    <row r="65" spans="1:30" s="333" customFormat="1" ht="27" customHeight="1">
      <c r="A65" s="1145"/>
      <c r="B65" s="481"/>
      <c r="C65" s="331"/>
      <c r="D65" s="242" t="s">
        <v>1904</v>
      </c>
      <c r="E65" s="331"/>
      <c r="F65" s="1150"/>
      <c r="G65" s="338"/>
      <c r="H65" s="338"/>
      <c r="I65" s="216"/>
      <c r="J65" s="1119"/>
      <c r="K65" s="1119"/>
      <c r="L65" s="855"/>
      <c r="M65" s="855"/>
      <c r="N65" s="855"/>
      <c r="O65" s="1120"/>
      <c r="P65" s="141"/>
      <c r="Q65" s="141"/>
      <c r="R65" s="141"/>
      <c r="S65" s="141"/>
      <c r="T65" s="141"/>
      <c r="U65" s="141"/>
    </row>
    <row r="66" spans="1:30" s="135" customFormat="1" ht="40.5" customHeight="1">
      <c r="A66" s="319" t="s">
        <v>1905</v>
      </c>
      <c r="B66" s="299"/>
      <c r="C66" s="300">
        <v>764214611</v>
      </c>
      <c r="D66" s="183" t="s">
        <v>1906</v>
      </c>
      <c r="E66" s="300" t="s">
        <v>165</v>
      </c>
      <c r="F66" s="742">
        <f>((1.91*2.85)*5)*1.1</f>
        <v>29.939250000000005</v>
      </c>
      <c r="G66" s="1091"/>
      <c r="H66" s="305">
        <f t="shared" ref="H66:H67" si="17">F66*G66</f>
        <v>0</v>
      </c>
      <c r="I66" s="225" t="s">
        <v>112</v>
      </c>
      <c r="J66" s="1154"/>
      <c r="K66" s="218"/>
      <c r="L66" s="218"/>
      <c r="M66" s="218"/>
      <c r="N66" s="218"/>
      <c r="O66" s="218"/>
      <c r="P66" s="218"/>
      <c r="Q66" s="942"/>
      <c r="R66" s="922"/>
      <c r="S66" s="922"/>
      <c r="T66" s="923"/>
      <c r="U66" s="218"/>
      <c r="V66" s="925"/>
      <c r="W66" s="1159"/>
      <c r="X66" s="926"/>
      <c r="Y66" s="943"/>
      <c r="Z66" s="218"/>
      <c r="AA66" s="218"/>
      <c r="AB66" s="218"/>
      <c r="AC66" s="218"/>
      <c r="AD66" s="218"/>
    </row>
    <row r="67" spans="1:30" s="135" customFormat="1" ht="27" customHeight="1">
      <c r="A67" s="319" t="s">
        <v>1907</v>
      </c>
      <c r="B67" s="299"/>
      <c r="C67" s="300" t="s">
        <v>1908</v>
      </c>
      <c r="D67" s="183" t="s">
        <v>1909</v>
      </c>
      <c r="E67" s="300" t="s">
        <v>165</v>
      </c>
      <c r="F67" s="742">
        <f>((0.75*1.81)*5)*1.1</f>
        <v>7.4662500000000005</v>
      </c>
      <c r="G67" s="1091"/>
      <c r="H67" s="305">
        <f t="shared" si="17"/>
        <v>0</v>
      </c>
      <c r="I67" s="225" t="s">
        <v>112</v>
      </c>
      <c r="J67" s="1154"/>
      <c r="K67" s="218"/>
      <c r="L67" s="218"/>
      <c r="M67" s="218"/>
      <c r="N67" s="218"/>
      <c r="O67" s="218"/>
      <c r="P67" s="218"/>
      <c r="Q67" s="942"/>
      <c r="R67" s="922"/>
      <c r="S67" s="922"/>
      <c r="T67" s="923"/>
      <c r="U67" s="218"/>
      <c r="W67" s="1159"/>
      <c r="X67" s="926"/>
      <c r="Y67" s="943"/>
      <c r="Z67" s="218"/>
      <c r="AA67" s="218"/>
      <c r="AB67" s="218"/>
      <c r="AC67" s="218"/>
      <c r="AD67" s="218"/>
    </row>
    <row r="68" spans="1:30" s="135" customFormat="1" ht="40.5" customHeight="1">
      <c r="A68" s="319"/>
      <c r="B68" s="299"/>
      <c r="C68" s="300"/>
      <c r="D68" s="945" t="s">
        <v>1910</v>
      </c>
      <c r="E68" s="300"/>
      <c r="F68" s="742"/>
      <c r="G68" s="742"/>
      <c r="H68" s="305"/>
      <c r="I68" s="1160"/>
      <c r="J68" s="1161"/>
      <c r="K68" s="218"/>
      <c r="L68" s="218"/>
      <c r="M68" s="218"/>
      <c r="N68" s="218"/>
      <c r="O68" s="218"/>
      <c r="P68" s="218"/>
      <c r="Q68" s="942"/>
      <c r="R68" s="922"/>
      <c r="S68" s="922"/>
      <c r="T68" s="923"/>
      <c r="U68" s="218"/>
      <c r="W68" s="1159"/>
      <c r="X68" s="926"/>
      <c r="Y68" s="943"/>
      <c r="Z68" s="218"/>
      <c r="AA68" s="218"/>
      <c r="AB68" s="218"/>
      <c r="AC68" s="218"/>
      <c r="AD68" s="218"/>
    </row>
    <row r="69" spans="1:30" s="135" customFormat="1" ht="27" customHeight="1">
      <c r="A69" s="319" t="s">
        <v>1911</v>
      </c>
      <c r="B69" s="299"/>
      <c r="C69" s="300" t="s">
        <v>1912</v>
      </c>
      <c r="D69" s="183" t="s">
        <v>1913</v>
      </c>
      <c r="E69" s="300" t="s">
        <v>49</v>
      </c>
      <c r="F69" s="742">
        <v>5</v>
      </c>
      <c r="G69" s="446"/>
      <c r="H69" s="305">
        <f t="shared" ref="H69" si="18">F69*G69</f>
        <v>0</v>
      </c>
      <c r="I69" s="225" t="s">
        <v>112</v>
      </c>
      <c r="J69" s="218"/>
      <c r="K69" s="218"/>
      <c r="L69" s="218"/>
      <c r="M69" s="218"/>
      <c r="N69" s="218"/>
      <c r="O69" s="218"/>
      <c r="P69" s="283"/>
      <c r="Q69" s="942"/>
      <c r="R69" s="922"/>
      <c r="S69" s="922"/>
      <c r="T69" s="218"/>
      <c r="U69" s="218"/>
      <c r="V69" s="218"/>
      <c r="W69" s="1159"/>
      <c r="X69" s="926"/>
      <c r="Y69" s="943"/>
      <c r="Z69" s="218"/>
      <c r="AA69" s="218"/>
      <c r="AB69" s="218"/>
      <c r="AC69" s="218"/>
      <c r="AD69" s="218"/>
    </row>
    <row r="70" spans="1:30" s="333" customFormat="1" ht="13.5" customHeight="1">
      <c r="A70" s="337"/>
      <c r="B70" s="331"/>
      <c r="C70" s="331"/>
      <c r="D70" s="242" t="s">
        <v>1914</v>
      </c>
      <c r="E70" s="331"/>
      <c r="F70" s="1151">
        <f>(2.85)*5</f>
        <v>14.25</v>
      </c>
      <c r="G70" s="338"/>
      <c r="H70" s="338"/>
      <c r="I70" s="216"/>
      <c r="J70" s="1140"/>
      <c r="K70" s="1140"/>
      <c r="L70" s="1140"/>
      <c r="M70" s="1141"/>
      <c r="N70" s="1140"/>
    </row>
    <row r="71" spans="1:30" s="135" customFormat="1" ht="13.5" customHeight="1">
      <c r="A71" s="176"/>
      <c r="B71" s="180"/>
      <c r="C71" s="177"/>
      <c r="D71" s="183" t="s">
        <v>1844</v>
      </c>
      <c r="E71" s="177"/>
      <c r="F71" s="740"/>
      <c r="G71" s="178"/>
      <c r="H71" s="178"/>
      <c r="I71" s="216"/>
      <c r="J71" s="1148"/>
      <c r="K71" s="1148"/>
      <c r="L71" s="141"/>
      <c r="M71" s="141"/>
      <c r="N71" s="141"/>
      <c r="O71" s="141"/>
      <c r="P71" s="141"/>
      <c r="Q71" s="141"/>
      <c r="R71" s="141"/>
      <c r="S71" s="141"/>
      <c r="T71" s="141"/>
    </row>
    <row r="72" spans="1:30" ht="13.5" customHeight="1">
      <c r="A72" s="739">
        <v>13</v>
      </c>
      <c r="B72" s="177">
        <v>764</v>
      </c>
      <c r="C72" s="177">
        <v>998764202</v>
      </c>
      <c r="D72" s="177" t="s">
        <v>1915</v>
      </c>
      <c r="E72" s="177" t="s">
        <v>10</v>
      </c>
      <c r="F72" s="740">
        <v>0.86</v>
      </c>
      <c r="G72" s="178"/>
      <c r="H72" s="315">
        <f t="shared" ref="H72:H73" si="19">ROUND(F72*G72,2)</f>
        <v>0</v>
      </c>
      <c r="I72" s="1137" t="s">
        <v>138</v>
      </c>
      <c r="J72" s="1162"/>
    </row>
    <row r="73" spans="1:30" ht="13.5" customHeight="1">
      <c r="A73" s="739">
        <v>14</v>
      </c>
      <c r="B73" s="177" t="s">
        <v>369</v>
      </c>
      <c r="C73" s="177" t="s">
        <v>1916</v>
      </c>
      <c r="D73" s="177" t="s">
        <v>1917</v>
      </c>
      <c r="E73" s="177" t="s">
        <v>69</v>
      </c>
      <c r="F73" s="740">
        <f>F74</f>
        <v>15</v>
      </c>
      <c r="G73" s="178"/>
      <c r="H73" s="315">
        <f t="shared" si="19"/>
        <v>0</v>
      </c>
      <c r="I73" s="1137" t="s">
        <v>138</v>
      </c>
    </row>
    <row r="74" spans="1:30" ht="13.5" customHeight="1">
      <c r="A74" s="739"/>
      <c r="B74" s="177"/>
      <c r="C74" s="177"/>
      <c r="D74" s="183" t="s">
        <v>1918</v>
      </c>
      <c r="E74" s="177"/>
      <c r="F74" s="742">
        <v>15</v>
      </c>
      <c r="G74" s="178"/>
      <c r="H74" s="178"/>
      <c r="I74" s="1137"/>
    </row>
    <row r="75" spans="1:30" ht="13.5" customHeight="1">
      <c r="A75" s="1163"/>
      <c r="B75" s="1164"/>
      <c r="C75" s="1165"/>
      <c r="D75" s="183" t="s">
        <v>540</v>
      </c>
      <c r="E75" s="1165"/>
      <c r="F75" s="742"/>
      <c r="G75" s="541"/>
      <c r="H75" s="541"/>
      <c r="I75" s="1166"/>
    </row>
    <row r="76" spans="1:30" s="135" customFormat="1" ht="21" customHeight="1">
      <c r="A76" s="1167"/>
      <c r="B76" s="497"/>
      <c r="C76" s="497"/>
      <c r="D76" s="497" t="s">
        <v>0</v>
      </c>
      <c r="E76" s="497"/>
      <c r="F76" s="780"/>
      <c r="G76" s="572"/>
      <c r="H76" s="572">
        <f>H9</f>
        <v>0</v>
      </c>
      <c r="J76" s="801"/>
      <c r="K76" s="801"/>
      <c r="L76" s="801"/>
      <c r="M76" s="801"/>
      <c r="N76" s="801"/>
      <c r="O76" s="1134"/>
    </row>
    <row r="77" spans="1:30" s="135" customFormat="1" ht="13.5" customHeight="1">
      <c r="A77" s="1168"/>
      <c r="B77" s="499"/>
      <c r="C77" s="499"/>
      <c r="D77" s="499"/>
      <c r="E77" s="499"/>
      <c r="F77" s="782"/>
      <c r="G77" s="444"/>
      <c r="H77" s="444"/>
      <c r="J77" s="801"/>
      <c r="K77" s="801"/>
      <c r="L77" s="801"/>
      <c r="M77" s="801"/>
      <c r="N77" s="801"/>
      <c r="O77" s="1134"/>
    </row>
    <row r="78" spans="1:30" s="135" customFormat="1" ht="13.5" customHeight="1">
      <c r="A78" s="3038" t="s">
        <v>875</v>
      </c>
      <c r="B78" s="3067"/>
      <c r="C78" s="3068"/>
      <c r="D78" s="500" t="s">
        <v>1919</v>
      </c>
      <c r="E78" s="501"/>
      <c r="F78" s="784"/>
      <c r="G78" s="573"/>
      <c r="H78" s="581">
        <f>H76</f>
        <v>0</v>
      </c>
      <c r="J78" s="1169"/>
      <c r="K78" s="801"/>
      <c r="L78" s="801"/>
      <c r="M78" s="801"/>
      <c r="N78" s="801"/>
      <c r="O78" s="1134"/>
    </row>
    <row r="79" spans="1:30" s="135" customFormat="1" ht="13.5" customHeight="1">
      <c r="A79" s="778"/>
      <c r="B79" s="503"/>
      <c r="C79" s="503"/>
      <c r="D79" s="504"/>
      <c r="E79" s="505"/>
      <c r="F79" s="1170"/>
      <c r="G79" s="574"/>
      <c r="H79" s="582"/>
      <c r="J79" s="1169"/>
      <c r="K79" s="801"/>
      <c r="L79" s="801"/>
      <c r="M79" s="801"/>
      <c r="N79" s="801"/>
      <c r="O79" s="1134"/>
    </row>
    <row r="80" spans="1:30" s="129" customFormat="1" ht="12.75">
      <c r="A80" s="1171" t="s">
        <v>1</v>
      </c>
      <c r="F80" s="793"/>
      <c r="G80" s="575"/>
      <c r="H80" s="575"/>
      <c r="J80" s="1172"/>
      <c r="K80" s="1172"/>
      <c r="L80" s="901"/>
      <c r="M80" s="901"/>
      <c r="N80" s="901"/>
    </row>
    <row r="81" spans="1:15" s="135" customFormat="1" ht="23.45" customHeight="1">
      <c r="A81" s="3018" t="s">
        <v>103</v>
      </c>
      <c r="B81" s="3037"/>
      <c r="C81" s="3037"/>
      <c r="D81" s="3037"/>
      <c r="E81" s="3037"/>
      <c r="F81" s="3037"/>
      <c r="G81" s="3037"/>
      <c r="H81" s="575"/>
      <c r="J81" s="801"/>
      <c r="K81" s="801"/>
      <c r="L81" s="801"/>
      <c r="M81" s="801"/>
      <c r="N81" s="801"/>
      <c r="O81" s="1134"/>
    </row>
    <row r="82" spans="1:15" s="129" customFormat="1" ht="93.75" customHeight="1">
      <c r="A82" s="3018" t="s">
        <v>104</v>
      </c>
      <c r="B82" s="3041"/>
      <c r="C82" s="3041"/>
      <c r="D82" s="3041"/>
      <c r="E82" s="3041"/>
      <c r="F82" s="3041"/>
      <c r="G82" s="3041"/>
      <c r="H82" s="575"/>
      <c r="J82" s="1172"/>
      <c r="K82" s="1172"/>
      <c r="L82" s="901"/>
      <c r="M82" s="901"/>
      <c r="N82" s="901"/>
    </row>
    <row r="83" spans="1:15" s="325" customFormat="1" ht="13.5" customHeight="1">
      <c r="A83" s="3018" t="s">
        <v>105</v>
      </c>
      <c r="B83" s="3042"/>
      <c r="C83" s="3042"/>
      <c r="D83" s="3042"/>
      <c r="E83" s="3042"/>
      <c r="F83" s="3042"/>
      <c r="G83" s="3042"/>
      <c r="H83" s="583"/>
      <c r="I83" s="507"/>
      <c r="J83" s="801"/>
      <c r="K83" s="801"/>
      <c r="L83" s="876"/>
      <c r="M83" s="876"/>
      <c r="N83" s="876"/>
      <c r="O83" s="1173"/>
    </row>
    <row r="84" spans="1:15" s="325" customFormat="1" ht="13.5" customHeight="1">
      <c r="A84" s="3018" t="s">
        <v>106</v>
      </c>
      <c r="B84" s="3042"/>
      <c r="C84" s="3042"/>
      <c r="D84" s="3042"/>
      <c r="E84" s="3042"/>
      <c r="F84" s="3042"/>
      <c r="G84" s="3042"/>
      <c r="H84" s="583"/>
      <c r="I84" s="507"/>
      <c r="J84" s="801"/>
      <c r="K84" s="801"/>
      <c r="L84" s="876"/>
      <c r="M84" s="876"/>
      <c r="N84" s="876"/>
      <c r="O84" s="1173"/>
    </row>
    <row r="85" spans="1:15" ht="108" customHeight="1">
      <c r="A85" s="3057" t="s">
        <v>1026</v>
      </c>
      <c r="B85" s="3057"/>
      <c r="C85" s="3057"/>
      <c r="D85" s="3057"/>
      <c r="E85" s="3057"/>
      <c r="F85" s="3057"/>
      <c r="G85" s="3057"/>
      <c r="H85" s="325"/>
      <c r="I85" s="797"/>
      <c r="J85" s="1148"/>
      <c r="K85" s="1148"/>
      <c r="L85" s="141"/>
      <c r="M85" s="141"/>
      <c r="N85" s="141"/>
      <c r="O85" s="141"/>
    </row>
    <row r="86" spans="1:15" s="1116" customFormat="1" ht="40.5" customHeight="1">
      <c r="A86" s="3057" t="s">
        <v>878</v>
      </c>
      <c r="B86" s="3057"/>
      <c r="C86" s="3057"/>
      <c r="D86" s="3057"/>
      <c r="E86" s="3057"/>
      <c r="F86" s="3057"/>
      <c r="G86" s="3057"/>
      <c r="I86" s="1117"/>
      <c r="J86" s="1174"/>
      <c r="K86" s="1174"/>
    </row>
    <row r="90" spans="1:15">
      <c r="C90" s="442"/>
      <c r="D90" s="218"/>
      <c r="E90" s="886"/>
      <c r="F90" s="1176"/>
      <c r="G90" s="1177"/>
      <c r="H90" s="1178"/>
      <c r="I90" s="1179"/>
    </row>
    <row r="91" spans="1:15">
      <c r="C91" s="1180"/>
      <c r="D91" s="1181"/>
      <c r="E91" s="1182"/>
      <c r="F91" s="1183"/>
      <c r="G91" s="1184"/>
      <c r="I91" s="1185"/>
    </row>
    <row r="92" spans="1:15">
      <c r="C92" s="442"/>
      <c r="D92" s="218"/>
      <c r="E92" s="886"/>
      <c r="F92" s="1176"/>
      <c r="G92" s="1177"/>
    </row>
    <row r="93" spans="1:15">
      <c r="C93" s="1180"/>
      <c r="D93" s="1181"/>
      <c r="E93" s="1182"/>
      <c r="F93" s="1183"/>
      <c r="G93" s="1184"/>
    </row>
    <row r="94" spans="1:15">
      <c r="C94" s="442"/>
      <c r="D94" s="218"/>
      <c r="E94" s="886"/>
      <c r="F94" s="1176"/>
      <c r="G94" s="1177"/>
    </row>
    <row r="95" spans="1:15">
      <c r="C95" s="1180"/>
      <c r="D95" s="1181"/>
      <c r="E95" s="1182"/>
      <c r="F95" s="1183"/>
      <c r="G95" s="1184"/>
    </row>
    <row r="96" spans="1:15">
      <c r="C96" s="442"/>
      <c r="D96" s="218"/>
      <c r="E96" s="886"/>
      <c r="F96" s="1176"/>
      <c r="G96" s="1177"/>
    </row>
    <row r="97" spans="3:7">
      <c r="C97" s="1180"/>
      <c r="D97" s="1181"/>
      <c r="E97" s="1182"/>
      <c r="F97" s="1183"/>
      <c r="G97" s="1184"/>
    </row>
    <row r="100" spans="3:7">
      <c r="C100" s="442"/>
      <c r="D100" s="218"/>
      <c r="E100" s="886"/>
      <c r="F100" s="1176"/>
      <c r="G100" s="1177"/>
    </row>
    <row r="101" spans="3:7">
      <c r="C101" s="1180"/>
      <c r="D101" s="1181"/>
      <c r="E101" s="1182"/>
      <c r="F101" s="1183"/>
      <c r="G101" s="1184"/>
    </row>
    <row r="102" spans="3:7">
      <c r="C102" s="442"/>
      <c r="D102" s="218"/>
      <c r="E102" s="886"/>
      <c r="F102" s="1176"/>
      <c r="G102" s="1177"/>
    </row>
    <row r="103" spans="3:7">
      <c r="C103" s="1180"/>
      <c r="D103" s="1181"/>
      <c r="E103" s="1182"/>
      <c r="F103" s="1183"/>
      <c r="G103" s="1184"/>
    </row>
    <row r="104" spans="3:7">
      <c r="C104" s="442"/>
      <c r="D104" s="218"/>
      <c r="E104" s="886"/>
      <c r="F104" s="1176"/>
      <c r="G104" s="1177"/>
    </row>
    <row r="105" spans="3:7">
      <c r="C105" s="1180"/>
      <c r="D105" s="1181"/>
      <c r="E105" s="1182"/>
      <c r="F105" s="1183"/>
      <c r="G105" s="1184"/>
    </row>
    <row r="108" spans="3:7">
      <c r="C108" s="442"/>
      <c r="D108" s="218"/>
      <c r="E108" s="886"/>
      <c r="F108" s="1176"/>
      <c r="G108" s="1177"/>
    </row>
    <row r="109" spans="3:7">
      <c r="C109" s="442"/>
      <c r="D109" s="218"/>
      <c r="E109" s="886"/>
      <c r="F109" s="1176"/>
      <c r="G109" s="1177"/>
    </row>
    <row r="110" spans="3:7">
      <c r="C110" s="442"/>
      <c r="D110" s="218"/>
      <c r="E110" s="886"/>
      <c r="F110" s="1176"/>
      <c r="G110" s="1177"/>
    </row>
    <row r="111" spans="3:7">
      <c r="C111" s="442"/>
      <c r="D111" s="218"/>
      <c r="E111" s="886"/>
      <c r="F111" s="1176"/>
      <c r="G111" s="1177"/>
    </row>
    <row r="117" spans="3:7">
      <c r="C117" s="442"/>
      <c r="D117" s="218"/>
      <c r="E117" s="886"/>
      <c r="F117" s="1176"/>
      <c r="G117" s="1177"/>
    </row>
    <row r="118" spans="3:7">
      <c r="C118" s="442"/>
      <c r="D118" s="218"/>
      <c r="E118" s="886"/>
      <c r="F118" s="1176"/>
      <c r="G118" s="1177"/>
    </row>
    <row r="119" spans="3:7">
      <c r="C119" s="442"/>
      <c r="D119" s="218"/>
      <c r="E119" s="886"/>
      <c r="F119" s="1176"/>
      <c r="G119" s="1177"/>
    </row>
  </sheetData>
  <mergeCells count="8">
    <mergeCell ref="A85:G85"/>
    <mergeCell ref="A86:G86"/>
    <mergeCell ref="A3:D3"/>
    <mergeCell ref="A78:C78"/>
    <mergeCell ref="A81:G81"/>
    <mergeCell ref="A82:G82"/>
    <mergeCell ref="A83:G83"/>
    <mergeCell ref="A84:G84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1" fitToHeight="9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8072-42B8-4001-8846-D17EA62090DD}">
  <sheetPr>
    <pageSetUpPr fitToPage="1"/>
  </sheetPr>
  <dimension ref="A1:IW243"/>
  <sheetViews>
    <sheetView zoomScaleNormal="100" workbookViewId="0"/>
  </sheetViews>
  <sheetFormatPr defaultRowHeight="15"/>
  <cols>
    <col min="1" max="1" width="4.83203125" style="498" customWidth="1"/>
    <col min="2" max="2" width="5" style="499" customWidth="1"/>
    <col min="3" max="3" width="16.83203125" style="499" customWidth="1"/>
    <col min="4" max="4" width="71.33203125" style="499" customWidth="1"/>
    <col min="5" max="5" width="7.83203125" style="499" customWidth="1"/>
    <col min="6" max="6" width="10.1640625" style="782" customWidth="1"/>
    <col min="7" max="7" width="13.6640625" style="783" customWidth="1"/>
    <col min="8" max="8" width="18.33203125" style="783" customWidth="1"/>
    <col min="9" max="9" width="20.1640625" style="135" customWidth="1"/>
    <col min="10" max="10" width="20.1640625" style="801" customWidth="1"/>
    <col min="11" max="11" width="20.33203125" style="141" customWidth="1"/>
    <col min="12" max="12" width="11.6640625" style="141" bestFit="1" customWidth="1"/>
    <col min="13" max="14" width="9.33203125" style="141"/>
    <col min="15" max="15" width="12.83203125" style="141" customWidth="1"/>
    <col min="16" max="16" width="17.6640625" style="141" customWidth="1"/>
    <col min="17" max="16384" width="9.33203125" style="141"/>
  </cols>
  <sheetData>
    <row r="1" spans="1:18" ht="18">
      <c r="A1" s="133" t="s">
        <v>2956</v>
      </c>
      <c r="B1" s="134"/>
      <c r="C1" s="134"/>
      <c r="D1" s="134"/>
      <c r="E1" s="134"/>
      <c r="F1" s="724"/>
      <c r="G1" s="134"/>
      <c r="H1" s="134"/>
    </row>
    <row r="2" spans="1:18" ht="15" customHeight="1">
      <c r="A2" s="3065" t="s">
        <v>116</v>
      </c>
      <c r="B2" s="3066"/>
      <c r="C2" s="3066"/>
      <c r="D2" s="3066"/>
      <c r="E2" s="3066"/>
      <c r="F2" s="3066"/>
      <c r="G2" s="3066"/>
      <c r="H2" s="3066"/>
      <c r="I2" s="3066"/>
      <c r="J2" s="802"/>
    </row>
    <row r="3" spans="1:18" ht="13.5" customHeight="1">
      <c r="A3" s="3059" t="s">
        <v>1127</v>
      </c>
      <c r="B3" s="3060"/>
      <c r="C3" s="3060"/>
      <c r="D3" s="3060"/>
      <c r="E3" s="803"/>
      <c r="F3" s="804"/>
      <c r="G3" s="805"/>
      <c r="H3" s="805"/>
      <c r="I3" s="806"/>
      <c r="J3" s="807"/>
    </row>
    <row r="4" spans="1:18" ht="15.75">
      <c r="A4" s="134"/>
      <c r="B4" s="134"/>
      <c r="C4" s="134"/>
      <c r="D4" s="134"/>
      <c r="E4" s="134"/>
      <c r="F4" s="724"/>
      <c r="G4" s="134"/>
      <c r="H4" s="134"/>
      <c r="L4" s="730"/>
      <c r="M4" s="730"/>
      <c r="N4" s="730"/>
      <c r="O4" s="730"/>
    </row>
    <row r="5" spans="1:18" ht="22.5">
      <c r="A5" s="145" t="s">
        <v>119</v>
      </c>
      <c r="B5" s="145" t="s">
        <v>120</v>
      </c>
      <c r="C5" s="808" t="s">
        <v>121</v>
      </c>
      <c r="D5" s="145" t="s">
        <v>122</v>
      </c>
      <c r="E5" s="145" t="s">
        <v>123</v>
      </c>
      <c r="F5" s="732" t="s">
        <v>124</v>
      </c>
      <c r="G5" s="145" t="s">
        <v>125</v>
      </c>
      <c r="H5" s="145" t="s">
        <v>2</v>
      </c>
      <c r="I5" s="145" t="s">
        <v>46</v>
      </c>
      <c r="J5" s="809"/>
      <c r="K5" s="730"/>
      <c r="L5" s="810"/>
      <c r="M5" s="810"/>
      <c r="N5" s="810"/>
      <c r="O5" s="810"/>
      <c r="P5" s="810"/>
      <c r="Q5" s="810"/>
      <c r="R5" s="810"/>
    </row>
    <row r="6" spans="1:18">
      <c r="A6" s="145" t="s">
        <v>126</v>
      </c>
      <c r="B6" s="145" t="s">
        <v>127</v>
      </c>
      <c r="C6" s="808" t="s">
        <v>128</v>
      </c>
      <c r="D6" s="145" t="s">
        <v>129</v>
      </c>
      <c r="E6" s="145" t="s">
        <v>130</v>
      </c>
      <c r="F6" s="732" t="s">
        <v>131</v>
      </c>
      <c r="G6" s="145" t="s">
        <v>132</v>
      </c>
      <c r="H6" s="145">
        <v>8</v>
      </c>
      <c r="I6" s="145">
        <v>9</v>
      </c>
      <c r="J6" s="809"/>
    </row>
    <row r="7" spans="1:18" s="135" customFormat="1" ht="21" customHeight="1">
      <c r="A7" s="146"/>
      <c r="B7" s="147"/>
      <c r="C7" s="147" t="s">
        <v>373</v>
      </c>
      <c r="D7" s="147" t="s">
        <v>374</v>
      </c>
      <c r="E7" s="147"/>
      <c r="F7" s="734"/>
      <c r="G7" s="811"/>
      <c r="H7" s="735">
        <f>H8</f>
        <v>0</v>
      </c>
      <c r="J7" s="801"/>
      <c r="K7" s="812"/>
    </row>
    <row r="8" spans="1:18" ht="13.5" customHeight="1">
      <c r="A8" s="148"/>
      <c r="B8" s="149"/>
      <c r="C8" s="813">
        <v>790</v>
      </c>
      <c r="D8" s="149" t="s">
        <v>849</v>
      </c>
      <c r="E8" s="149"/>
      <c r="F8" s="772"/>
      <c r="G8" s="738"/>
      <c r="H8" s="738">
        <f>SUM(H9:H10,H13:H15,H19:H22,H25:H28,H33:H36,H41:H225)</f>
        <v>0</v>
      </c>
      <c r="I8" s="150"/>
    </row>
    <row r="9" spans="1:18" ht="27" customHeight="1">
      <c r="A9" s="746" t="s">
        <v>126</v>
      </c>
      <c r="B9" s="177">
        <v>790</v>
      </c>
      <c r="C9" s="177" t="s">
        <v>1128</v>
      </c>
      <c r="D9" s="177" t="s">
        <v>1129</v>
      </c>
      <c r="E9" s="177" t="s">
        <v>49</v>
      </c>
      <c r="F9" s="773">
        <f>ROUND(SUM(F13),3)</f>
        <v>1</v>
      </c>
      <c r="G9" s="178">
        <f>ROUND(SUM(H11:H12)/F9,2)</f>
        <v>0</v>
      </c>
      <c r="H9" s="814">
        <f t="shared" ref="H9:H12" si="0">ROUND(F9*G9,2)</f>
        <v>0</v>
      </c>
      <c r="I9" s="216" t="s">
        <v>112</v>
      </c>
      <c r="J9" s="815"/>
      <c r="K9" s="816"/>
    </row>
    <row r="10" spans="1:18" ht="13.5" customHeight="1">
      <c r="A10" s="817"/>
      <c r="B10" s="183"/>
      <c r="C10" s="183"/>
      <c r="D10" s="183" t="s">
        <v>1130</v>
      </c>
      <c r="E10" s="183"/>
      <c r="F10" s="742"/>
      <c r="G10" s="818"/>
      <c r="H10" s="818"/>
      <c r="I10" s="150"/>
    </row>
    <row r="11" spans="1:18" ht="13.5" customHeight="1">
      <c r="A11" s="817" t="s">
        <v>1131</v>
      </c>
      <c r="B11" s="183"/>
      <c r="C11" s="819" t="s">
        <v>1132</v>
      </c>
      <c r="D11" s="183" t="s">
        <v>1133</v>
      </c>
      <c r="E11" s="183" t="s">
        <v>165</v>
      </c>
      <c r="F11" s="742">
        <f xml:space="preserve"> ((1.45+1.8)*1.85)</f>
        <v>6.0125000000000002</v>
      </c>
      <c r="G11" s="820"/>
      <c r="H11" s="821">
        <f t="shared" si="0"/>
        <v>0</v>
      </c>
      <c r="I11" s="494" t="s">
        <v>138</v>
      </c>
    </row>
    <row r="12" spans="1:18" ht="13.5" customHeight="1">
      <c r="A12" s="817" t="s">
        <v>1134</v>
      </c>
      <c r="B12" s="183"/>
      <c r="C12" s="819" t="s">
        <v>1135</v>
      </c>
      <c r="D12" s="183" t="s">
        <v>1136</v>
      </c>
      <c r="E12" s="183" t="s">
        <v>210</v>
      </c>
      <c r="F12" s="742">
        <v>2</v>
      </c>
      <c r="G12" s="820"/>
      <c r="H12" s="821">
        <f t="shared" si="0"/>
        <v>0</v>
      </c>
      <c r="I12" s="494" t="s">
        <v>138</v>
      </c>
    </row>
    <row r="13" spans="1:18" ht="13.5" customHeight="1">
      <c r="A13" s="822"/>
      <c r="B13" s="177"/>
      <c r="C13" s="177"/>
      <c r="D13" s="183" t="s">
        <v>1137</v>
      </c>
      <c r="E13" s="183"/>
      <c r="F13" s="742">
        <v>1</v>
      </c>
      <c r="G13" s="738"/>
      <c r="H13" s="738"/>
      <c r="I13" s="150"/>
    </row>
    <row r="14" spans="1:18" ht="13.5" customHeight="1">
      <c r="A14" s="822"/>
      <c r="B14" s="177"/>
      <c r="C14" s="177"/>
      <c r="D14" s="183" t="s">
        <v>1138</v>
      </c>
      <c r="E14" s="183"/>
      <c r="F14" s="742"/>
      <c r="G14" s="738"/>
      <c r="H14" s="738"/>
      <c r="I14" s="150"/>
    </row>
    <row r="15" spans="1:18" ht="27" customHeight="1">
      <c r="A15" s="746" t="s">
        <v>127</v>
      </c>
      <c r="B15" s="177">
        <v>790</v>
      </c>
      <c r="C15" s="177" t="s">
        <v>1139</v>
      </c>
      <c r="D15" s="177" t="s">
        <v>1140</v>
      </c>
      <c r="E15" s="177" t="s">
        <v>49</v>
      </c>
      <c r="F15" s="773">
        <f>ROUND(SUM(F19),3)</f>
        <v>1</v>
      </c>
      <c r="G15" s="178">
        <f>ROUND(SUM(H17:H18)/F15,2)</f>
        <v>0</v>
      </c>
      <c r="H15" s="814">
        <f t="shared" ref="H15" si="1">ROUND(F15*G15,2)</f>
        <v>0</v>
      </c>
      <c r="I15" s="216" t="s">
        <v>112</v>
      </c>
      <c r="J15" s="815"/>
      <c r="K15" s="816"/>
    </row>
    <row r="16" spans="1:18" ht="13.5" customHeight="1">
      <c r="A16" s="817"/>
      <c r="B16" s="183"/>
      <c r="C16" s="183"/>
      <c r="D16" s="183" t="s">
        <v>1130</v>
      </c>
      <c r="E16" s="183"/>
      <c r="F16" s="742"/>
      <c r="G16" s="818"/>
      <c r="H16" s="818"/>
      <c r="I16" s="150"/>
      <c r="K16" s="633"/>
    </row>
    <row r="17" spans="1:21" ht="13.5" customHeight="1">
      <c r="A17" s="817" t="s">
        <v>1141</v>
      </c>
      <c r="B17" s="183"/>
      <c r="C17" s="819" t="s">
        <v>1132</v>
      </c>
      <c r="D17" s="183" t="s">
        <v>1142</v>
      </c>
      <c r="E17" s="183" t="s">
        <v>165</v>
      </c>
      <c r="F17" s="742">
        <f>((1.58+1.8)*1.85)</f>
        <v>6.2530000000000001</v>
      </c>
      <c r="G17" s="820"/>
      <c r="H17" s="821">
        <f t="shared" ref="H17:H18" si="2">ROUND(F17*G17,2)</f>
        <v>0</v>
      </c>
      <c r="I17" s="494" t="s">
        <v>138</v>
      </c>
    </row>
    <row r="18" spans="1:21" ht="13.5" customHeight="1">
      <c r="A18" s="817" t="s">
        <v>1143</v>
      </c>
      <c r="B18" s="183"/>
      <c r="C18" s="819" t="s">
        <v>1135</v>
      </c>
      <c r="D18" s="183" t="s">
        <v>1136</v>
      </c>
      <c r="E18" s="183" t="s">
        <v>210</v>
      </c>
      <c r="F18" s="742">
        <v>2</v>
      </c>
      <c r="G18" s="820"/>
      <c r="H18" s="821">
        <f t="shared" si="2"/>
        <v>0</v>
      </c>
      <c r="I18" s="494" t="s">
        <v>138</v>
      </c>
    </row>
    <row r="19" spans="1:21" ht="13.5" customHeight="1">
      <c r="A19" s="822"/>
      <c r="B19" s="177"/>
      <c r="C19" s="177"/>
      <c r="D19" s="183" t="s">
        <v>1137</v>
      </c>
      <c r="E19" s="183"/>
      <c r="F19" s="742">
        <v>1</v>
      </c>
      <c r="G19" s="738"/>
      <c r="H19" s="738"/>
      <c r="I19" s="150"/>
    </row>
    <row r="20" spans="1:21" ht="13.5" customHeight="1">
      <c r="A20" s="822"/>
      <c r="B20" s="177"/>
      <c r="C20" s="177"/>
      <c r="D20" s="183" t="s">
        <v>1138</v>
      </c>
      <c r="E20" s="183"/>
      <c r="F20" s="742"/>
      <c r="G20" s="738"/>
      <c r="H20" s="738"/>
      <c r="I20" s="150"/>
    </row>
    <row r="21" spans="1:21" ht="27" customHeight="1">
      <c r="A21" s="746" t="s">
        <v>128</v>
      </c>
      <c r="B21" s="177">
        <v>790</v>
      </c>
      <c r="C21" s="177" t="s">
        <v>1144</v>
      </c>
      <c r="D21" s="177" t="s">
        <v>1145</v>
      </c>
      <c r="E21" s="177" t="s">
        <v>49</v>
      </c>
      <c r="F21" s="773">
        <f>ROUND(SUM(F25),3)</f>
        <v>1</v>
      </c>
      <c r="G21" s="178">
        <f>ROUND(SUM(H23:H24)/F21,2)</f>
        <v>0</v>
      </c>
      <c r="H21" s="814">
        <f t="shared" ref="H21" si="3">ROUND(F21*G21,2)</f>
        <v>0</v>
      </c>
      <c r="I21" s="216" t="s">
        <v>112</v>
      </c>
      <c r="J21" s="815"/>
      <c r="K21" s="816"/>
    </row>
    <row r="22" spans="1:21" ht="13.5" customHeight="1">
      <c r="A22" s="817"/>
      <c r="B22" s="183"/>
      <c r="C22" s="183"/>
      <c r="D22" s="183" t="s">
        <v>1130</v>
      </c>
      <c r="E22" s="183"/>
      <c r="F22" s="742"/>
      <c r="G22" s="818"/>
      <c r="H22" s="818"/>
      <c r="I22" s="150"/>
      <c r="K22" s="633"/>
    </row>
    <row r="23" spans="1:21" ht="13.5" customHeight="1">
      <c r="A23" s="817" t="s">
        <v>1146</v>
      </c>
      <c r="B23" s="183"/>
      <c r="C23" s="819" t="s">
        <v>1132</v>
      </c>
      <c r="D23" s="183" t="s">
        <v>1147</v>
      </c>
      <c r="E23" s="183" t="s">
        <v>165</v>
      </c>
      <c r="F23" s="742">
        <f>(1.46*2+2.6)*1.85</f>
        <v>10.212</v>
      </c>
      <c r="G23" s="820"/>
      <c r="H23" s="821">
        <f t="shared" ref="H23:H24" si="4">ROUND(F23*G23,2)</f>
        <v>0</v>
      </c>
      <c r="I23" s="494" t="s">
        <v>138</v>
      </c>
    </row>
    <row r="24" spans="1:21" ht="13.5" customHeight="1">
      <c r="A24" s="817" t="s">
        <v>1148</v>
      </c>
      <c r="B24" s="183"/>
      <c r="C24" s="819" t="s">
        <v>1135</v>
      </c>
      <c r="D24" s="183" t="s">
        <v>1136</v>
      </c>
      <c r="E24" s="183" t="s">
        <v>210</v>
      </c>
      <c r="F24" s="742">
        <v>3</v>
      </c>
      <c r="G24" s="820"/>
      <c r="H24" s="821">
        <f t="shared" si="4"/>
        <v>0</v>
      </c>
      <c r="I24" s="494" t="s">
        <v>138</v>
      </c>
    </row>
    <row r="25" spans="1:21" ht="13.5" customHeight="1">
      <c r="A25" s="822"/>
      <c r="B25" s="177"/>
      <c r="C25" s="177"/>
      <c r="D25" s="183" t="s">
        <v>1137</v>
      </c>
      <c r="E25" s="183"/>
      <c r="F25" s="742">
        <v>1</v>
      </c>
      <c r="G25" s="738"/>
      <c r="H25" s="738"/>
      <c r="I25" s="150"/>
    </row>
    <row r="26" spans="1:21" ht="13.5" customHeight="1">
      <c r="A26" s="822"/>
      <c r="B26" s="177"/>
      <c r="C26" s="177"/>
      <c r="D26" s="183" t="s">
        <v>1138</v>
      </c>
      <c r="E26" s="183"/>
      <c r="F26" s="742"/>
      <c r="G26" s="738"/>
      <c r="H26" s="738"/>
      <c r="I26" s="150"/>
    </row>
    <row r="27" spans="1:21" ht="27" customHeight="1">
      <c r="A27" s="186">
        <v>4</v>
      </c>
      <c r="B27" s="177">
        <v>790</v>
      </c>
      <c r="C27" s="177" t="s">
        <v>1149</v>
      </c>
      <c r="D27" s="177" t="s">
        <v>1150</v>
      </c>
      <c r="E27" s="177" t="s">
        <v>165</v>
      </c>
      <c r="F27" s="773">
        <f>ROUND(SUM(F33),3)</f>
        <v>0.91</v>
      </c>
      <c r="G27" s="178">
        <f>ROUND(SUM(H29:H32)/F27,2)</f>
        <v>0</v>
      </c>
      <c r="H27" s="814">
        <f t="shared" ref="H27" si="5">ROUND(F27*G27,2)</f>
        <v>0</v>
      </c>
      <c r="I27" s="216" t="s">
        <v>112</v>
      </c>
      <c r="J27" s="815"/>
      <c r="K27" s="633"/>
    </row>
    <row r="28" spans="1:21" ht="13.5" customHeight="1">
      <c r="A28" s="284"/>
      <c r="B28" s="183"/>
      <c r="C28" s="183"/>
      <c r="D28" s="183" t="s">
        <v>1151</v>
      </c>
      <c r="E28" s="183"/>
      <c r="F28" s="742"/>
      <c r="G28" s="818"/>
      <c r="H28" s="818"/>
      <c r="I28" s="306"/>
      <c r="J28" s="823"/>
      <c r="K28" s="824"/>
      <c r="M28" s="825"/>
    </row>
    <row r="29" spans="1:21" ht="13.5" customHeight="1">
      <c r="A29" s="817" t="s">
        <v>1152</v>
      </c>
      <c r="B29" s="183"/>
      <c r="C29" s="183">
        <v>767531121</v>
      </c>
      <c r="D29" s="183" t="s">
        <v>1153</v>
      </c>
      <c r="E29" s="183" t="s">
        <v>142</v>
      </c>
      <c r="F29" s="742">
        <f>(F33)*2</f>
        <v>1.82</v>
      </c>
      <c r="G29" s="820"/>
      <c r="H29" s="821">
        <f t="shared" ref="H29:H32" si="6">ROUND(F29*G29,2)</f>
        <v>0</v>
      </c>
      <c r="I29" s="494" t="s">
        <v>138</v>
      </c>
      <c r="J29" s="815"/>
      <c r="K29" s="826"/>
      <c r="U29" s="827"/>
    </row>
    <row r="30" spans="1:21" s="834" customFormat="1" ht="13.5" customHeight="1">
      <c r="A30" s="817" t="s">
        <v>1154</v>
      </c>
      <c r="B30" s="776"/>
      <c r="C30" s="776" t="s">
        <v>1155</v>
      </c>
      <c r="D30" s="776" t="s">
        <v>1156</v>
      </c>
      <c r="E30" s="776" t="s">
        <v>142</v>
      </c>
      <c r="F30" s="828">
        <f>(F33)*2*1.05</f>
        <v>1.9110000000000003</v>
      </c>
      <c r="G30" s="829"/>
      <c r="H30" s="821">
        <f t="shared" si="6"/>
        <v>0</v>
      </c>
      <c r="I30" s="830" t="s">
        <v>112</v>
      </c>
      <c r="J30" s="831"/>
      <c r="K30" s="832"/>
      <c r="L30" s="447"/>
      <c r="M30" s="833"/>
      <c r="U30" s="835"/>
    </row>
    <row r="31" spans="1:21" ht="13.5" customHeight="1">
      <c r="A31" s="817" t="s">
        <v>1157</v>
      </c>
      <c r="B31" s="183"/>
      <c r="C31" s="183">
        <v>767531212</v>
      </c>
      <c r="D31" s="183" t="s">
        <v>1158</v>
      </c>
      <c r="E31" s="183" t="s">
        <v>165</v>
      </c>
      <c r="F31" s="742">
        <f>F33</f>
        <v>0.91</v>
      </c>
      <c r="G31" s="820"/>
      <c r="H31" s="821">
        <f t="shared" si="6"/>
        <v>0</v>
      </c>
      <c r="I31" s="494" t="s">
        <v>138</v>
      </c>
      <c r="J31" s="815"/>
      <c r="K31" s="836"/>
      <c r="L31" s="135"/>
      <c r="M31" s="324"/>
      <c r="N31" s="325"/>
      <c r="O31" s="320"/>
      <c r="P31" s="837"/>
      <c r="Q31" s="135"/>
      <c r="R31" s="135"/>
      <c r="S31" s="318"/>
      <c r="U31" s="827"/>
    </row>
    <row r="32" spans="1:21" s="834" customFormat="1" ht="13.5" customHeight="1">
      <c r="A32" s="817" t="s">
        <v>1159</v>
      </c>
      <c r="B32" s="776"/>
      <c r="C32" s="776" t="s">
        <v>1160</v>
      </c>
      <c r="D32" s="776" t="s">
        <v>1161</v>
      </c>
      <c r="E32" s="776" t="s">
        <v>165</v>
      </c>
      <c r="F32" s="828">
        <f>(F33)*1.05</f>
        <v>0.95550000000000013</v>
      </c>
      <c r="G32" s="829"/>
      <c r="H32" s="821">
        <f t="shared" si="6"/>
        <v>0</v>
      </c>
      <c r="I32" s="830" t="s">
        <v>112</v>
      </c>
      <c r="J32" s="831"/>
      <c r="K32" s="832"/>
      <c r="L32" s="447"/>
      <c r="M32" s="838"/>
      <c r="N32" s="839"/>
      <c r="O32" s="840"/>
      <c r="P32" s="841"/>
      <c r="Q32" s="447"/>
      <c r="R32" s="447"/>
      <c r="S32" s="842"/>
      <c r="U32" s="835"/>
    </row>
    <row r="33" spans="1:257" ht="13.5" customHeight="1">
      <c r="A33" s="284"/>
      <c r="B33" s="183"/>
      <c r="C33" s="183"/>
      <c r="D33" s="183" t="s">
        <v>1162</v>
      </c>
      <c r="E33" s="183"/>
      <c r="F33" s="742">
        <f xml:space="preserve"> (0.91)</f>
        <v>0.91</v>
      </c>
      <c r="G33" s="818"/>
      <c r="H33" s="818"/>
      <c r="I33" s="306"/>
      <c r="J33" s="823"/>
      <c r="K33" s="843"/>
      <c r="M33" s="825"/>
    </row>
    <row r="34" spans="1:257" ht="13.5" customHeight="1">
      <c r="A34" s="148"/>
      <c r="B34" s="149"/>
      <c r="C34" s="149"/>
      <c r="D34" s="300" t="s">
        <v>1163</v>
      </c>
      <c r="E34" s="149"/>
      <c r="F34" s="772"/>
      <c r="G34" s="738"/>
      <c r="H34" s="738"/>
      <c r="I34" s="306"/>
      <c r="J34" s="823"/>
      <c r="K34" s="843"/>
    </row>
    <row r="35" spans="1:257" ht="27" customHeight="1">
      <c r="A35" s="186">
        <v>5</v>
      </c>
      <c r="B35" s="177">
        <v>790</v>
      </c>
      <c r="C35" s="177" t="s">
        <v>1149</v>
      </c>
      <c r="D35" s="177" t="s">
        <v>1164</v>
      </c>
      <c r="E35" s="177" t="s">
        <v>165</v>
      </c>
      <c r="F35" s="773">
        <f>ROUND(SUM(F41:F41),3)</f>
        <v>20.23</v>
      </c>
      <c r="G35" s="178">
        <f>ROUND(SUM(H37:H40)/F35,2)</f>
        <v>0</v>
      </c>
      <c r="H35" s="814">
        <f t="shared" ref="H35" si="7">ROUND(F35*G35,2)</f>
        <v>0</v>
      </c>
      <c r="I35" s="216" t="s">
        <v>112</v>
      </c>
      <c r="J35" s="815"/>
      <c r="K35" s="633"/>
    </row>
    <row r="36" spans="1:257" ht="13.5" customHeight="1">
      <c r="A36" s="284"/>
      <c r="B36" s="183"/>
      <c r="C36" s="183"/>
      <c r="D36" s="183" t="s">
        <v>1165</v>
      </c>
      <c r="E36" s="183"/>
      <c r="F36" s="742"/>
      <c r="G36" s="818"/>
      <c r="H36" s="818"/>
      <c r="I36" s="306"/>
      <c r="J36" s="823"/>
      <c r="K36" s="824"/>
      <c r="M36" s="825"/>
    </row>
    <row r="37" spans="1:257" ht="13.5" customHeight="1">
      <c r="A37" s="817" t="s">
        <v>1166</v>
      </c>
      <c r="B37" s="183"/>
      <c r="C37" s="183">
        <v>767531121</v>
      </c>
      <c r="D37" s="183" t="s">
        <v>1167</v>
      </c>
      <c r="E37" s="183" t="s">
        <v>142</v>
      </c>
      <c r="F37" s="742">
        <f>(F41)*2</f>
        <v>40.46</v>
      </c>
      <c r="G37" s="820"/>
      <c r="H37" s="821">
        <f t="shared" ref="H37:H40" si="8">ROUND(F37*G37,2)</f>
        <v>0</v>
      </c>
      <c r="I37" s="494" t="s">
        <v>138</v>
      </c>
      <c r="J37" s="815"/>
      <c r="K37" s="826"/>
      <c r="U37" s="827"/>
    </row>
    <row r="38" spans="1:257" s="834" customFormat="1" ht="13.5" customHeight="1">
      <c r="A38" s="817" t="s">
        <v>1168</v>
      </c>
      <c r="B38" s="776"/>
      <c r="C38" s="776" t="s">
        <v>1169</v>
      </c>
      <c r="D38" s="776" t="s">
        <v>1170</v>
      </c>
      <c r="E38" s="776" t="s">
        <v>142</v>
      </c>
      <c r="F38" s="828">
        <f xml:space="preserve"> (F41*2)*1.05</f>
        <v>42.483000000000004</v>
      </c>
      <c r="G38" s="829"/>
      <c r="H38" s="821">
        <f t="shared" si="8"/>
        <v>0</v>
      </c>
      <c r="I38" s="830" t="s">
        <v>112</v>
      </c>
      <c r="J38" s="831"/>
      <c r="K38" s="844"/>
      <c r="L38" s="447"/>
      <c r="M38" s="833"/>
      <c r="U38" s="835"/>
    </row>
    <row r="39" spans="1:257" ht="13.5" customHeight="1">
      <c r="A39" s="817" t="s">
        <v>1171</v>
      </c>
      <c r="B39" s="183"/>
      <c r="C39" s="183">
        <v>767531212</v>
      </c>
      <c r="D39" s="183" t="s">
        <v>1172</v>
      </c>
      <c r="E39" s="183" t="s">
        <v>165</v>
      </c>
      <c r="F39" s="742">
        <f xml:space="preserve"> (F41)</f>
        <v>20.23</v>
      </c>
      <c r="G39" s="820"/>
      <c r="H39" s="821">
        <f t="shared" si="8"/>
        <v>0</v>
      </c>
      <c r="I39" s="494" t="s">
        <v>138</v>
      </c>
      <c r="J39" s="815"/>
      <c r="K39" s="449"/>
      <c r="L39" s="135"/>
      <c r="M39" s="324"/>
      <c r="N39" s="325"/>
      <c r="O39" s="320"/>
      <c r="P39" s="837"/>
      <c r="Q39" s="135"/>
      <c r="R39" s="135"/>
      <c r="S39" s="318"/>
      <c r="U39" s="827"/>
    </row>
    <row r="40" spans="1:257" s="834" customFormat="1" ht="13.5" customHeight="1">
      <c r="A40" s="817" t="s">
        <v>1173</v>
      </c>
      <c r="B40" s="776"/>
      <c r="C40" s="776">
        <v>69752121</v>
      </c>
      <c r="D40" s="776" t="s">
        <v>1174</v>
      </c>
      <c r="E40" s="776" t="s">
        <v>165</v>
      </c>
      <c r="F40" s="828">
        <f>(F41)*1.05</f>
        <v>21.241500000000002</v>
      </c>
      <c r="G40" s="829"/>
      <c r="H40" s="821">
        <f t="shared" si="8"/>
        <v>0</v>
      </c>
      <c r="I40" s="830" t="s">
        <v>112</v>
      </c>
      <c r="J40" s="831"/>
      <c r="K40" s="447"/>
      <c r="L40" s="447"/>
      <c r="M40" s="838"/>
      <c r="N40" s="839"/>
      <c r="O40" s="840"/>
      <c r="P40" s="841"/>
      <c r="Q40" s="447"/>
      <c r="R40" s="447"/>
      <c r="S40" s="842"/>
      <c r="U40" s="835"/>
    </row>
    <row r="41" spans="1:257" ht="13.5" customHeight="1">
      <c r="A41" s="284"/>
      <c r="B41" s="183"/>
      <c r="C41" s="183"/>
      <c r="D41" s="183" t="s">
        <v>1175</v>
      </c>
      <c r="E41" s="183"/>
      <c r="F41" s="742">
        <f>(17.92+2.31)</f>
        <v>20.23</v>
      </c>
      <c r="G41" s="818"/>
      <c r="H41" s="818"/>
      <c r="I41" s="306"/>
      <c r="J41" s="823"/>
      <c r="K41" s="843"/>
      <c r="M41" s="825"/>
    </row>
    <row r="42" spans="1:257" ht="13.5" customHeight="1">
      <c r="A42" s="148"/>
      <c r="B42" s="149"/>
      <c r="C42" s="149"/>
      <c r="D42" s="300" t="s">
        <v>1163</v>
      </c>
      <c r="E42" s="149"/>
      <c r="F42" s="772"/>
      <c r="G42" s="738"/>
      <c r="H42" s="738"/>
      <c r="I42" s="306"/>
      <c r="J42" s="823"/>
      <c r="K42" s="843"/>
    </row>
    <row r="43" spans="1:257" ht="27" customHeight="1">
      <c r="A43" s="746" t="s">
        <v>131</v>
      </c>
      <c r="B43" s="177">
        <v>790</v>
      </c>
      <c r="C43" s="177" t="s">
        <v>1176</v>
      </c>
      <c r="D43" s="177" t="s">
        <v>1177</v>
      </c>
      <c r="E43" s="177" t="s">
        <v>210</v>
      </c>
      <c r="F43" s="845">
        <f>SUM(F45:F47)</f>
        <v>10</v>
      </c>
      <c r="G43" s="181"/>
      <c r="H43" s="814">
        <f t="shared" ref="H43" si="9">ROUND(F43*G43,2)</f>
        <v>0</v>
      </c>
      <c r="I43" s="216" t="s">
        <v>112</v>
      </c>
      <c r="J43" s="815"/>
      <c r="K43" s="346"/>
      <c r="L43" s="323"/>
      <c r="M43" s="846"/>
      <c r="N43" s="325"/>
      <c r="O43" s="847"/>
      <c r="P43" s="848"/>
      <c r="Q43" s="135"/>
      <c r="R43" s="135"/>
      <c r="S43" s="849"/>
    </row>
    <row r="44" spans="1:257" ht="13.5" customHeight="1">
      <c r="A44" s="822"/>
      <c r="B44" s="180"/>
      <c r="C44" s="177"/>
      <c r="D44" s="183" t="s">
        <v>1178</v>
      </c>
      <c r="E44" s="177"/>
      <c r="F44" s="740"/>
      <c r="G44" s="181"/>
      <c r="H44" s="181"/>
      <c r="I44" s="850"/>
      <c r="J44" s="851"/>
      <c r="L44" s="852"/>
      <c r="M44" s="13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5"/>
      <c r="CN44" s="325"/>
      <c r="CO44" s="325"/>
      <c r="CP44" s="325"/>
      <c r="CQ44" s="325"/>
      <c r="CR44" s="325"/>
      <c r="CS44" s="325"/>
      <c r="CT44" s="325"/>
      <c r="CU44" s="325"/>
      <c r="CV44" s="325"/>
      <c r="CW44" s="325"/>
      <c r="CX44" s="325"/>
      <c r="CY44" s="325"/>
      <c r="CZ44" s="325"/>
      <c r="DA44" s="325"/>
      <c r="DB44" s="325"/>
      <c r="DC44" s="325"/>
      <c r="DD44" s="325"/>
      <c r="DE44" s="325"/>
      <c r="DF44" s="325"/>
      <c r="DG44" s="325"/>
      <c r="DH44" s="325"/>
      <c r="DI44" s="325"/>
      <c r="DJ44" s="325"/>
      <c r="DK44" s="325"/>
      <c r="DL44" s="325"/>
      <c r="DM44" s="325"/>
      <c r="DN44" s="325"/>
      <c r="DO44" s="325"/>
      <c r="DP44" s="325"/>
      <c r="DQ44" s="325"/>
      <c r="DR44" s="325"/>
      <c r="DS44" s="325"/>
      <c r="DT44" s="325"/>
      <c r="DU44" s="325"/>
      <c r="DV44" s="325"/>
      <c r="DW44" s="325"/>
      <c r="DX44" s="325"/>
      <c r="DY44" s="325"/>
      <c r="DZ44" s="325"/>
      <c r="EA44" s="325"/>
      <c r="EB44" s="325"/>
      <c r="EC44" s="325"/>
      <c r="ED44" s="325"/>
      <c r="EE44" s="325"/>
      <c r="EF44" s="325"/>
      <c r="EG44" s="325"/>
      <c r="EH44" s="325"/>
      <c r="EI44" s="325"/>
      <c r="EJ44" s="325"/>
      <c r="EK44" s="325"/>
      <c r="EL44" s="325"/>
      <c r="EM44" s="325"/>
      <c r="EN44" s="325"/>
      <c r="EO44" s="325"/>
      <c r="EP44" s="325"/>
      <c r="EQ44" s="325"/>
      <c r="ER44" s="325"/>
      <c r="ES44" s="325"/>
      <c r="ET44" s="325"/>
      <c r="EU44" s="325"/>
      <c r="EV44" s="325"/>
      <c r="EW44" s="325"/>
      <c r="EX44" s="325"/>
      <c r="EY44" s="325"/>
      <c r="EZ44" s="325"/>
      <c r="FA44" s="325"/>
      <c r="FB44" s="325"/>
      <c r="FC44" s="325"/>
      <c r="FD44" s="325"/>
      <c r="FE44" s="325"/>
      <c r="FF44" s="325"/>
      <c r="FG44" s="325"/>
      <c r="FH44" s="325"/>
      <c r="FI44" s="325"/>
      <c r="FJ44" s="325"/>
      <c r="FK44" s="325"/>
      <c r="FL44" s="325"/>
      <c r="FM44" s="325"/>
      <c r="FN44" s="325"/>
      <c r="FO44" s="325"/>
      <c r="FP44" s="325"/>
      <c r="FQ44" s="325"/>
      <c r="FR44" s="325"/>
      <c r="FS44" s="325"/>
      <c r="FT44" s="325"/>
      <c r="FU44" s="325"/>
      <c r="FV44" s="325"/>
      <c r="FW44" s="325"/>
      <c r="FX44" s="325"/>
      <c r="FY44" s="325"/>
      <c r="FZ44" s="325"/>
      <c r="GA44" s="325"/>
      <c r="GB44" s="325"/>
      <c r="GC44" s="325"/>
      <c r="GD44" s="325"/>
      <c r="GE44" s="325"/>
      <c r="GF44" s="325"/>
      <c r="GG44" s="325"/>
      <c r="GH44" s="325"/>
      <c r="GI44" s="325"/>
      <c r="GJ44" s="325"/>
      <c r="GK44" s="325"/>
      <c r="GL44" s="325"/>
      <c r="GM44" s="325"/>
      <c r="GN44" s="325"/>
      <c r="GO44" s="325"/>
      <c r="GP44" s="325"/>
      <c r="GQ44" s="325"/>
      <c r="GR44" s="325"/>
      <c r="GS44" s="325"/>
      <c r="GT44" s="325"/>
      <c r="GU44" s="325"/>
      <c r="GV44" s="325"/>
      <c r="GW44" s="325"/>
      <c r="GX44" s="325"/>
      <c r="GY44" s="325"/>
      <c r="GZ44" s="325"/>
      <c r="HA44" s="325"/>
      <c r="HB44" s="325"/>
      <c r="HC44" s="325"/>
      <c r="HD44" s="325"/>
      <c r="HE44" s="325"/>
      <c r="HF44" s="325"/>
      <c r="HG44" s="325"/>
      <c r="HH44" s="325"/>
      <c r="HI44" s="325"/>
      <c r="HJ44" s="325"/>
      <c r="HK44" s="325"/>
      <c r="HL44" s="325"/>
      <c r="HM44" s="325"/>
      <c r="HN44" s="325"/>
      <c r="HO44" s="325"/>
      <c r="HP44" s="325"/>
      <c r="HQ44" s="325"/>
      <c r="HR44" s="325"/>
      <c r="HS44" s="325"/>
      <c r="HT44" s="325"/>
      <c r="HU44" s="325"/>
      <c r="HV44" s="325"/>
      <c r="HW44" s="325"/>
      <c r="HX44" s="325"/>
      <c r="HY44" s="325"/>
      <c r="HZ44" s="325"/>
      <c r="IA44" s="325"/>
      <c r="IB44" s="325"/>
      <c r="IC44" s="325"/>
      <c r="ID44" s="325"/>
      <c r="IE44" s="325"/>
      <c r="IF44" s="325"/>
      <c r="IG44" s="325"/>
      <c r="IH44" s="325"/>
      <c r="II44" s="325"/>
      <c r="IJ44" s="325"/>
      <c r="IK44" s="325"/>
      <c r="IL44" s="325"/>
      <c r="IM44" s="325"/>
      <c r="IN44" s="325"/>
      <c r="IO44" s="325"/>
      <c r="IP44" s="325"/>
      <c r="IQ44" s="325"/>
      <c r="IR44" s="325"/>
      <c r="IS44" s="325"/>
      <c r="IT44" s="325"/>
      <c r="IU44" s="325"/>
      <c r="IV44" s="325"/>
      <c r="IW44" s="325"/>
    </row>
    <row r="45" spans="1:257" ht="13.5" customHeight="1">
      <c r="A45" s="822"/>
      <c r="B45" s="177"/>
      <c r="C45" s="177"/>
      <c r="D45" s="183" t="s">
        <v>1032</v>
      </c>
      <c r="E45" s="183"/>
      <c r="F45" s="742">
        <v>3</v>
      </c>
      <c r="G45" s="738"/>
      <c r="H45" s="738"/>
      <c r="I45" s="150"/>
      <c r="J45" s="853"/>
    </row>
    <row r="46" spans="1:257" ht="13.5" customHeight="1">
      <c r="A46" s="817"/>
      <c r="B46" s="183"/>
      <c r="C46" s="183"/>
      <c r="D46" s="183" t="s">
        <v>1040</v>
      </c>
      <c r="E46" s="183"/>
      <c r="F46" s="742">
        <v>4</v>
      </c>
      <c r="G46" s="818"/>
      <c r="H46" s="818"/>
      <c r="I46" s="150"/>
      <c r="J46" s="853"/>
      <c r="T46" s="827"/>
    </row>
    <row r="47" spans="1:257" ht="13.5" customHeight="1">
      <c r="A47" s="822"/>
      <c r="B47" s="180"/>
      <c r="C47" s="177"/>
      <c r="D47" s="183" t="s">
        <v>1071</v>
      </c>
      <c r="E47" s="183"/>
      <c r="F47" s="742">
        <v>3</v>
      </c>
      <c r="G47" s="181"/>
      <c r="H47" s="181"/>
      <c r="I47" s="850"/>
      <c r="J47" s="851"/>
      <c r="K47" s="810"/>
      <c r="L47" s="852"/>
      <c r="M47" s="13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  <c r="CB47" s="325"/>
      <c r="CC47" s="325"/>
      <c r="CD47" s="325"/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325"/>
      <c r="CP47" s="325"/>
      <c r="CQ47" s="325"/>
      <c r="CR47" s="325"/>
      <c r="CS47" s="325"/>
      <c r="CT47" s="325"/>
      <c r="CU47" s="325"/>
      <c r="CV47" s="325"/>
      <c r="CW47" s="325"/>
      <c r="CX47" s="325"/>
      <c r="CY47" s="325"/>
      <c r="CZ47" s="325"/>
      <c r="DA47" s="325"/>
      <c r="DB47" s="325"/>
      <c r="DC47" s="325"/>
      <c r="DD47" s="325"/>
      <c r="DE47" s="325"/>
      <c r="DF47" s="325"/>
      <c r="DG47" s="325"/>
      <c r="DH47" s="325"/>
      <c r="DI47" s="325"/>
      <c r="DJ47" s="325"/>
      <c r="DK47" s="325"/>
      <c r="DL47" s="325"/>
      <c r="DM47" s="325"/>
      <c r="DN47" s="325"/>
      <c r="DO47" s="325"/>
      <c r="DP47" s="325"/>
      <c r="DQ47" s="325"/>
      <c r="DR47" s="325"/>
      <c r="DS47" s="325"/>
      <c r="DT47" s="325"/>
      <c r="DU47" s="325"/>
      <c r="DV47" s="325"/>
      <c r="DW47" s="325"/>
      <c r="DX47" s="325"/>
      <c r="DY47" s="325"/>
      <c r="DZ47" s="325"/>
      <c r="EA47" s="325"/>
      <c r="EB47" s="325"/>
      <c r="EC47" s="325"/>
      <c r="ED47" s="325"/>
      <c r="EE47" s="325"/>
      <c r="EF47" s="325"/>
      <c r="EG47" s="325"/>
      <c r="EH47" s="325"/>
      <c r="EI47" s="325"/>
      <c r="EJ47" s="325"/>
      <c r="EK47" s="325"/>
      <c r="EL47" s="325"/>
      <c r="EM47" s="325"/>
      <c r="EN47" s="325"/>
      <c r="EO47" s="325"/>
      <c r="EP47" s="325"/>
      <c r="EQ47" s="325"/>
      <c r="ER47" s="325"/>
      <c r="ES47" s="325"/>
      <c r="ET47" s="325"/>
      <c r="EU47" s="325"/>
      <c r="EV47" s="325"/>
      <c r="EW47" s="325"/>
      <c r="EX47" s="325"/>
      <c r="EY47" s="325"/>
      <c r="EZ47" s="325"/>
      <c r="FA47" s="325"/>
      <c r="FB47" s="325"/>
      <c r="FC47" s="325"/>
      <c r="FD47" s="325"/>
      <c r="FE47" s="325"/>
      <c r="FF47" s="325"/>
      <c r="FG47" s="325"/>
      <c r="FH47" s="325"/>
      <c r="FI47" s="325"/>
      <c r="FJ47" s="325"/>
      <c r="FK47" s="325"/>
      <c r="FL47" s="325"/>
      <c r="FM47" s="325"/>
      <c r="FN47" s="325"/>
      <c r="FO47" s="325"/>
      <c r="FP47" s="325"/>
      <c r="FQ47" s="325"/>
      <c r="FR47" s="325"/>
      <c r="FS47" s="325"/>
      <c r="FT47" s="325"/>
      <c r="FU47" s="325"/>
      <c r="FV47" s="325"/>
      <c r="FW47" s="325"/>
      <c r="FX47" s="325"/>
      <c r="FY47" s="325"/>
      <c r="FZ47" s="325"/>
      <c r="GA47" s="325"/>
      <c r="GB47" s="325"/>
      <c r="GC47" s="325"/>
      <c r="GD47" s="325"/>
      <c r="GE47" s="325"/>
      <c r="GF47" s="325"/>
      <c r="GG47" s="325"/>
      <c r="GH47" s="325"/>
      <c r="GI47" s="325"/>
      <c r="GJ47" s="325"/>
      <c r="GK47" s="325"/>
      <c r="GL47" s="325"/>
      <c r="GM47" s="325"/>
      <c r="GN47" s="325"/>
      <c r="GO47" s="325"/>
      <c r="GP47" s="325"/>
      <c r="GQ47" s="325"/>
      <c r="GR47" s="325"/>
      <c r="GS47" s="325"/>
      <c r="GT47" s="325"/>
      <c r="GU47" s="325"/>
      <c r="GV47" s="325"/>
      <c r="GW47" s="325"/>
      <c r="GX47" s="325"/>
      <c r="GY47" s="325"/>
      <c r="GZ47" s="325"/>
      <c r="HA47" s="325"/>
      <c r="HB47" s="325"/>
      <c r="HC47" s="325"/>
      <c r="HD47" s="325"/>
      <c r="HE47" s="325"/>
      <c r="HF47" s="325"/>
      <c r="HG47" s="325"/>
      <c r="HH47" s="325"/>
      <c r="HI47" s="325"/>
      <c r="HJ47" s="325"/>
      <c r="HK47" s="325"/>
      <c r="HL47" s="325"/>
      <c r="HM47" s="325"/>
      <c r="HN47" s="325"/>
      <c r="HO47" s="325"/>
      <c r="HP47" s="325"/>
      <c r="HQ47" s="325"/>
      <c r="HR47" s="325"/>
      <c r="HS47" s="325"/>
      <c r="HT47" s="325"/>
      <c r="HU47" s="325"/>
      <c r="HV47" s="325"/>
      <c r="HW47" s="325"/>
      <c r="HX47" s="325"/>
      <c r="HY47" s="325"/>
      <c r="HZ47" s="325"/>
      <c r="IA47" s="325"/>
      <c r="IB47" s="325"/>
      <c r="IC47" s="325"/>
      <c r="ID47" s="325"/>
      <c r="IE47" s="325"/>
      <c r="IF47" s="325"/>
      <c r="IG47" s="325"/>
      <c r="IH47" s="325"/>
      <c r="II47" s="325"/>
      <c r="IJ47" s="325"/>
      <c r="IK47" s="325"/>
      <c r="IL47" s="325"/>
      <c r="IM47" s="325"/>
      <c r="IN47" s="325"/>
      <c r="IO47" s="325"/>
      <c r="IP47" s="325"/>
      <c r="IQ47" s="325"/>
      <c r="IR47" s="325"/>
      <c r="IS47" s="325"/>
      <c r="IT47" s="325"/>
      <c r="IU47" s="325"/>
      <c r="IV47" s="325"/>
      <c r="IW47" s="325"/>
    </row>
    <row r="48" spans="1:257" ht="13.5" customHeight="1">
      <c r="A48" s="822"/>
      <c r="B48" s="180"/>
      <c r="C48" s="177"/>
      <c r="D48" s="183" t="s">
        <v>1179</v>
      </c>
      <c r="E48" s="177"/>
      <c r="F48" s="742"/>
      <c r="G48" s="181"/>
      <c r="H48" s="181"/>
      <c r="I48" s="216"/>
      <c r="J48" s="815"/>
      <c r="K48" s="852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  <c r="CB48" s="325"/>
      <c r="CC48" s="325"/>
      <c r="CD48" s="325"/>
      <c r="CE48" s="325"/>
      <c r="CF48" s="325"/>
      <c r="CG48" s="325"/>
      <c r="CH48" s="325"/>
      <c r="CI48" s="325"/>
      <c r="CJ48" s="325"/>
      <c r="CK48" s="325"/>
      <c r="CL48" s="325"/>
      <c r="CM48" s="325"/>
      <c r="CN48" s="325"/>
      <c r="CO48" s="325"/>
      <c r="CP48" s="325"/>
      <c r="CQ48" s="325"/>
      <c r="CR48" s="325"/>
      <c r="CS48" s="325"/>
      <c r="CT48" s="325"/>
      <c r="CU48" s="325"/>
      <c r="CV48" s="325"/>
      <c r="CW48" s="325"/>
      <c r="CX48" s="325"/>
      <c r="CY48" s="325"/>
      <c r="CZ48" s="325"/>
      <c r="DA48" s="325"/>
      <c r="DB48" s="325"/>
      <c r="DC48" s="325"/>
      <c r="DD48" s="325"/>
      <c r="DE48" s="325"/>
      <c r="DF48" s="325"/>
      <c r="DG48" s="325"/>
      <c r="DH48" s="325"/>
      <c r="DI48" s="325"/>
      <c r="DJ48" s="325"/>
      <c r="DK48" s="325"/>
      <c r="DL48" s="325"/>
      <c r="DM48" s="325"/>
      <c r="DN48" s="325"/>
      <c r="DO48" s="325"/>
      <c r="DP48" s="325"/>
      <c r="DQ48" s="325"/>
      <c r="DR48" s="325"/>
      <c r="DS48" s="325"/>
      <c r="DT48" s="325"/>
      <c r="DU48" s="325"/>
      <c r="DV48" s="325"/>
      <c r="DW48" s="325"/>
      <c r="DX48" s="325"/>
      <c r="DY48" s="325"/>
      <c r="DZ48" s="325"/>
      <c r="EA48" s="325"/>
      <c r="EB48" s="325"/>
      <c r="EC48" s="325"/>
      <c r="ED48" s="325"/>
      <c r="EE48" s="325"/>
      <c r="EF48" s="325"/>
      <c r="EG48" s="325"/>
      <c r="EH48" s="325"/>
      <c r="EI48" s="325"/>
      <c r="EJ48" s="325"/>
      <c r="EK48" s="325"/>
      <c r="EL48" s="325"/>
      <c r="EM48" s="325"/>
      <c r="EN48" s="325"/>
      <c r="EO48" s="325"/>
      <c r="EP48" s="325"/>
      <c r="EQ48" s="325"/>
      <c r="ER48" s="325"/>
      <c r="ES48" s="325"/>
      <c r="ET48" s="325"/>
      <c r="EU48" s="325"/>
      <c r="EV48" s="325"/>
      <c r="EW48" s="325"/>
      <c r="EX48" s="325"/>
      <c r="EY48" s="325"/>
      <c r="EZ48" s="325"/>
      <c r="FA48" s="325"/>
      <c r="FB48" s="325"/>
      <c r="FC48" s="325"/>
      <c r="FD48" s="325"/>
      <c r="FE48" s="325"/>
      <c r="FF48" s="325"/>
      <c r="FG48" s="325"/>
      <c r="FH48" s="325"/>
      <c r="FI48" s="325"/>
      <c r="FJ48" s="325"/>
      <c r="FK48" s="325"/>
      <c r="FL48" s="325"/>
      <c r="FM48" s="325"/>
      <c r="FN48" s="325"/>
      <c r="FO48" s="325"/>
      <c r="FP48" s="325"/>
      <c r="FQ48" s="325"/>
      <c r="FR48" s="325"/>
      <c r="FS48" s="325"/>
      <c r="FT48" s="325"/>
      <c r="FU48" s="325"/>
      <c r="FV48" s="325"/>
      <c r="FW48" s="325"/>
      <c r="FX48" s="325"/>
      <c r="FY48" s="325"/>
      <c r="FZ48" s="325"/>
      <c r="GA48" s="325"/>
      <c r="GB48" s="325"/>
      <c r="GC48" s="325"/>
      <c r="GD48" s="325"/>
      <c r="GE48" s="325"/>
      <c r="GF48" s="325"/>
      <c r="GG48" s="325"/>
      <c r="GH48" s="325"/>
      <c r="GI48" s="325"/>
      <c r="GJ48" s="325"/>
      <c r="GK48" s="325"/>
      <c r="GL48" s="325"/>
      <c r="GM48" s="325"/>
      <c r="GN48" s="325"/>
      <c r="GO48" s="325"/>
      <c r="GP48" s="325"/>
      <c r="GQ48" s="325"/>
      <c r="GR48" s="325"/>
      <c r="GS48" s="325"/>
      <c r="GT48" s="325"/>
      <c r="GU48" s="325"/>
      <c r="GV48" s="325"/>
      <c r="GW48" s="325"/>
      <c r="GX48" s="325"/>
      <c r="GY48" s="325"/>
      <c r="GZ48" s="325"/>
      <c r="HA48" s="325"/>
      <c r="HB48" s="325"/>
      <c r="HC48" s="325"/>
      <c r="HD48" s="325"/>
      <c r="HE48" s="325"/>
      <c r="HF48" s="325"/>
      <c r="HG48" s="325"/>
      <c r="HH48" s="325"/>
      <c r="HI48" s="325"/>
      <c r="HJ48" s="325"/>
      <c r="HK48" s="325"/>
      <c r="HL48" s="325"/>
      <c r="HM48" s="325"/>
      <c r="HN48" s="325"/>
      <c r="HO48" s="325"/>
      <c r="HP48" s="325"/>
      <c r="HQ48" s="325"/>
      <c r="HR48" s="325"/>
      <c r="HS48" s="325"/>
      <c r="HT48" s="325"/>
      <c r="HU48" s="325"/>
      <c r="HV48" s="325"/>
      <c r="HW48" s="325"/>
      <c r="HX48" s="325"/>
      <c r="HY48" s="325"/>
      <c r="HZ48" s="325"/>
      <c r="IA48" s="325"/>
      <c r="IB48" s="325"/>
      <c r="IC48" s="325"/>
      <c r="ID48" s="325"/>
      <c r="IE48" s="325"/>
      <c r="IF48" s="325"/>
      <c r="IG48" s="325"/>
      <c r="IH48" s="325"/>
      <c r="II48" s="325"/>
      <c r="IJ48" s="325"/>
      <c r="IK48" s="325"/>
      <c r="IL48" s="325"/>
      <c r="IM48" s="325"/>
      <c r="IN48" s="325"/>
      <c r="IO48" s="325"/>
      <c r="IP48" s="325"/>
      <c r="IQ48" s="325"/>
      <c r="IR48" s="325"/>
      <c r="IS48" s="325"/>
      <c r="IT48" s="325"/>
      <c r="IU48" s="325"/>
      <c r="IV48" s="325"/>
      <c r="IW48" s="325"/>
    </row>
    <row r="49" spans="1:257" ht="27" customHeight="1">
      <c r="A49" s="854">
        <v>7</v>
      </c>
      <c r="B49" s="177">
        <v>790</v>
      </c>
      <c r="C49" s="177" t="s">
        <v>1176</v>
      </c>
      <c r="D49" s="177" t="s">
        <v>1180</v>
      </c>
      <c r="E49" s="177" t="s">
        <v>210</v>
      </c>
      <c r="F49" s="773">
        <f>ROUND(SUM(F51:F53),3)</f>
        <v>3</v>
      </c>
      <c r="G49" s="178"/>
      <c r="H49" s="814">
        <f t="shared" ref="H49" si="10">ROUND(F49*G49,2)</f>
        <v>0</v>
      </c>
      <c r="I49" s="216" t="s">
        <v>112</v>
      </c>
      <c r="J49" s="855"/>
      <c r="K49" s="323"/>
      <c r="L49" s="846"/>
      <c r="M49" s="325"/>
      <c r="N49" s="847"/>
      <c r="O49" s="848"/>
      <c r="P49" s="135"/>
      <c r="Q49" s="135"/>
      <c r="R49" s="849"/>
    </row>
    <row r="50" spans="1:257" ht="27" customHeight="1">
      <c r="A50" s="302"/>
      <c r="B50" s="183"/>
      <c r="C50" s="183"/>
      <c r="D50" s="300" t="s">
        <v>1181</v>
      </c>
      <c r="E50" s="183"/>
      <c r="F50" s="742"/>
      <c r="G50" s="305"/>
      <c r="H50" s="305"/>
      <c r="I50" s="150"/>
      <c r="J50" s="856"/>
      <c r="U50" s="857"/>
    </row>
    <row r="51" spans="1:257" ht="13.5" customHeight="1">
      <c r="A51" s="822"/>
      <c r="B51" s="177"/>
      <c r="C51" s="177"/>
      <c r="D51" s="183" t="s">
        <v>1032</v>
      </c>
      <c r="E51" s="183"/>
      <c r="F51" s="742">
        <v>1</v>
      </c>
      <c r="G51" s="738"/>
      <c r="H51" s="738"/>
      <c r="I51" s="150"/>
      <c r="J51" s="853"/>
    </row>
    <row r="52" spans="1:257" ht="13.5" customHeight="1">
      <c r="A52" s="302"/>
      <c r="B52" s="183"/>
      <c r="C52" s="183"/>
      <c r="D52" s="183" t="s">
        <v>1182</v>
      </c>
      <c r="E52" s="183"/>
      <c r="F52" s="742">
        <v>1</v>
      </c>
      <c r="G52" s="305"/>
      <c r="H52" s="305"/>
      <c r="I52" s="150"/>
      <c r="J52" s="858"/>
    </row>
    <row r="53" spans="1:257" ht="13.5" customHeight="1">
      <c r="A53" s="822"/>
      <c r="B53" s="180"/>
      <c r="C53" s="177"/>
      <c r="D53" s="183" t="s">
        <v>1071</v>
      </c>
      <c r="E53" s="183"/>
      <c r="F53" s="742">
        <v>1</v>
      </c>
      <c r="G53" s="181"/>
      <c r="H53" s="181"/>
      <c r="I53" s="850"/>
      <c r="J53" s="851"/>
      <c r="K53" s="810"/>
      <c r="L53" s="852"/>
      <c r="M53" s="13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  <c r="CB53" s="325"/>
      <c r="CC53" s="325"/>
      <c r="CD53" s="325"/>
      <c r="CE53" s="325"/>
      <c r="CF53" s="325"/>
      <c r="CG53" s="325"/>
      <c r="CH53" s="325"/>
      <c r="CI53" s="325"/>
      <c r="CJ53" s="325"/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  <c r="DF53" s="325"/>
      <c r="DG53" s="325"/>
      <c r="DH53" s="325"/>
      <c r="DI53" s="325"/>
      <c r="DJ53" s="325"/>
      <c r="DK53" s="325"/>
      <c r="DL53" s="325"/>
      <c r="DM53" s="325"/>
      <c r="DN53" s="325"/>
      <c r="DO53" s="325"/>
      <c r="DP53" s="325"/>
      <c r="DQ53" s="325"/>
      <c r="DR53" s="325"/>
      <c r="DS53" s="325"/>
      <c r="DT53" s="325"/>
      <c r="DU53" s="325"/>
      <c r="DV53" s="325"/>
      <c r="DW53" s="325"/>
      <c r="DX53" s="325"/>
      <c r="DY53" s="325"/>
      <c r="DZ53" s="325"/>
      <c r="EA53" s="325"/>
      <c r="EB53" s="325"/>
      <c r="EC53" s="325"/>
      <c r="ED53" s="325"/>
      <c r="EE53" s="325"/>
      <c r="EF53" s="325"/>
      <c r="EG53" s="325"/>
      <c r="EH53" s="325"/>
      <c r="EI53" s="325"/>
      <c r="EJ53" s="325"/>
      <c r="EK53" s="325"/>
      <c r="EL53" s="325"/>
      <c r="EM53" s="325"/>
      <c r="EN53" s="325"/>
      <c r="EO53" s="325"/>
      <c r="EP53" s="325"/>
      <c r="EQ53" s="325"/>
      <c r="ER53" s="325"/>
      <c r="ES53" s="325"/>
      <c r="ET53" s="325"/>
      <c r="EU53" s="325"/>
      <c r="EV53" s="325"/>
      <c r="EW53" s="325"/>
      <c r="EX53" s="325"/>
      <c r="EY53" s="325"/>
      <c r="EZ53" s="325"/>
      <c r="FA53" s="325"/>
      <c r="FB53" s="325"/>
      <c r="FC53" s="325"/>
      <c r="FD53" s="325"/>
      <c r="FE53" s="325"/>
      <c r="FF53" s="325"/>
      <c r="FG53" s="325"/>
      <c r="FH53" s="325"/>
      <c r="FI53" s="325"/>
      <c r="FJ53" s="325"/>
      <c r="FK53" s="325"/>
      <c r="FL53" s="325"/>
      <c r="FM53" s="325"/>
      <c r="FN53" s="325"/>
      <c r="FO53" s="325"/>
      <c r="FP53" s="325"/>
      <c r="FQ53" s="325"/>
      <c r="FR53" s="325"/>
      <c r="FS53" s="325"/>
      <c r="FT53" s="325"/>
      <c r="FU53" s="325"/>
      <c r="FV53" s="325"/>
      <c r="FW53" s="325"/>
      <c r="FX53" s="325"/>
      <c r="FY53" s="325"/>
      <c r="FZ53" s="325"/>
      <c r="GA53" s="325"/>
      <c r="GB53" s="325"/>
      <c r="GC53" s="325"/>
      <c r="GD53" s="325"/>
      <c r="GE53" s="325"/>
      <c r="GF53" s="325"/>
      <c r="GG53" s="325"/>
      <c r="GH53" s="325"/>
      <c r="GI53" s="325"/>
      <c r="GJ53" s="325"/>
      <c r="GK53" s="325"/>
      <c r="GL53" s="325"/>
      <c r="GM53" s="325"/>
      <c r="GN53" s="325"/>
      <c r="GO53" s="325"/>
      <c r="GP53" s="325"/>
      <c r="GQ53" s="325"/>
      <c r="GR53" s="325"/>
      <c r="GS53" s="325"/>
      <c r="GT53" s="325"/>
      <c r="GU53" s="325"/>
      <c r="GV53" s="325"/>
      <c r="GW53" s="325"/>
      <c r="GX53" s="325"/>
      <c r="GY53" s="325"/>
      <c r="GZ53" s="325"/>
      <c r="HA53" s="325"/>
      <c r="HB53" s="325"/>
      <c r="HC53" s="325"/>
      <c r="HD53" s="325"/>
      <c r="HE53" s="325"/>
      <c r="HF53" s="325"/>
      <c r="HG53" s="325"/>
      <c r="HH53" s="325"/>
      <c r="HI53" s="325"/>
      <c r="HJ53" s="325"/>
      <c r="HK53" s="325"/>
      <c r="HL53" s="325"/>
      <c r="HM53" s="325"/>
      <c r="HN53" s="325"/>
      <c r="HO53" s="325"/>
      <c r="HP53" s="325"/>
      <c r="HQ53" s="325"/>
      <c r="HR53" s="325"/>
      <c r="HS53" s="325"/>
      <c r="HT53" s="325"/>
      <c r="HU53" s="325"/>
      <c r="HV53" s="325"/>
      <c r="HW53" s="325"/>
      <c r="HX53" s="325"/>
      <c r="HY53" s="325"/>
      <c r="HZ53" s="325"/>
      <c r="IA53" s="325"/>
      <c r="IB53" s="325"/>
      <c r="IC53" s="325"/>
      <c r="ID53" s="325"/>
      <c r="IE53" s="325"/>
      <c r="IF53" s="325"/>
      <c r="IG53" s="325"/>
      <c r="IH53" s="325"/>
      <c r="II53" s="325"/>
      <c r="IJ53" s="325"/>
      <c r="IK53" s="325"/>
      <c r="IL53" s="325"/>
      <c r="IM53" s="325"/>
      <c r="IN53" s="325"/>
      <c r="IO53" s="325"/>
      <c r="IP53" s="325"/>
      <c r="IQ53" s="325"/>
      <c r="IR53" s="325"/>
      <c r="IS53" s="325"/>
      <c r="IT53" s="325"/>
      <c r="IU53" s="325"/>
      <c r="IV53" s="325"/>
      <c r="IW53" s="325"/>
    </row>
    <row r="54" spans="1:257" ht="13.5" customHeight="1">
      <c r="A54" s="302"/>
      <c r="B54" s="183"/>
      <c r="C54" s="183"/>
      <c r="D54" s="490" t="s">
        <v>1183</v>
      </c>
      <c r="E54" s="183"/>
      <c r="F54" s="742"/>
      <c r="G54" s="305"/>
      <c r="H54" s="305"/>
      <c r="I54" s="859"/>
      <c r="J54" s="855"/>
      <c r="R54" s="857"/>
      <c r="AA54" s="857"/>
    </row>
    <row r="55" spans="1:257" ht="27" customHeight="1">
      <c r="A55" s="746" t="s">
        <v>1184</v>
      </c>
      <c r="B55" s="177">
        <v>790</v>
      </c>
      <c r="C55" s="177" t="s">
        <v>1185</v>
      </c>
      <c r="D55" s="177" t="s">
        <v>1186</v>
      </c>
      <c r="E55" s="177" t="s">
        <v>49</v>
      </c>
      <c r="F55" s="773">
        <f>ROUND(SUM(F57:F58),3)</f>
        <v>3</v>
      </c>
      <c r="G55" s="181"/>
      <c r="H55" s="814">
        <f t="shared" ref="H55" si="11">ROUND(F55*G55,2)</f>
        <v>0</v>
      </c>
      <c r="I55" s="216" t="s">
        <v>112</v>
      </c>
      <c r="J55" s="860"/>
    </row>
    <row r="56" spans="1:257" ht="54" customHeight="1">
      <c r="A56" s="817"/>
      <c r="B56" s="183"/>
      <c r="C56" s="183"/>
      <c r="D56" s="183" t="s">
        <v>1187</v>
      </c>
      <c r="E56" s="183"/>
      <c r="F56" s="742"/>
      <c r="G56" s="818"/>
      <c r="H56" s="818"/>
      <c r="I56" s="150"/>
      <c r="J56" s="856"/>
    </row>
    <row r="57" spans="1:257" ht="13.5" customHeight="1">
      <c r="A57" s="817"/>
      <c r="B57" s="183"/>
      <c r="C57" s="183"/>
      <c r="D57" s="183" t="s">
        <v>1040</v>
      </c>
      <c r="E57" s="183"/>
      <c r="F57" s="742">
        <v>2</v>
      </c>
      <c r="G57" s="818"/>
      <c r="H57" s="818"/>
      <c r="I57" s="150"/>
      <c r="J57" s="856"/>
    </row>
    <row r="58" spans="1:257" ht="13.5" customHeight="1">
      <c r="A58" s="822"/>
      <c r="B58" s="177"/>
      <c r="C58" s="177"/>
      <c r="D58" s="183" t="s">
        <v>1071</v>
      </c>
      <c r="E58" s="183"/>
      <c r="F58" s="742">
        <v>1</v>
      </c>
      <c r="G58" s="738"/>
      <c r="H58" s="738"/>
      <c r="I58" s="150"/>
      <c r="J58" s="855"/>
    </row>
    <row r="59" spans="1:257" ht="27" customHeight="1">
      <c r="A59" s="746" t="s">
        <v>318</v>
      </c>
      <c r="B59" s="177">
        <v>790</v>
      </c>
      <c r="C59" s="177" t="s">
        <v>1188</v>
      </c>
      <c r="D59" s="177" t="s">
        <v>1189</v>
      </c>
      <c r="E59" s="177" t="s">
        <v>49</v>
      </c>
      <c r="F59" s="773">
        <f>ROUND(SUM(F61:F62),3)</f>
        <v>2</v>
      </c>
      <c r="G59" s="181"/>
      <c r="H59" s="814">
        <f t="shared" ref="H59" si="12">ROUND(F59*G59,2)</f>
        <v>0</v>
      </c>
      <c r="I59" s="216" t="s">
        <v>112</v>
      </c>
      <c r="J59" s="860"/>
    </row>
    <row r="60" spans="1:257" ht="54" customHeight="1">
      <c r="A60" s="817"/>
      <c r="B60" s="183"/>
      <c r="C60" s="183"/>
      <c r="D60" s="183" t="s">
        <v>1190</v>
      </c>
      <c r="E60" s="183"/>
      <c r="F60" s="742"/>
      <c r="G60" s="818"/>
      <c r="H60" s="818"/>
      <c r="I60" s="150"/>
      <c r="J60" s="856"/>
    </row>
    <row r="61" spans="1:257" ht="13.5" customHeight="1">
      <c r="A61" s="817"/>
      <c r="B61" s="183"/>
      <c r="C61" s="183"/>
      <c r="D61" s="183" t="s">
        <v>1040</v>
      </c>
      <c r="E61" s="183"/>
      <c r="F61" s="742">
        <v>1</v>
      </c>
      <c r="G61" s="818"/>
      <c r="H61" s="818"/>
      <c r="I61" s="150"/>
      <c r="J61" s="856"/>
    </row>
    <row r="62" spans="1:257" ht="13.5" customHeight="1">
      <c r="A62" s="822"/>
      <c r="B62" s="177"/>
      <c r="C62" s="177"/>
      <c r="D62" s="183" t="s">
        <v>1071</v>
      </c>
      <c r="E62" s="183"/>
      <c r="F62" s="742">
        <v>1</v>
      </c>
      <c r="G62" s="738"/>
      <c r="H62" s="738"/>
      <c r="I62" s="150"/>
      <c r="J62" s="855"/>
    </row>
    <row r="63" spans="1:257" ht="27" customHeight="1">
      <c r="A63" s="186">
        <v>10</v>
      </c>
      <c r="B63" s="177">
        <v>790</v>
      </c>
      <c r="C63" s="177" t="s">
        <v>1191</v>
      </c>
      <c r="D63" s="177" t="s">
        <v>1192</v>
      </c>
      <c r="E63" s="177" t="s">
        <v>210</v>
      </c>
      <c r="F63" s="773">
        <f>ROUND(SUM(F65:F66),3)</f>
        <v>3</v>
      </c>
      <c r="G63" s="181"/>
      <c r="H63" s="814">
        <f t="shared" ref="H63" si="13">ROUND(F63*G63,2)</f>
        <v>0</v>
      </c>
      <c r="I63" s="216" t="s">
        <v>112</v>
      </c>
      <c r="J63" s="855"/>
    </row>
    <row r="64" spans="1:257" ht="27" customHeight="1">
      <c r="A64" s="186"/>
      <c r="B64" s="177"/>
      <c r="C64" s="177"/>
      <c r="D64" s="183" t="s">
        <v>1193</v>
      </c>
      <c r="E64" s="177"/>
      <c r="F64" s="845"/>
      <c r="G64" s="181"/>
      <c r="H64" s="181"/>
      <c r="I64" s="216"/>
      <c r="J64" s="855"/>
      <c r="K64" s="633"/>
      <c r="W64" s="725"/>
    </row>
    <row r="65" spans="1:18" ht="13.5" customHeight="1">
      <c r="A65" s="284"/>
      <c r="B65" s="183"/>
      <c r="C65" s="183"/>
      <c r="D65" s="183" t="s">
        <v>1040</v>
      </c>
      <c r="E65" s="183"/>
      <c r="F65" s="742">
        <v>1</v>
      </c>
      <c r="G65" s="818"/>
      <c r="H65" s="818"/>
      <c r="I65" s="216"/>
      <c r="J65" s="861"/>
      <c r="K65" s="633"/>
      <c r="Q65" s="725"/>
    </row>
    <row r="66" spans="1:18" ht="13.5" customHeight="1">
      <c r="A66" s="284"/>
      <c r="B66" s="183"/>
      <c r="C66" s="183"/>
      <c r="D66" s="183" t="s">
        <v>1071</v>
      </c>
      <c r="E66" s="183"/>
      <c r="F66" s="742">
        <v>2</v>
      </c>
      <c r="G66" s="818"/>
      <c r="H66" s="818"/>
      <c r="I66" s="150"/>
      <c r="J66" s="855"/>
      <c r="K66" s="633"/>
      <c r="Q66" s="725"/>
    </row>
    <row r="67" spans="1:18" ht="13.5" customHeight="1">
      <c r="A67" s="284"/>
      <c r="B67" s="183"/>
      <c r="C67" s="183"/>
      <c r="D67" s="183" t="s">
        <v>1194</v>
      </c>
      <c r="E67" s="183"/>
      <c r="F67" s="742"/>
      <c r="G67" s="818"/>
      <c r="H67" s="818"/>
      <c r="I67" s="150"/>
      <c r="J67" s="855"/>
    </row>
    <row r="68" spans="1:18" ht="27" customHeight="1">
      <c r="A68" s="746" t="s">
        <v>895</v>
      </c>
      <c r="B68" s="177">
        <v>790</v>
      </c>
      <c r="C68" s="177" t="s">
        <v>1195</v>
      </c>
      <c r="D68" s="177" t="s">
        <v>1196</v>
      </c>
      <c r="E68" s="177" t="s">
        <v>210</v>
      </c>
      <c r="F68" s="773">
        <f>ROUND(SUM(F70:F70),3)</f>
        <v>1</v>
      </c>
      <c r="G68" s="181"/>
      <c r="H68" s="814">
        <f t="shared" ref="H68" si="14">ROUND(F68*G68,2)</f>
        <v>0</v>
      </c>
      <c r="I68" s="216" t="s">
        <v>112</v>
      </c>
      <c r="J68" s="855"/>
    </row>
    <row r="69" spans="1:18" ht="27" customHeight="1">
      <c r="A69" s="746"/>
      <c r="B69" s="177"/>
      <c r="C69" s="177"/>
      <c r="D69" s="183" t="s">
        <v>1197</v>
      </c>
      <c r="E69" s="177"/>
      <c r="F69" s="845"/>
      <c r="G69" s="181"/>
      <c r="H69" s="181"/>
      <c r="I69" s="216"/>
      <c r="J69" s="855"/>
      <c r="Q69" s="725"/>
    </row>
    <row r="70" spans="1:18" ht="13.5" customHeight="1">
      <c r="A70" s="817"/>
      <c r="B70" s="183"/>
      <c r="C70" s="183"/>
      <c r="D70" s="183" t="s">
        <v>1040</v>
      </c>
      <c r="E70" s="183"/>
      <c r="F70" s="742">
        <v>1</v>
      </c>
      <c r="G70" s="818"/>
      <c r="H70" s="818"/>
      <c r="I70" s="216"/>
      <c r="J70" s="855"/>
      <c r="R70" s="725"/>
    </row>
    <row r="71" spans="1:18" ht="13.5" customHeight="1">
      <c r="A71" s="817"/>
      <c r="B71" s="183"/>
      <c r="C71" s="183"/>
      <c r="D71" s="183" t="s">
        <v>1194</v>
      </c>
      <c r="E71" s="183"/>
      <c r="F71" s="742"/>
      <c r="G71" s="818"/>
      <c r="H71" s="818"/>
      <c r="I71" s="150"/>
      <c r="J71" s="855"/>
      <c r="K71" s="633"/>
      <c r="Q71" s="725"/>
    </row>
    <row r="72" spans="1:18" ht="27" customHeight="1">
      <c r="A72" s="746" t="s">
        <v>1198</v>
      </c>
      <c r="B72" s="177">
        <v>790</v>
      </c>
      <c r="C72" s="177" t="s">
        <v>1199</v>
      </c>
      <c r="D72" s="177" t="s">
        <v>1200</v>
      </c>
      <c r="E72" s="177" t="s">
        <v>49</v>
      </c>
      <c r="F72" s="773">
        <f>ROUND(SUM(F74),3)</f>
        <v>7</v>
      </c>
      <c r="G72" s="181"/>
      <c r="H72" s="315">
        <f>ROUND(F72*G72,2)</f>
        <v>0</v>
      </c>
      <c r="I72" s="216" t="s">
        <v>112</v>
      </c>
      <c r="J72" s="815"/>
      <c r="K72" s="862"/>
    </row>
    <row r="73" spans="1:18" ht="13.5" customHeight="1">
      <c r="A73" s="817"/>
      <c r="B73" s="183"/>
      <c r="C73" s="183"/>
      <c r="D73" s="183" t="s">
        <v>1201</v>
      </c>
      <c r="E73" s="183"/>
      <c r="F73" s="742"/>
      <c r="G73" s="818"/>
      <c r="H73" s="818"/>
      <c r="I73" s="150"/>
      <c r="K73" s="633"/>
    </row>
    <row r="74" spans="1:18" ht="13.5" customHeight="1">
      <c r="A74" s="822"/>
      <c r="B74" s="177"/>
      <c r="C74" s="177"/>
      <c r="D74" s="183" t="s">
        <v>1202</v>
      </c>
      <c r="E74" s="183"/>
      <c r="F74" s="742">
        <v>7</v>
      </c>
      <c r="G74" s="738"/>
      <c r="H74" s="738"/>
      <c r="I74" s="150"/>
    </row>
    <row r="75" spans="1:18" ht="13.5" customHeight="1">
      <c r="A75" s="746"/>
      <c r="B75" s="177"/>
      <c r="C75" s="177"/>
      <c r="D75" s="183" t="s">
        <v>1203</v>
      </c>
      <c r="E75" s="183"/>
      <c r="F75" s="742"/>
      <c r="G75" s="181"/>
      <c r="H75" s="181"/>
      <c r="I75" s="216"/>
      <c r="J75" s="815"/>
      <c r="K75" s="863"/>
    </row>
    <row r="76" spans="1:18" ht="27" customHeight="1">
      <c r="A76" s="186">
        <v>13</v>
      </c>
      <c r="B76" s="177">
        <v>790</v>
      </c>
      <c r="C76" s="177" t="s">
        <v>1204</v>
      </c>
      <c r="D76" s="177" t="s">
        <v>1205</v>
      </c>
      <c r="E76" s="177" t="s">
        <v>210</v>
      </c>
      <c r="F76" s="773">
        <f>ROUND(SUM(F78),3)</f>
        <v>1</v>
      </c>
      <c r="G76" s="181"/>
      <c r="H76" s="814">
        <f t="shared" ref="H76" si="15">ROUND(F76*G76,2)</f>
        <v>0</v>
      </c>
      <c r="I76" s="216" t="s">
        <v>112</v>
      </c>
      <c r="J76" s="855"/>
    </row>
    <row r="77" spans="1:18" ht="13.5" customHeight="1">
      <c r="A77" s="186"/>
      <c r="B77" s="177"/>
      <c r="C77" s="177"/>
      <c r="D77" s="183" t="s">
        <v>1206</v>
      </c>
      <c r="E77" s="177"/>
      <c r="F77" s="845"/>
      <c r="G77" s="181"/>
      <c r="H77" s="181"/>
      <c r="I77" s="216"/>
      <c r="J77" s="815"/>
      <c r="K77" s="864"/>
      <c r="L77" s="633"/>
    </row>
    <row r="78" spans="1:18" ht="13.5" customHeight="1">
      <c r="A78" s="284"/>
      <c r="B78" s="183"/>
      <c r="C78" s="183"/>
      <c r="D78" s="183" t="s">
        <v>1202</v>
      </c>
      <c r="E78" s="183"/>
      <c r="F78" s="742">
        <v>1</v>
      </c>
      <c r="G78" s="818"/>
      <c r="H78" s="818"/>
      <c r="I78" s="216"/>
      <c r="J78" s="865"/>
    </row>
    <row r="79" spans="1:18" ht="13.5" customHeight="1">
      <c r="A79" s="148"/>
      <c r="B79" s="149"/>
      <c r="C79" s="149"/>
      <c r="D79" s="183" t="s">
        <v>1203</v>
      </c>
      <c r="E79" s="149"/>
      <c r="F79" s="772"/>
      <c r="G79" s="738"/>
      <c r="H79" s="738"/>
      <c r="I79" s="306"/>
      <c r="J79" s="865"/>
    </row>
    <row r="80" spans="1:18" s="158" customFormat="1" ht="27" customHeight="1">
      <c r="A80" s="356">
        <v>14</v>
      </c>
      <c r="B80" s="180">
        <v>790</v>
      </c>
      <c r="C80" s="177" t="s">
        <v>1207</v>
      </c>
      <c r="D80" s="177" t="s">
        <v>1208</v>
      </c>
      <c r="E80" s="357" t="s">
        <v>210</v>
      </c>
      <c r="F80" s="768">
        <f>ROUND(SUM(F82),3)</f>
        <v>1</v>
      </c>
      <c r="G80" s="664"/>
      <c r="H80" s="741">
        <f>ROUND(F80*G80,2)</f>
        <v>0</v>
      </c>
      <c r="I80" s="216" t="s">
        <v>112</v>
      </c>
      <c r="J80" s="769"/>
      <c r="L80" s="771"/>
      <c r="M80" s="761"/>
    </row>
    <row r="81" spans="1:19" s="135" customFormat="1" ht="13.5" customHeight="1">
      <c r="A81" s="179"/>
      <c r="B81" s="180"/>
      <c r="C81" s="177"/>
      <c r="D81" s="866" t="s">
        <v>1209</v>
      </c>
      <c r="E81" s="177"/>
      <c r="F81" s="742"/>
      <c r="G81" s="181"/>
      <c r="H81" s="181"/>
      <c r="I81" s="867"/>
      <c r="J81" s="687"/>
      <c r="K81" s="605"/>
      <c r="L81" s="325"/>
      <c r="M81" s="325"/>
      <c r="N81" s="325"/>
      <c r="O81" s="325"/>
      <c r="P81" s="325"/>
      <c r="Q81" s="325"/>
      <c r="R81" s="442"/>
      <c r="S81" s="182"/>
    </row>
    <row r="82" spans="1:19" s="135" customFormat="1" ht="13.5" customHeight="1">
      <c r="A82" s="179"/>
      <c r="B82" s="180"/>
      <c r="C82" s="177"/>
      <c r="D82" s="866" t="s">
        <v>1040</v>
      </c>
      <c r="E82" s="177"/>
      <c r="F82" s="742">
        <v>1</v>
      </c>
      <c r="G82" s="181"/>
      <c r="H82" s="181"/>
      <c r="I82" s="867"/>
      <c r="J82" s="687"/>
      <c r="K82" s="605"/>
      <c r="L82" s="325"/>
      <c r="M82" s="325"/>
      <c r="N82" s="325"/>
      <c r="O82" s="325"/>
      <c r="P82" s="325"/>
      <c r="Q82" s="325"/>
      <c r="R82" s="442"/>
      <c r="S82" s="182"/>
    </row>
    <row r="83" spans="1:19" s="158" customFormat="1" ht="27" customHeight="1">
      <c r="A83" s="356">
        <v>15</v>
      </c>
      <c r="B83" s="180">
        <v>790</v>
      </c>
      <c r="C83" s="177" t="s">
        <v>1207</v>
      </c>
      <c r="D83" s="177" t="s">
        <v>1210</v>
      </c>
      <c r="E83" s="357" t="s">
        <v>210</v>
      </c>
      <c r="F83" s="768">
        <f>ROUND(SUM(F85),3)</f>
        <v>1</v>
      </c>
      <c r="G83" s="664"/>
      <c r="H83" s="741">
        <f>ROUND(F83*G83,2)</f>
        <v>0</v>
      </c>
      <c r="I83" s="216" t="s">
        <v>112</v>
      </c>
      <c r="J83" s="769"/>
      <c r="L83" s="771"/>
      <c r="M83" s="761"/>
    </row>
    <row r="84" spans="1:19" s="135" customFormat="1" ht="13.5" customHeight="1">
      <c r="A84" s="179"/>
      <c r="B84" s="180"/>
      <c r="C84" s="177"/>
      <c r="D84" s="866" t="s">
        <v>1211</v>
      </c>
      <c r="E84" s="177"/>
      <c r="F84" s="742"/>
      <c r="G84" s="181"/>
      <c r="H84" s="181"/>
      <c r="I84" s="867"/>
      <c r="J84" s="687"/>
      <c r="K84" s="605"/>
      <c r="L84" s="325"/>
      <c r="M84" s="325"/>
      <c r="N84" s="325"/>
      <c r="O84" s="325"/>
      <c r="P84" s="325"/>
      <c r="Q84" s="325"/>
      <c r="R84" s="442"/>
      <c r="S84" s="182"/>
    </row>
    <row r="85" spans="1:19" s="135" customFormat="1" ht="13.5" customHeight="1">
      <c r="A85" s="179"/>
      <c r="B85" s="180"/>
      <c r="C85" s="177"/>
      <c r="D85" s="866" t="s">
        <v>1040</v>
      </c>
      <c r="E85" s="177"/>
      <c r="F85" s="742">
        <v>1</v>
      </c>
      <c r="G85" s="181"/>
      <c r="H85" s="181"/>
      <c r="I85" s="867"/>
      <c r="J85" s="687"/>
      <c r="K85" s="605"/>
      <c r="L85" s="325"/>
      <c r="M85" s="325"/>
      <c r="N85" s="325"/>
      <c r="O85" s="325"/>
      <c r="P85" s="325"/>
      <c r="Q85" s="325"/>
      <c r="R85" s="442"/>
      <c r="S85" s="182"/>
    </row>
    <row r="86" spans="1:19" ht="27" customHeight="1">
      <c r="A86" s="746" t="s">
        <v>1212</v>
      </c>
      <c r="B86" s="177">
        <v>790</v>
      </c>
      <c r="C86" s="177" t="s">
        <v>1144</v>
      </c>
      <c r="D86" s="177" t="s">
        <v>1213</v>
      </c>
      <c r="E86" s="177" t="s">
        <v>142</v>
      </c>
      <c r="F86" s="845">
        <f>SUM(F88:F88)</f>
        <v>55.5</v>
      </c>
      <c r="G86" s="181"/>
      <c r="H86" s="814">
        <f t="shared" ref="H86" si="16">ROUND(F86*G86,2)</f>
        <v>0</v>
      </c>
      <c r="I86" s="216" t="s">
        <v>112</v>
      </c>
      <c r="J86" s="815"/>
      <c r="K86" s="816"/>
    </row>
    <row r="87" spans="1:19" ht="13.5" customHeight="1">
      <c r="A87" s="817"/>
      <c r="B87" s="183"/>
      <c r="C87" s="183"/>
      <c r="D87" s="183" t="s">
        <v>1214</v>
      </c>
      <c r="E87" s="183"/>
      <c r="F87" s="742"/>
      <c r="G87" s="818"/>
      <c r="H87" s="818"/>
      <c r="I87" s="285"/>
      <c r="K87" s="633"/>
    </row>
    <row r="88" spans="1:19" ht="13.5" customHeight="1">
      <c r="A88" s="822"/>
      <c r="B88" s="177"/>
      <c r="C88" s="177"/>
      <c r="D88" s="183" t="s">
        <v>1040</v>
      </c>
      <c r="E88" s="183"/>
      <c r="F88" s="742">
        <v>55.5</v>
      </c>
      <c r="G88" s="738"/>
      <c r="H88" s="738"/>
      <c r="I88" s="150"/>
      <c r="K88" s="633"/>
    </row>
    <row r="89" spans="1:19" ht="27" customHeight="1">
      <c r="A89" s="746" t="s">
        <v>896</v>
      </c>
      <c r="B89" s="177">
        <v>790</v>
      </c>
      <c r="C89" s="177" t="s">
        <v>1144</v>
      </c>
      <c r="D89" s="177" t="s">
        <v>1215</v>
      </c>
      <c r="E89" s="177" t="s">
        <v>142</v>
      </c>
      <c r="F89" s="845">
        <f>SUM(F91:F91)</f>
        <v>55.5</v>
      </c>
      <c r="G89" s="181"/>
      <c r="H89" s="814">
        <f t="shared" ref="H89" si="17">ROUND(F89*G89,2)</f>
        <v>0</v>
      </c>
      <c r="I89" s="216" t="s">
        <v>112</v>
      </c>
      <c r="J89" s="815"/>
      <c r="K89" s="816"/>
    </row>
    <row r="90" spans="1:19" ht="13.5" customHeight="1">
      <c r="A90" s="817"/>
      <c r="B90" s="183"/>
      <c r="C90" s="183"/>
      <c r="D90" s="183" t="s">
        <v>1214</v>
      </c>
      <c r="E90" s="183"/>
      <c r="F90" s="742"/>
      <c r="G90" s="818"/>
      <c r="H90" s="818"/>
      <c r="I90" s="285"/>
      <c r="K90" s="633"/>
    </row>
    <row r="91" spans="1:19" ht="13.5" customHeight="1">
      <c r="A91" s="822"/>
      <c r="B91" s="177"/>
      <c r="C91" s="177"/>
      <c r="D91" s="183" t="s">
        <v>1040</v>
      </c>
      <c r="E91" s="183"/>
      <c r="F91" s="742">
        <v>55.5</v>
      </c>
      <c r="G91" s="738"/>
      <c r="H91" s="738"/>
      <c r="I91" s="150"/>
      <c r="K91" s="633"/>
    </row>
    <row r="92" spans="1:19" ht="27" customHeight="1">
      <c r="A92" s="746" t="s">
        <v>201</v>
      </c>
      <c r="B92" s="177">
        <v>790</v>
      </c>
      <c r="C92" s="177" t="s">
        <v>1216</v>
      </c>
      <c r="D92" s="177" t="s">
        <v>1217</v>
      </c>
      <c r="E92" s="177" t="s">
        <v>210</v>
      </c>
      <c r="F92" s="773">
        <f>ROUND(SUM(F94:F95),3)</f>
        <v>46</v>
      </c>
      <c r="G92" s="181"/>
      <c r="H92" s="814">
        <f t="shared" ref="H92" si="18">ROUND(F92*G92,2)</f>
        <v>0</v>
      </c>
      <c r="I92" s="216" t="s">
        <v>112</v>
      </c>
      <c r="J92" s="868"/>
      <c r="K92" s="869"/>
    </row>
    <row r="93" spans="1:19" ht="13.5" customHeight="1">
      <c r="A93" s="817"/>
      <c r="B93" s="183"/>
      <c r="C93" s="183"/>
      <c r="D93" s="183" t="s">
        <v>1218</v>
      </c>
      <c r="E93" s="183"/>
      <c r="F93" s="742"/>
      <c r="G93" s="818"/>
      <c r="H93" s="818"/>
      <c r="I93" s="150"/>
      <c r="J93" s="870"/>
      <c r="K93" s="871"/>
    </row>
    <row r="94" spans="1:19" ht="13.5" customHeight="1">
      <c r="A94" s="822"/>
      <c r="B94" s="177"/>
      <c r="C94" s="177"/>
      <c r="D94" s="183" t="s">
        <v>1040</v>
      </c>
      <c r="E94" s="183"/>
      <c r="F94" s="742">
        <v>39</v>
      </c>
      <c r="G94" s="738"/>
      <c r="H94" s="738"/>
      <c r="I94" s="150"/>
      <c r="J94" s="872"/>
    </row>
    <row r="95" spans="1:19" ht="13.5" customHeight="1">
      <c r="A95" s="822"/>
      <c r="B95" s="177"/>
      <c r="C95" s="177"/>
      <c r="D95" s="183" t="s">
        <v>1071</v>
      </c>
      <c r="E95" s="183"/>
      <c r="F95" s="742">
        <v>7</v>
      </c>
      <c r="G95" s="738"/>
      <c r="H95" s="738"/>
      <c r="I95" s="150"/>
      <c r="J95" s="872"/>
      <c r="K95" s="873"/>
    </row>
    <row r="96" spans="1:19" ht="13.5" customHeight="1">
      <c r="A96" s="746"/>
      <c r="B96" s="177"/>
      <c r="C96" s="177"/>
      <c r="D96" s="183" t="s">
        <v>1203</v>
      </c>
      <c r="E96" s="183"/>
      <c r="F96" s="742"/>
      <c r="G96" s="181"/>
      <c r="H96" s="181"/>
      <c r="I96" s="216"/>
      <c r="J96" s="872"/>
      <c r="K96" s="873"/>
    </row>
    <row r="97" spans="1:23" ht="27" customHeight="1">
      <c r="A97" s="186">
        <v>19</v>
      </c>
      <c r="B97" s="177">
        <v>790</v>
      </c>
      <c r="C97" s="177" t="s">
        <v>1219</v>
      </c>
      <c r="D97" s="177" t="s">
        <v>1220</v>
      </c>
      <c r="E97" s="177" t="s">
        <v>210</v>
      </c>
      <c r="F97" s="845">
        <f>SUM(F99:F99)</f>
        <v>2</v>
      </c>
      <c r="G97" s="181"/>
      <c r="H97" s="814">
        <f t="shared" ref="H97" si="19">ROUND(F97*G97,2)</f>
        <v>0</v>
      </c>
      <c r="I97" s="216" t="s">
        <v>112</v>
      </c>
      <c r="J97" s="855"/>
    </row>
    <row r="98" spans="1:23" ht="13.5" customHeight="1">
      <c r="A98" s="186"/>
      <c r="B98" s="177"/>
      <c r="C98" s="177"/>
      <c r="D98" s="183" t="s">
        <v>1221</v>
      </c>
      <c r="E98" s="177"/>
      <c r="F98" s="845"/>
      <c r="G98" s="181"/>
      <c r="H98" s="181"/>
      <c r="I98" s="216"/>
      <c r="J98" s="855"/>
      <c r="K98" s="633"/>
      <c r="W98" s="725"/>
    </row>
    <row r="99" spans="1:23" ht="13.5" customHeight="1">
      <c r="A99" s="284"/>
      <c r="B99" s="183"/>
      <c r="C99" s="183"/>
      <c r="D99" s="183" t="s">
        <v>1040</v>
      </c>
      <c r="E99" s="183"/>
      <c r="F99" s="742">
        <v>2</v>
      </c>
      <c r="G99" s="818"/>
      <c r="H99" s="818"/>
      <c r="I99" s="216"/>
      <c r="J99" s="861"/>
      <c r="K99" s="633"/>
      <c r="Q99" s="725"/>
    </row>
    <row r="100" spans="1:23" ht="13.5" customHeight="1">
      <c r="A100" s="284"/>
      <c r="B100" s="183"/>
      <c r="C100" s="183"/>
      <c r="D100" s="183" t="s">
        <v>1194</v>
      </c>
      <c r="E100" s="183"/>
      <c r="F100" s="742"/>
      <c r="G100" s="818"/>
      <c r="H100" s="818"/>
      <c r="I100" s="150"/>
      <c r="J100" s="855"/>
    </row>
    <row r="101" spans="1:23" ht="27" customHeight="1">
      <c r="A101" s="746" t="s">
        <v>213</v>
      </c>
      <c r="B101" s="177">
        <v>790</v>
      </c>
      <c r="C101" s="177" t="s">
        <v>1188</v>
      </c>
      <c r="D101" s="177" t="s">
        <v>1222</v>
      </c>
      <c r="E101" s="177" t="s">
        <v>210</v>
      </c>
      <c r="F101" s="845">
        <f>SUM(F103:F103)</f>
        <v>2</v>
      </c>
      <c r="G101" s="181"/>
      <c r="H101" s="814">
        <f t="shared" ref="H101" si="20">ROUND(F101*G101,2)</f>
        <v>0</v>
      </c>
      <c r="I101" s="216" t="s">
        <v>112</v>
      </c>
      <c r="J101" s="855"/>
    </row>
    <row r="102" spans="1:23" ht="13.5" customHeight="1">
      <c r="A102" s="746"/>
      <c r="B102" s="177"/>
      <c r="C102" s="177"/>
      <c r="D102" s="183" t="s">
        <v>1223</v>
      </c>
      <c r="E102" s="177"/>
      <c r="F102" s="845"/>
      <c r="G102" s="181"/>
      <c r="H102" s="181"/>
      <c r="I102" s="216"/>
      <c r="J102" s="855"/>
      <c r="Q102" s="725"/>
    </row>
    <row r="103" spans="1:23" ht="13.5" customHeight="1">
      <c r="A103" s="817"/>
      <c r="B103" s="183"/>
      <c r="C103" s="183"/>
      <c r="D103" s="183" t="s">
        <v>1040</v>
      </c>
      <c r="E103" s="183"/>
      <c r="F103" s="742">
        <v>2</v>
      </c>
      <c r="G103" s="818"/>
      <c r="H103" s="818"/>
      <c r="I103" s="216"/>
      <c r="J103" s="855"/>
      <c r="R103" s="725"/>
    </row>
    <row r="104" spans="1:23" ht="27" customHeight="1">
      <c r="A104" s="186">
        <v>21</v>
      </c>
      <c r="B104" s="177">
        <v>790</v>
      </c>
      <c r="C104" s="177" t="s">
        <v>1224</v>
      </c>
      <c r="D104" s="177" t="s">
        <v>1225</v>
      </c>
      <c r="E104" s="177" t="s">
        <v>210</v>
      </c>
      <c r="F104" s="845">
        <f>SUM(F106:F106)</f>
        <v>1</v>
      </c>
      <c r="G104" s="181"/>
      <c r="H104" s="814">
        <f t="shared" ref="H104" si="21">ROUND(F104*G104,2)</f>
        <v>0</v>
      </c>
      <c r="I104" s="216" t="s">
        <v>112</v>
      </c>
      <c r="J104" s="855"/>
    </row>
    <row r="105" spans="1:23" ht="13.5" customHeight="1">
      <c r="A105" s="186"/>
      <c r="B105" s="177"/>
      <c r="C105" s="177"/>
      <c r="D105" s="183" t="s">
        <v>1226</v>
      </c>
      <c r="E105" s="177"/>
      <c r="F105" s="845"/>
      <c r="G105" s="181"/>
      <c r="H105" s="181"/>
      <c r="I105" s="216"/>
      <c r="J105" s="141"/>
      <c r="K105" s="633"/>
      <c r="V105" s="725"/>
    </row>
    <row r="106" spans="1:23" ht="13.5" customHeight="1">
      <c r="A106" s="284"/>
      <c r="B106" s="183"/>
      <c r="C106" s="183"/>
      <c r="D106" s="183" t="s">
        <v>1040</v>
      </c>
      <c r="E106" s="183"/>
      <c r="F106" s="742">
        <v>1</v>
      </c>
      <c r="G106" s="818"/>
      <c r="H106" s="818"/>
      <c r="I106" s="150"/>
      <c r="J106" s="141"/>
    </row>
    <row r="107" spans="1:23" ht="27" customHeight="1">
      <c r="A107" s="746" t="s">
        <v>897</v>
      </c>
      <c r="B107" s="177">
        <v>790</v>
      </c>
      <c r="C107" s="177" t="s">
        <v>1188</v>
      </c>
      <c r="D107" s="177" t="s">
        <v>1227</v>
      </c>
      <c r="E107" s="177" t="s">
        <v>210</v>
      </c>
      <c r="F107" s="845">
        <f>SUM(F109:F110)</f>
        <v>2</v>
      </c>
      <c r="G107" s="181"/>
      <c r="H107" s="814">
        <f t="shared" ref="H107" si="22">ROUND(F107*G107,2)</f>
        <v>0</v>
      </c>
      <c r="I107" s="216" t="s">
        <v>112</v>
      </c>
      <c r="J107" s="855"/>
    </row>
    <row r="108" spans="1:23" ht="13.5" customHeight="1">
      <c r="A108" s="746"/>
      <c r="B108" s="177"/>
      <c r="C108" s="177"/>
      <c r="D108" s="183" t="s">
        <v>1228</v>
      </c>
      <c r="E108" s="177"/>
      <c r="F108" s="845"/>
      <c r="G108" s="181"/>
      <c r="H108" s="181"/>
      <c r="I108" s="216"/>
      <c r="J108" s="855"/>
      <c r="Q108" s="725"/>
    </row>
    <row r="109" spans="1:23" ht="13.5" customHeight="1">
      <c r="A109" s="817"/>
      <c r="B109" s="183"/>
      <c r="C109" s="183"/>
      <c r="D109" s="183" t="s">
        <v>1182</v>
      </c>
      <c r="E109" s="183"/>
      <c r="F109" s="742">
        <v>1</v>
      </c>
      <c r="G109" s="818"/>
      <c r="H109" s="818"/>
      <c r="I109" s="216"/>
      <c r="J109" s="874"/>
      <c r="R109" s="725"/>
    </row>
    <row r="110" spans="1:23" ht="13.5" customHeight="1">
      <c r="A110" s="822"/>
      <c r="B110" s="177"/>
      <c r="C110" s="177"/>
      <c r="D110" s="183" t="s">
        <v>1071</v>
      </c>
      <c r="E110" s="183"/>
      <c r="F110" s="742">
        <v>1</v>
      </c>
      <c r="G110" s="738"/>
      <c r="H110" s="738"/>
      <c r="I110" s="150"/>
      <c r="J110" s="872"/>
      <c r="K110" s="873"/>
    </row>
    <row r="111" spans="1:23" ht="13.5" customHeight="1">
      <c r="A111" s="817"/>
      <c r="B111" s="183"/>
      <c r="C111" s="183"/>
      <c r="D111" s="183" t="s">
        <v>1203</v>
      </c>
      <c r="E111" s="183"/>
      <c r="F111" s="742"/>
      <c r="G111" s="818"/>
      <c r="H111" s="818"/>
      <c r="I111" s="150"/>
      <c r="J111" s="874"/>
      <c r="Q111" s="725"/>
    </row>
    <row r="112" spans="1:23" ht="27" customHeight="1">
      <c r="A112" s="746" t="s">
        <v>1084</v>
      </c>
      <c r="B112" s="177">
        <v>790</v>
      </c>
      <c r="C112" s="177" t="s">
        <v>1188</v>
      </c>
      <c r="D112" s="177" t="s">
        <v>1229</v>
      </c>
      <c r="E112" s="177" t="s">
        <v>210</v>
      </c>
      <c r="F112" s="845">
        <f>SUM(F114:F114)</f>
        <v>7</v>
      </c>
      <c r="G112" s="181"/>
      <c r="H112" s="814">
        <f t="shared" ref="H112" si="23">ROUND(F112*G112,2)</f>
        <v>0</v>
      </c>
      <c r="I112" s="216" t="s">
        <v>112</v>
      </c>
      <c r="J112" s="855"/>
    </row>
    <row r="113" spans="1:27" ht="13.5" customHeight="1">
      <c r="A113" s="746"/>
      <c r="B113" s="177"/>
      <c r="C113" s="177"/>
      <c r="D113" s="183" t="s">
        <v>1230</v>
      </c>
      <c r="E113" s="177"/>
      <c r="F113" s="845"/>
      <c r="G113" s="181"/>
      <c r="H113" s="181"/>
      <c r="I113" s="216"/>
      <c r="J113" s="855"/>
      <c r="Q113" s="725"/>
    </row>
    <row r="114" spans="1:27" ht="13.5" customHeight="1">
      <c r="A114" s="822"/>
      <c r="B114" s="177"/>
      <c r="C114" s="177"/>
      <c r="D114" s="183" t="s">
        <v>1071</v>
      </c>
      <c r="E114" s="183"/>
      <c r="F114" s="742">
        <v>7</v>
      </c>
      <c r="G114" s="738"/>
      <c r="H114" s="738"/>
      <c r="I114" s="150"/>
      <c r="J114" s="872"/>
      <c r="K114" s="873"/>
    </row>
    <row r="115" spans="1:27" ht="13.5" customHeight="1">
      <c r="A115" s="817"/>
      <c r="B115" s="183"/>
      <c r="C115" s="183"/>
      <c r="D115" s="183" t="s">
        <v>1203</v>
      </c>
      <c r="E115" s="183"/>
      <c r="F115" s="742"/>
      <c r="G115" s="818"/>
      <c r="H115" s="818"/>
      <c r="I115" s="150"/>
      <c r="J115" s="855"/>
      <c r="K115" s="633"/>
      <c r="Q115" s="725"/>
    </row>
    <row r="116" spans="1:27" ht="27" customHeight="1">
      <c r="A116" s="746" t="s">
        <v>1231</v>
      </c>
      <c r="B116" s="177">
        <v>790</v>
      </c>
      <c r="C116" s="177" t="s">
        <v>1188</v>
      </c>
      <c r="D116" s="177" t="s">
        <v>1232</v>
      </c>
      <c r="E116" s="177" t="s">
        <v>210</v>
      </c>
      <c r="F116" s="845">
        <f>SUM(F118:F120)</f>
        <v>37</v>
      </c>
      <c r="G116" s="181"/>
      <c r="H116" s="814">
        <f t="shared" ref="H116" si="24">ROUND(F116*G116,2)</f>
        <v>0</v>
      </c>
      <c r="I116" s="216" t="s">
        <v>112</v>
      </c>
      <c r="J116" s="855"/>
    </row>
    <row r="117" spans="1:27" ht="13.5" customHeight="1">
      <c r="A117" s="746"/>
      <c r="B117" s="177"/>
      <c r="C117" s="177"/>
      <c r="D117" s="183" t="s">
        <v>1233</v>
      </c>
      <c r="E117" s="177"/>
      <c r="F117" s="845"/>
      <c r="G117" s="181"/>
      <c r="H117" s="181"/>
      <c r="I117" s="216"/>
      <c r="J117" s="855"/>
      <c r="Q117" s="725"/>
    </row>
    <row r="118" spans="1:27" ht="13.5" customHeight="1">
      <c r="A118" s="817"/>
      <c r="B118" s="183"/>
      <c r="C118" s="183"/>
      <c r="D118" s="183" t="s">
        <v>1234</v>
      </c>
      <c r="E118" s="183"/>
      <c r="F118" s="742">
        <v>6</v>
      </c>
      <c r="G118" s="818"/>
      <c r="H118" s="818"/>
      <c r="I118" s="216"/>
      <c r="J118" s="855"/>
      <c r="R118" s="725"/>
    </row>
    <row r="119" spans="1:27" ht="13.5" customHeight="1">
      <c r="A119" s="822"/>
      <c r="B119" s="177"/>
      <c r="C119" s="177"/>
      <c r="D119" s="183" t="s">
        <v>1182</v>
      </c>
      <c r="E119" s="183"/>
      <c r="F119" s="742">
        <v>22</v>
      </c>
      <c r="G119" s="738"/>
      <c r="H119" s="738"/>
      <c r="I119" s="150"/>
      <c r="K119" s="633"/>
    </row>
    <row r="120" spans="1:27" ht="13.5" customHeight="1">
      <c r="A120" s="817"/>
      <c r="B120" s="183"/>
      <c r="C120" s="183"/>
      <c r="D120" s="183" t="s">
        <v>1235</v>
      </c>
      <c r="E120" s="183"/>
      <c r="F120" s="742">
        <v>9</v>
      </c>
      <c r="G120" s="818"/>
      <c r="H120" s="818"/>
      <c r="I120" s="216"/>
      <c r="J120" s="855"/>
      <c r="R120" s="725"/>
    </row>
    <row r="121" spans="1:27" ht="13.5" customHeight="1">
      <c r="A121" s="817"/>
      <c r="B121" s="183"/>
      <c r="C121" s="183"/>
      <c r="D121" s="183" t="s">
        <v>1203</v>
      </c>
      <c r="E121" s="183"/>
      <c r="F121" s="742"/>
      <c r="G121" s="818"/>
      <c r="H121" s="818"/>
      <c r="I121" s="150"/>
      <c r="J121" s="855"/>
      <c r="K121" s="633"/>
      <c r="Q121" s="725"/>
    </row>
    <row r="122" spans="1:27" ht="27" customHeight="1">
      <c r="A122" s="746" t="s">
        <v>1236</v>
      </c>
      <c r="B122" s="177">
        <v>790</v>
      </c>
      <c r="C122" s="177" t="s">
        <v>1188</v>
      </c>
      <c r="D122" s="177" t="s">
        <v>1237</v>
      </c>
      <c r="E122" s="177" t="s">
        <v>210</v>
      </c>
      <c r="F122" s="845">
        <f>SUM(F124:F124)</f>
        <v>1</v>
      </c>
      <c r="G122" s="181"/>
      <c r="H122" s="814">
        <f t="shared" ref="H122" si="25">ROUND(F122*G122,2)</f>
        <v>0</v>
      </c>
      <c r="I122" s="216" t="s">
        <v>112</v>
      </c>
      <c r="J122" s="855"/>
    </row>
    <row r="123" spans="1:27" ht="13.5" customHeight="1">
      <c r="A123" s="746"/>
      <c r="B123" s="177"/>
      <c r="C123" s="177"/>
      <c r="D123" s="183" t="s">
        <v>1238</v>
      </c>
      <c r="E123" s="177"/>
      <c r="F123" s="845"/>
      <c r="G123" s="181"/>
      <c r="H123" s="181"/>
      <c r="I123" s="216"/>
      <c r="J123" s="855"/>
      <c r="Q123" s="725"/>
    </row>
    <row r="124" spans="1:27" ht="13.5" customHeight="1">
      <c r="A124" s="817"/>
      <c r="B124" s="183"/>
      <c r="C124" s="183"/>
      <c r="D124" s="183" t="s">
        <v>1182</v>
      </c>
      <c r="E124" s="183"/>
      <c r="F124" s="742">
        <v>1</v>
      </c>
      <c r="G124" s="818"/>
      <c r="H124" s="818"/>
      <c r="I124" s="216"/>
      <c r="J124" s="855"/>
      <c r="R124" s="725"/>
    </row>
    <row r="125" spans="1:27" ht="27" customHeight="1">
      <c r="A125" s="854">
        <v>26</v>
      </c>
      <c r="B125" s="177">
        <v>790</v>
      </c>
      <c r="C125" s="177" t="s">
        <v>1239</v>
      </c>
      <c r="D125" s="177" t="s">
        <v>1240</v>
      </c>
      <c r="E125" s="177" t="s">
        <v>210</v>
      </c>
      <c r="F125" s="845">
        <f>SUM(F127:F127)</f>
        <v>1</v>
      </c>
      <c r="G125" s="178"/>
      <c r="H125" s="814">
        <f t="shared" ref="H125" si="26">ROUND(F125*G125,2)</f>
        <v>0</v>
      </c>
      <c r="I125" s="216" t="s">
        <v>112</v>
      </c>
      <c r="J125" s="855"/>
      <c r="K125" s="875"/>
      <c r="L125" s="851"/>
      <c r="M125" s="876"/>
      <c r="N125" s="847"/>
      <c r="O125" s="848"/>
      <c r="P125" s="135"/>
      <c r="Q125" s="135"/>
      <c r="R125" s="849"/>
    </row>
    <row r="126" spans="1:27" ht="27" customHeight="1">
      <c r="A126" s="302"/>
      <c r="B126" s="183"/>
      <c r="C126" s="183"/>
      <c r="D126" s="300" t="s">
        <v>1241</v>
      </c>
      <c r="E126" s="183"/>
      <c r="F126" s="742"/>
      <c r="G126" s="305"/>
      <c r="H126" s="305"/>
      <c r="I126" s="150"/>
      <c r="J126" s="877"/>
      <c r="U126" s="857"/>
    </row>
    <row r="127" spans="1:27" ht="13.5" customHeight="1">
      <c r="A127" s="302"/>
      <c r="B127" s="183"/>
      <c r="C127" s="183"/>
      <c r="D127" s="183" t="s">
        <v>1242</v>
      </c>
      <c r="E127" s="183"/>
      <c r="F127" s="742">
        <v>1</v>
      </c>
      <c r="G127" s="305"/>
      <c r="H127" s="305"/>
      <c r="I127" s="150"/>
      <c r="J127" s="858"/>
    </row>
    <row r="128" spans="1:27" ht="13.5" customHeight="1">
      <c r="A128" s="302"/>
      <c r="B128" s="183"/>
      <c r="C128" s="183"/>
      <c r="D128" s="183" t="s">
        <v>1203</v>
      </c>
      <c r="E128" s="183"/>
      <c r="F128" s="742"/>
      <c r="G128" s="305"/>
      <c r="H128" s="305"/>
      <c r="I128" s="859"/>
      <c r="J128" s="855"/>
      <c r="R128" s="857"/>
      <c r="AA128" s="857"/>
    </row>
    <row r="129" spans="1:20" ht="27" customHeight="1">
      <c r="A129" s="186">
        <v>27</v>
      </c>
      <c r="B129" s="177">
        <v>790</v>
      </c>
      <c r="C129" s="177" t="s">
        <v>1243</v>
      </c>
      <c r="D129" s="177" t="s">
        <v>1244</v>
      </c>
      <c r="E129" s="177" t="s">
        <v>49</v>
      </c>
      <c r="F129" s="845">
        <f>SUM(F131:F131)</f>
        <v>1</v>
      </c>
      <c r="G129" s="181"/>
      <c r="H129" s="814">
        <f t="shared" ref="H129" si="27">ROUND(F129*G129,2)</f>
        <v>0</v>
      </c>
      <c r="I129" s="216" t="s">
        <v>112</v>
      </c>
      <c r="J129" s="860"/>
    </row>
    <row r="130" spans="1:20" ht="13.5" customHeight="1">
      <c r="A130" s="284"/>
      <c r="B130" s="183"/>
      <c r="C130" s="183"/>
      <c r="D130" s="183" t="s">
        <v>1245</v>
      </c>
      <c r="E130" s="183"/>
      <c r="F130" s="742"/>
      <c r="G130" s="818"/>
      <c r="H130" s="818"/>
      <c r="I130" s="150"/>
      <c r="J130" s="865"/>
      <c r="L130" s="825"/>
    </row>
    <row r="131" spans="1:20" ht="13.5" customHeight="1">
      <c r="A131" s="284"/>
      <c r="B131" s="183"/>
      <c r="C131" s="183"/>
      <c r="D131" s="183" t="s">
        <v>1040</v>
      </c>
      <c r="E131" s="183"/>
      <c r="F131" s="742">
        <v>1</v>
      </c>
      <c r="G131" s="818"/>
      <c r="H131" s="818"/>
      <c r="I131" s="150"/>
      <c r="J131" s="878"/>
      <c r="L131" s="825"/>
    </row>
    <row r="132" spans="1:20" ht="27" customHeight="1">
      <c r="A132" s="186">
        <v>28</v>
      </c>
      <c r="B132" s="177">
        <v>790</v>
      </c>
      <c r="C132" s="177" t="s">
        <v>1243</v>
      </c>
      <c r="D132" s="177" t="s">
        <v>1246</v>
      </c>
      <c r="E132" s="177" t="s">
        <v>49</v>
      </c>
      <c r="F132" s="845">
        <f>SUM(F134:F134)</f>
        <v>1</v>
      </c>
      <c r="G132" s="181"/>
      <c r="H132" s="814">
        <f t="shared" ref="H132" si="28">ROUND(F132*G132,2)</f>
        <v>0</v>
      </c>
      <c r="I132" s="216" t="s">
        <v>112</v>
      </c>
      <c r="J132" s="860"/>
    </row>
    <row r="133" spans="1:20" ht="13.5" customHeight="1">
      <c r="A133" s="284"/>
      <c r="B133" s="183"/>
      <c r="C133" s="183"/>
      <c r="D133" s="183" t="s">
        <v>1247</v>
      </c>
      <c r="E133" s="183"/>
      <c r="F133" s="742"/>
      <c r="G133" s="818"/>
      <c r="H133" s="818"/>
      <c r="I133" s="150"/>
      <c r="J133" s="865"/>
      <c r="L133" s="825"/>
    </row>
    <row r="134" spans="1:20" ht="13.5" customHeight="1">
      <c r="A134" s="284"/>
      <c r="B134" s="183"/>
      <c r="C134" s="183"/>
      <c r="D134" s="183" t="s">
        <v>1040</v>
      </c>
      <c r="E134" s="183"/>
      <c r="F134" s="742">
        <v>1</v>
      </c>
      <c r="G134" s="818"/>
      <c r="H134" s="818"/>
      <c r="I134" s="150"/>
      <c r="J134" s="878"/>
      <c r="L134" s="825"/>
    </row>
    <row r="135" spans="1:20" ht="27" customHeight="1">
      <c r="A135" s="186">
        <v>29</v>
      </c>
      <c r="B135" s="177">
        <v>790</v>
      </c>
      <c r="C135" s="177" t="s">
        <v>1243</v>
      </c>
      <c r="D135" s="177" t="s">
        <v>1248</v>
      </c>
      <c r="E135" s="177" t="s">
        <v>49</v>
      </c>
      <c r="F135" s="845">
        <f>SUM(F137:F137)</f>
        <v>2</v>
      </c>
      <c r="G135" s="181"/>
      <c r="H135" s="814">
        <f t="shared" ref="H135" si="29">ROUND(F135*G135,2)</f>
        <v>0</v>
      </c>
      <c r="I135" s="216" t="s">
        <v>112</v>
      </c>
      <c r="J135" s="860"/>
    </row>
    <row r="136" spans="1:20" ht="13.5" customHeight="1">
      <c r="A136" s="284"/>
      <c r="B136" s="183"/>
      <c r="C136" s="183"/>
      <c r="D136" s="183" t="s">
        <v>1249</v>
      </c>
      <c r="E136" s="183"/>
      <c r="F136" s="742"/>
      <c r="G136" s="818"/>
      <c r="H136" s="818"/>
      <c r="I136" s="150"/>
      <c r="J136" s="865"/>
      <c r="L136" s="825"/>
    </row>
    <row r="137" spans="1:20" ht="13.5" customHeight="1">
      <c r="A137" s="284"/>
      <c r="B137" s="183"/>
      <c r="C137" s="183"/>
      <c r="D137" s="183" t="s">
        <v>1089</v>
      </c>
      <c r="E137" s="183"/>
      <c r="F137" s="742">
        <v>2</v>
      </c>
      <c r="G137" s="818"/>
      <c r="H137" s="818"/>
      <c r="I137" s="150"/>
      <c r="J137" s="878"/>
      <c r="L137" s="825"/>
    </row>
    <row r="138" spans="1:20" ht="27" customHeight="1">
      <c r="A138" s="186">
        <v>30</v>
      </c>
      <c r="B138" s="177">
        <v>790</v>
      </c>
      <c r="C138" s="177" t="s">
        <v>1243</v>
      </c>
      <c r="D138" s="177" t="s">
        <v>1250</v>
      </c>
      <c r="E138" s="177" t="s">
        <v>49</v>
      </c>
      <c r="F138" s="845">
        <f>SUM(F140:F140)</f>
        <v>1</v>
      </c>
      <c r="G138" s="181"/>
      <c r="H138" s="814">
        <f t="shared" ref="H138" si="30">ROUND(F138*G138,2)</f>
        <v>0</v>
      </c>
      <c r="I138" s="216" t="s">
        <v>112</v>
      </c>
      <c r="J138" s="860"/>
      <c r="T138" s="857"/>
    </row>
    <row r="139" spans="1:20" ht="13.5" customHeight="1">
      <c r="A139" s="284"/>
      <c r="B139" s="183"/>
      <c r="C139" s="183"/>
      <c r="D139" s="183" t="s">
        <v>1251</v>
      </c>
      <c r="E139" s="183"/>
      <c r="F139" s="742"/>
      <c r="G139" s="818"/>
      <c r="H139" s="818"/>
      <c r="I139" s="150"/>
      <c r="J139" s="865"/>
      <c r="L139" s="825"/>
    </row>
    <row r="140" spans="1:20" ht="13.5" customHeight="1">
      <c r="A140" s="284"/>
      <c r="B140" s="183"/>
      <c r="C140" s="183"/>
      <c r="D140" s="183" t="s">
        <v>1040</v>
      </c>
      <c r="E140" s="183"/>
      <c r="F140" s="742">
        <v>1</v>
      </c>
      <c r="G140" s="818"/>
      <c r="H140" s="818"/>
      <c r="I140" s="150"/>
      <c r="J140" s="878"/>
      <c r="L140" s="825"/>
    </row>
    <row r="141" spans="1:20" ht="13.5" customHeight="1">
      <c r="A141" s="186">
        <v>31</v>
      </c>
      <c r="B141" s="177">
        <v>790</v>
      </c>
      <c r="C141" s="177" t="s">
        <v>1252</v>
      </c>
      <c r="D141" s="177" t="s">
        <v>1253</v>
      </c>
      <c r="E141" s="177" t="s">
        <v>210</v>
      </c>
      <c r="F141" s="773">
        <f>ROUND(SUM(F143:F144),3)</f>
        <v>3</v>
      </c>
      <c r="G141" s="181"/>
      <c r="H141" s="814">
        <f t="shared" ref="H141" si="31">ROUND(F141*G141,2)</f>
        <v>0</v>
      </c>
      <c r="I141" s="216" t="s">
        <v>112</v>
      </c>
      <c r="J141" s="815"/>
      <c r="K141" s="826"/>
    </row>
    <row r="142" spans="1:20" ht="13.5" customHeight="1">
      <c r="A142" s="284"/>
      <c r="B142" s="183"/>
      <c r="C142" s="183"/>
      <c r="D142" s="183" t="s">
        <v>1254</v>
      </c>
      <c r="E142" s="183"/>
      <c r="F142" s="742"/>
      <c r="G142" s="818"/>
      <c r="H142" s="818"/>
      <c r="I142" s="150"/>
      <c r="J142" s="879"/>
    </row>
    <row r="143" spans="1:20" ht="13.5" customHeight="1">
      <c r="A143" s="284"/>
      <c r="B143" s="183"/>
      <c r="C143" s="183"/>
      <c r="D143" s="183" t="s">
        <v>1040</v>
      </c>
      <c r="E143" s="183"/>
      <c r="F143" s="742">
        <v>2</v>
      </c>
      <c r="G143" s="818"/>
      <c r="H143" s="818"/>
      <c r="I143" s="150"/>
      <c r="J143" s="879"/>
    </row>
    <row r="144" spans="1:20" ht="13.5" customHeight="1">
      <c r="A144" s="284"/>
      <c r="B144" s="183"/>
      <c r="C144" s="183"/>
      <c r="D144" s="183" t="s">
        <v>1071</v>
      </c>
      <c r="E144" s="183"/>
      <c r="F144" s="742">
        <v>1</v>
      </c>
      <c r="G144" s="818"/>
      <c r="H144" s="818"/>
      <c r="I144" s="150"/>
      <c r="J144" s="879"/>
    </row>
    <row r="145" spans="1:21" ht="13.5" customHeight="1">
      <c r="A145" s="148"/>
      <c r="B145" s="149"/>
      <c r="C145" s="149"/>
      <c r="D145" s="183" t="s">
        <v>1203</v>
      </c>
      <c r="E145" s="183"/>
      <c r="F145" s="742"/>
      <c r="G145" s="738"/>
      <c r="H145" s="738"/>
      <c r="I145" s="150"/>
      <c r="J145" s="853"/>
    </row>
    <row r="146" spans="1:21" ht="27" customHeight="1">
      <c r="A146" s="746" t="s">
        <v>1255</v>
      </c>
      <c r="B146" s="177">
        <v>790</v>
      </c>
      <c r="C146" s="177" t="s">
        <v>1256</v>
      </c>
      <c r="D146" s="177" t="s">
        <v>1257</v>
      </c>
      <c r="E146" s="177" t="s">
        <v>210</v>
      </c>
      <c r="F146" s="773">
        <f>ROUND(SUM(F148:F149),3)</f>
        <v>24</v>
      </c>
      <c r="G146" s="181"/>
      <c r="H146" s="814">
        <f t="shared" ref="H146" si="32">ROUND(F146*G146,2)</f>
        <v>0</v>
      </c>
      <c r="I146" s="216" t="s">
        <v>112</v>
      </c>
      <c r="J146" s="872"/>
      <c r="K146" s="880"/>
    </row>
    <row r="147" spans="1:21" ht="13.5" customHeight="1">
      <c r="A147" s="817"/>
      <c r="B147" s="183"/>
      <c r="C147" s="183"/>
      <c r="D147" s="300" t="s">
        <v>1258</v>
      </c>
      <c r="E147" s="183"/>
      <c r="F147" s="742"/>
      <c r="G147" s="818"/>
      <c r="H147" s="818"/>
      <c r="I147" s="150"/>
      <c r="J147" s="815"/>
      <c r="K147" s="633"/>
    </row>
    <row r="148" spans="1:21" ht="13.5" customHeight="1">
      <c r="A148" s="817"/>
      <c r="B148" s="183"/>
      <c r="C148" s="183"/>
      <c r="D148" s="183" t="s">
        <v>1040</v>
      </c>
      <c r="E148" s="183"/>
      <c r="F148" s="742">
        <v>9</v>
      </c>
      <c r="G148" s="818"/>
      <c r="H148" s="818"/>
      <c r="I148" s="150"/>
      <c r="J148" s="881"/>
    </row>
    <row r="149" spans="1:21" ht="13.5" customHeight="1">
      <c r="A149" s="284"/>
      <c r="B149" s="183"/>
      <c r="C149" s="183"/>
      <c r="D149" s="183" t="s">
        <v>1071</v>
      </c>
      <c r="E149" s="183"/>
      <c r="F149" s="742">
        <v>15</v>
      </c>
      <c r="G149" s="818"/>
      <c r="H149" s="818"/>
      <c r="I149" s="150"/>
      <c r="J149" s="879"/>
    </row>
    <row r="150" spans="1:21" ht="13.5" customHeight="1">
      <c r="A150" s="817"/>
      <c r="B150" s="183"/>
      <c r="C150" s="183"/>
      <c r="D150" s="183" t="s">
        <v>1203</v>
      </c>
      <c r="E150" s="183"/>
      <c r="F150" s="742"/>
      <c r="G150" s="818"/>
      <c r="H150" s="818"/>
      <c r="I150" s="150"/>
      <c r="U150" s="827"/>
    </row>
    <row r="151" spans="1:21" ht="27" customHeight="1">
      <c r="A151" s="746" t="s">
        <v>1259</v>
      </c>
      <c r="B151" s="177">
        <v>790</v>
      </c>
      <c r="C151" s="177" t="s">
        <v>1260</v>
      </c>
      <c r="D151" s="177" t="s">
        <v>1261</v>
      </c>
      <c r="E151" s="177" t="s">
        <v>210</v>
      </c>
      <c r="F151" s="773">
        <f>ROUND(SUM(F153:F154),3)</f>
        <v>22</v>
      </c>
      <c r="G151" s="181"/>
      <c r="H151" s="814">
        <f t="shared" ref="H151" si="33">ROUND(F151*G151,2)</f>
        <v>0</v>
      </c>
      <c r="I151" s="216" t="s">
        <v>112</v>
      </c>
      <c r="J151" s="872"/>
      <c r="K151" s="882"/>
    </row>
    <row r="152" spans="1:21" ht="27" customHeight="1">
      <c r="A152" s="817"/>
      <c r="B152" s="183"/>
      <c r="C152" s="183"/>
      <c r="D152" s="300" t="s">
        <v>1262</v>
      </c>
      <c r="E152" s="183"/>
      <c r="F152" s="742"/>
      <c r="G152" s="818"/>
      <c r="H152" s="818"/>
      <c r="I152" s="150"/>
      <c r="J152" s="815"/>
      <c r="K152" s="851"/>
    </row>
    <row r="153" spans="1:21" ht="13.5" customHeight="1">
      <c r="A153" s="817"/>
      <c r="B153" s="183"/>
      <c r="C153" s="183"/>
      <c r="D153" s="183" t="s">
        <v>1040</v>
      </c>
      <c r="E153" s="183"/>
      <c r="F153" s="742">
        <v>7</v>
      </c>
      <c r="G153" s="818"/>
      <c r="H153" s="818"/>
      <c r="I153" s="150"/>
      <c r="J153" s="881"/>
    </row>
    <row r="154" spans="1:21" ht="13.5" customHeight="1">
      <c r="A154" s="284"/>
      <c r="B154" s="183"/>
      <c r="C154" s="183"/>
      <c r="D154" s="183" t="s">
        <v>1071</v>
      </c>
      <c r="E154" s="183"/>
      <c r="F154" s="742">
        <v>15</v>
      </c>
      <c r="G154" s="818"/>
      <c r="H154" s="818"/>
      <c r="I154" s="150"/>
      <c r="J154" s="879"/>
    </row>
    <row r="155" spans="1:21" ht="13.5" customHeight="1">
      <c r="A155" s="817"/>
      <c r="B155" s="183"/>
      <c r="C155" s="183"/>
      <c r="D155" s="183" t="s">
        <v>1203</v>
      </c>
      <c r="E155" s="183"/>
      <c r="F155" s="742"/>
      <c r="G155" s="818"/>
      <c r="H155" s="818"/>
      <c r="I155" s="150"/>
      <c r="U155" s="827"/>
    </row>
    <row r="156" spans="1:21" ht="27" customHeight="1">
      <c r="A156" s="746" t="s">
        <v>1263</v>
      </c>
      <c r="B156" s="177">
        <v>790</v>
      </c>
      <c r="C156" s="177" t="s">
        <v>1264</v>
      </c>
      <c r="D156" s="177" t="s">
        <v>1265</v>
      </c>
      <c r="E156" s="177" t="s">
        <v>210</v>
      </c>
      <c r="F156" s="773">
        <f>ROUND(SUM(F158:F159),3)</f>
        <v>22</v>
      </c>
      <c r="G156" s="181"/>
      <c r="H156" s="814">
        <f t="shared" ref="H156" si="34">ROUND(F156*G156,2)</f>
        <v>0</v>
      </c>
      <c r="I156" s="216" t="s">
        <v>112</v>
      </c>
      <c r="J156" s="872"/>
      <c r="K156" s="880"/>
    </row>
    <row r="157" spans="1:21" ht="27" customHeight="1">
      <c r="A157" s="817"/>
      <c r="B157" s="183"/>
      <c r="C157" s="183"/>
      <c r="D157" s="300" t="s">
        <v>1266</v>
      </c>
      <c r="E157" s="183"/>
      <c r="F157" s="742"/>
      <c r="G157" s="818"/>
      <c r="H157" s="818"/>
      <c r="I157" s="150"/>
      <c r="K157" s="633"/>
      <c r="M157" s="825"/>
    </row>
    <row r="158" spans="1:21" ht="13.5" customHeight="1">
      <c r="A158" s="817"/>
      <c r="B158" s="183"/>
      <c r="C158" s="183"/>
      <c r="D158" s="183" t="s">
        <v>1040</v>
      </c>
      <c r="E158" s="183"/>
      <c r="F158" s="742">
        <v>7</v>
      </c>
      <c r="G158" s="818"/>
      <c r="H158" s="818"/>
      <c r="I158" s="150"/>
      <c r="K158" s="883"/>
      <c r="M158" s="825"/>
    </row>
    <row r="159" spans="1:21" ht="13.5" customHeight="1">
      <c r="A159" s="284"/>
      <c r="B159" s="183"/>
      <c r="C159" s="183"/>
      <c r="D159" s="183" t="s">
        <v>1071</v>
      </c>
      <c r="E159" s="183"/>
      <c r="F159" s="742">
        <v>15</v>
      </c>
      <c r="G159" s="818"/>
      <c r="H159" s="818"/>
      <c r="I159" s="150"/>
      <c r="J159" s="879"/>
    </row>
    <row r="160" spans="1:21" ht="27" customHeight="1">
      <c r="A160" s="746" t="s">
        <v>1267</v>
      </c>
      <c r="B160" s="177">
        <v>790</v>
      </c>
      <c r="C160" s="177" t="s">
        <v>1268</v>
      </c>
      <c r="D160" s="177" t="s">
        <v>1269</v>
      </c>
      <c r="E160" s="177" t="s">
        <v>210</v>
      </c>
      <c r="F160" s="773">
        <f>ROUND(SUM(F162:F163),3)</f>
        <v>11</v>
      </c>
      <c r="G160" s="181"/>
      <c r="H160" s="814">
        <f t="shared" ref="H160" si="35">ROUND(F160*G160,2)</f>
        <v>0</v>
      </c>
      <c r="I160" s="216" t="s">
        <v>112</v>
      </c>
      <c r="J160" s="815"/>
      <c r="K160" s="864"/>
    </row>
    <row r="161" spans="1:21" ht="27" customHeight="1">
      <c r="A161" s="817"/>
      <c r="B161" s="183"/>
      <c r="C161" s="183"/>
      <c r="D161" s="183" t="s">
        <v>1270</v>
      </c>
      <c r="E161" s="183"/>
      <c r="F161" s="742"/>
      <c r="G161" s="818"/>
      <c r="H161" s="818"/>
      <c r="I161" s="150"/>
      <c r="J161" s="879"/>
      <c r="K161" s="851"/>
    </row>
    <row r="162" spans="1:21" ht="13.5" customHeight="1">
      <c r="A162" s="817"/>
      <c r="B162" s="183"/>
      <c r="C162" s="183"/>
      <c r="D162" s="183" t="s">
        <v>1040</v>
      </c>
      <c r="E162" s="183"/>
      <c r="F162" s="742">
        <v>5</v>
      </c>
      <c r="G162" s="818"/>
      <c r="H162" s="818"/>
      <c r="I162" s="150"/>
      <c r="J162" s="881"/>
    </row>
    <row r="163" spans="1:21" ht="13.5" customHeight="1">
      <c r="A163" s="284"/>
      <c r="B163" s="183"/>
      <c r="C163" s="183"/>
      <c r="D163" s="183" t="s">
        <v>1071</v>
      </c>
      <c r="E163" s="183"/>
      <c r="F163" s="742">
        <v>6</v>
      </c>
      <c r="G163" s="818"/>
      <c r="H163" s="818"/>
      <c r="I163" s="150"/>
      <c r="J163" s="879"/>
    </row>
    <row r="164" spans="1:21" ht="13.5" customHeight="1">
      <c r="A164" s="817"/>
      <c r="B164" s="183"/>
      <c r="C164" s="183"/>
      <c r="D164" s="183" t="s">
        <v>1203</v>
      </c>
      <c r="E164" s="183"/>
      <c r="F164" s="742"/>
      <c r="G164" s="818"/>
      <c r="H164" s="818"/>
      <c r="I164" s="150"/>
      <c r="U164" s="827"/>
    </row>
    <row r="165" spans="1:21" ht="27" customHeight="1">
      <c r="A165" s="746" t="s">
        <v>1271</v>
      </c>
      <c r="B165" s="177">
        <v>790</v>
      </c>
      <c r="C165" s="177" t="s">
        <v>1272</v>
      </c>
      <c r="D165" s="177" t="s">
        <v>1273</v>
      </c>
      <c r="E165" s="177" t="s">
        <v>210</v>
      </c>
      <c r="F165" s="773">
        <f>ROUND(SUM(F167:F168),3)</f>
        <v>8</v>
      </c>
      <c r="G165" s="181"/>
      <c r="H165" s="814">
        <f t="shared" ref="H165" si="36">ROUND(F165*G165,2)</f>
        <v>0</v>
      </c>
      <c r="I165" s="216" t="s">
        <v>112</v>
      </c>
      <c r="J165" s="872"/>
      <c r="K165" s="880"/>
    </row>
    <row r="166" spans="1:21" ht="27" customHeight="1">
      <c r="A166" s="817"/>
      <c r="B166" s="183"/>
      <c r="C166" s="183"/>
      <c r="D166" s="300" t="s">
        <v>1274</v>
      </c>
      <c r="E166" s="183"/>
      <c r="F166" s="742"/>
      <c r="G166" s="818"/>
      <c r="H166" s="818"/>
      <c r="I166" s="150"/>
      <c r="J166" s="815"/>
      <c r="K166" s="633"/>
      <c r="M166" s="825"/>
    </row>
    <row r="167" spans="1:21" ht="13.5" customHeight="1">
      <c r="A167" s="817"/>
      <c r="B167" s="183"/>
      <c r="C167" s="183"/>
      <c r="D167" s="183" t="s">
        <v>1040</v>
      </c>
      <c r="E167" s="183"/>
      <c r="F167" s="742">
        <v>3</v>
      </c>
      <c r="G167" s="818"/>
      <c r="H167" s="818"/>
      <c r="I167" s="150"/>
      <c r="J167" s="881"/>
      <c r="K167" s="883"/>
      <c r="M167" s="825"/>
    </row>
    <row r="168" spans="1:21" ht="13.5" customHeight="1">
      <c r="A168" s="284"/>
      <c r="B168" s="183"/>
      <c r="C168" s="183"/>
      <c r="D168" s="183" t="s">
        <v>1071</v>
      </c>
      <c r="E168" s="183"/>
      <c r="F168" s="742">
        <v>5</v>
      </c>
      <c r="G168" s="818"/>
      <c r="H168" s="818"/>
      <c r="I168" s="150"/>
      <c r="J168" s="879"/>
    </row>
    <row r="169" spans="1:21" ht="13.5" customHeight="1">
      <c r="A169" s="817"/>
      <c r="B169" s="183"/>
      <c r="C169" s="183"/>
      <c r="D169" s="183" t="s">
        <v>1203</v>
      </c>
      <c r="E169" s="183"/>
      <c r="F169" s="742"/>
      <c r="G169" s="818"/>
      <c r="H169" s="818"/>
      <c r="I169" s="150"/>
      <c r="U169" s="827"/>
    </row>
    <row r="170" spans="1:21" ht="27" customHeight="1">
      <c r="A170" s="746" t="s">
        <v>1275</v>
      </c>
      <c r="B170" s="177">
        <v>790</v>
      </c>
      <c r="C170" s="177" t="s">
        <v>1276</v>
      </c>
      <c r="D170" s="177" t="s">
        <v>1277</v>
      </c>
      <c r="E170" s="177" t="s">
        <v>210</v>
      </c>
      <c r="F170" s="773">
        <f>ROUND(SUM(F172:F173),3)</f>
        <v>8</v>
      </c>
      <c r="G170" s="181"/>
      <c r="H170" s="814">
        <f t="shared" ref="H170" si="37">ROUND(F170*G170,2)</f>
        <v>0</v>
      </c>
      <c r="I170" s="216" t="s">
        <v>112</v>
      </c>
      <c r="J170" s="872"/>
      <c r="K170" s="880"/>
    </row>
    <row r="171" spans="1:21" ht="27" customHeight="1">
      <c r="A171" s="817"/>
      <c r="B171" s="183"/>
      <c r="C171" s="183"/>
      <c r="D171" s="300" t="s">
        <v>1278</v>
      </c>
      <c r="E171" s="183"/>
      <c r="F171" s="742"/>
      <c r="G171" s="818"/>
      <c r="H171" s="818"/>
      <c r="I171" s="150"/>
      <c r="K171" s="633"/>
      <c r="M171" s="825"/>
    </row>
    <row r="172" spans="1:21" ht="13.5" customHeight="1">
      <c r="A172" s="817"/>
      <c r="B172" s="183"/>
      <c r="C172" s="183"/>
      <c r="D172" s="183" t="s">
        <v>1040</v>
      </c>
      <c r="E172" s="183"/>
      <c r="F172" s="742">
        <v>4</v>
      </c>
      <c r="G172" s="818"/>
      <c r="H172" s="818"/>
      <c r="I172" s="150"/>
      <c r="K172" s="883"/>
      <c r="M172" s="825"/>
    </row>
    <row r="173" spans="1:21" ht="13.5" customHeight="1">
      <c r="A173" s="284"/>
      <c r="B173" s="183"/>
      <c r="C173" s="183"/>
      <c r="D173" s="183" t="s">
        <v>1071</v>
      </c>
      <c r="E173" s="183"/>
      <c r="F173" s="742">
        <v>4</v>
      </c>
      <c r="G173" s="818"/>
      <c r="H173" s="818"/>
      <c r="I173" s="150"/>
      <c r="J173" s="879"/>
    </row>
    <row r="174" spans="1:21" ht="27" customHeight="1">
      <c r="A174" s="746" t="s">
        <v>1279</v>
      </c>
      <c r="B174" s="177">
        <v>790</v>
      </c>
      <c r="C174" s="177" t="s">
        <v>1280</v>
      </c>
      <c r="D174" s="177" t="s">
        <v>1281</v>
      </c>
      <c r="E174" s="177" t="s">
        <v>210</v>
      </c>
      <c r="F174" s="773">
        <f>ROUND(SUM(F176:F177),3)</f>
        <v>11</v>
      </c>
      <c r="G174" s="181"/>
      <c r="H174" s="814">
        <f t="shared" ref="H174" si="38">ROUND(F174*G174,2)</f>
        <v>0</v>
      </c>
      <c r="I174" s="216" t="s">
        <v>112</v>
      </c>
      <c r="J174" s="872"/>
      <c r="K174" s="884"/>
    </row>
    <row r="175" spans="1:21" ht="27" customHeight="1">
      <c r="A175" s="817"/>
      <c r="B175" s="183"/>
      <c r="C175" s="183"/>
      <c r="D175" s="300" t="s">
        <v>1282</v>
      </c>
      <c r="E175" s="183"/>
      <c r="F175" s="742"/>
      <c r="G175" s="818"/>
      <c r="H175" s="818"/>
      <c r="I175" s="150"/>
      <c r="J175" s="815"/>
      <c r="K175" s="633"/>
      <c r="M175" s="825"/>
    </row>
    <row r="176" spans="1:21" ht="13.5" customHeight="1">
      <c r="A176" s="817"/>
      <c r="B176" s="183"/>
      <c r="C176" s="183"/>
      <c r="D176" s="183" t="s">
        <v>1040</v>
      </c>
      <c r="E176" s="183"/>
      <c r="F176" s="742">
        <v>5</v>
      </c>
      <c r="G176" s="818"/>
      <c r="H176" s="818"/>
      <c r="I176" s="150"/>
      <c r="J176" s="853"/>
      <c r="K176" s="883"/>
      <c r="M176" s="825"/>
    </row>
    <row r="177" spans="1:21" ht="13.5" customHeight="1">
      <c r="A177" s="284"/>
      <c r="B177" s="183"/>
      <c r="C177" s="183"/>
      <c r="D177" s="183" t="s">
        <v>1071</v>
      </c>
      <c r="E177" s="183"/>
      <c r="F177" s="742">
        <v>6</v>
      </c>
      <c r="G177" s="818"/>
      <c r="H177" s="818"/>
      <c r="I177" s="150"/>
      <c r="J177" s="879"/>
    </row>
    <row r="178" spans="1:21" ht="13.5" customHeight="1">
      <c r="A178" s="817"/>
      <c r="B178" s="183"/>
      <c r="C178" s="183"/>
      <c r="D178" s="183" t="s">
        <v>1203</v>
      </c>
      <c r="E178" s="183"/>
      <c r="F178" s="742"/>
      <c r="G178" s="818"/>
      <c r="H178" s="818"/>
      <c r="I178" s="150"/>
      <c r="J178" s="815"/>
      <c r="K178" s="885"/>
      <c r="L178" s="886"/>
      <c r="M178" s="886"/>
      <c r="N178" s="886"/>
      <c r="O178" s="886"/>
      <c r="P178" s="886"/>
      <c r="U178" s="827"/>
    </row>
    <row r="179" spans="1:21" ht="27" customHeight="1">
      <c r="A179" s="186">
        <v>39</v>
      </c>
      <c r="B179" s="177">
        <v>790</v>
      </c>
      <c r="C179" s="177" t="s">
        <v>1283</v>
      </c>
      <c r="D179" s="177" t="s">
        <v>1284</v>
      </c>
      <c r="E179" s="177" t="s">
        <v>210</v>
      </c>
      <c r="F179" s="773">
        <f>ROUND(SUM(F181:F182),3)</f>
        <v>3</v>
      </c>
      <c r="G179" s="181"/>
      <c r="H179" s="814">
        <f t="shared" ref="H179" si="39">ROUND(F179*G179,2)</f>
        <v>0</v>
      </c>
      <c r="I179" s="216" t="s">
        <v>112</v>
      </c>
      <c r="J179" s="872"/>
      <c r="K179" s="887"/>
    </row>
    <row r="180" spans="1:21" ht="13.5" customHeight="1">
      <c r="A180" s="186"/>
      <c r="B180" s="177"/>
      <c r="C180" s="177"/>
      <c r="D180" s="183" t="s">
        <v>1285</v>
      </c>
      <c r="E180" s="177"/>
      <c r="F180" s="845"/>
      <c r="G180" s="181"/>
      <c r="H180" s="181"/>
      <c r="I180" s="150"/>
      <c r="J180" s="815"/>
      <c r="K180" s="825"/>
    </row>
    <row r="181" spans="1:21" ht="13.5" customHeight="1">
      <c r="A181" s="817"/>
      <c r="B181" s="183"/>
      <c r="C181" s="183"/>
      <c r="D181" s="183" t="s">
        <v>1040</v>
      </c>
      <c r="E181" s="183"/>
      <c r="F181" s="742">
        <v>1</v>
      </c>
      <c r="G181" s="818"/>
      <c r="H181" s="818"/>
      <c r="I181" s="150"/>
      <c r="J181" s="853"/>
      <c r="K181" s="883"/>
      <c r="M181" s="825"/>
    </row>
    <row r="182" spans="1:21" ht="13.5" customHeight="1">
      <c r="A182" s="148"/>
      <c r="B182" s="149"/>
      <c r="C182" s="149"/>
      <c r="D182" s="183" t="s">
        <v>1071</v>
      </c>
      <c r="E182" s="183"/>
      <c r="F182" s="742">
        <v>2</v>
      </c>
      <c r="G182" s="738"/>
      <c r="H182" s="738"/>
      <c r="I182" s="306"/>
      <c r="J182" s="853"/>
    </row>
    <row r="183" spans="1:21" ht="13.5" customHeight="1">
      <c r="A183" s="817"/>
      <c r="B183" s="183"/>
      <c r="C183" s="183"/>
      <c r="D183" s="183" t="s">
        <v>1203</v>
      </c>
      <c r="E183" s="183"/>
      <c r="F183" s="742"/>
      <c r="G183" s="818"/>
      <c r="H183" s="818"/>
      <c r="I183" s="150"/>
      <c r="J183" s="815"/>
      <c r="K183" s="885"/>
      <c r="L183" s="886"/>
      <c r="M183" s="886"/>
      <c r="N183" s="886"/>
      <c r="O183" s="886"/>
      <c r="P183" s="886"/>
      <c r="U183" s="827"/>
    </row>
    <row r="184" spans="1:21" ht="27" customHeight="1">
      <c r="A184" s="746" t="s">
        <v>1286</v>
      </c>
      <c r="B184" s="177">
        <v>790</v>
      </c>
      <c r="C184" s="177" t="s">
        <v>1287</v>
      </c>
      <c r="D184" s="177" t="s">
        <v>1288</v>
      </c>
      <c r="E184" s="177" t="s">
        <v>210</v>
      </c>
      <c r="F184" s="773">
        <f>ROUND(SUM(F186),3)</f>
        <v>1</v>
      </c>
      <c r="G184" s="181"/>
      <c r="H184" s="814">
        <f t="shared" ref="H184" si="40">ROUND(F184*G184,2)</f>
        <v>0</v>
      </c>
      <c r="I184" s="216" t="s">
        <v>112</v>
      </c>
      <c r="J184" s="815"/>
      <c r="K184" s="864"/>
      <c r="M184" s="886"/>
    </row>
    <row r="185" spans="1:21" ht="13.5" customHeight="1">
      <c r="A185" s="817"/>
      <c r="B185" s="183"/>
      <c r="C185" s="183"/>
      <c r="D185" s="183" t="s">
        <v>1289</v>
      </c>
      <c r="E185" s="183"/>
      <c r="F185" s="742"/>
      <c r="G185" s="818"/>
      <c r="H185" s="818"/>
      <c r="I185" s="322"/>
      <c r="J185" s="879"/>
      <c r="K185" s="633"/>
      <c r="P185" s="888"/>
    </row>
    <row r="186" spans="1:21" ht="13.5" customHeight="1">
      <c r="A186" s="817"/>
      <c r="B186" s="183"/>
      <c r="C186" s="183"/>
      <c r="D186" s="183" t="s">
        <v>1040</v>
      </c>
      <c r="E186" s="183"/>
      <c r="F186" s="742">
        <v>1</v>
      </c>
      <c r="G186" s="818"/>
      <c r="H186" s="818"/>
      <c r="I186" s="322"/>
      <c r="J186" s="879"/>
    </row>
    <row r="187" spans="1:21" ht="13.5" customHeight="1">
      <c r="A187" s="817"/>
      <c r="B187" s="183"/>
      <c r="C187" s="183"/>
      <c r="D187" s="183" t="s">
        <v>1203</v>
      </c>
      <c r="E187" s="183"/>
      <c r="F187" s="742"/>
      <c r="G187" s="818"/>
      <c r="H187" s="818"/>
      <c r="I187" s="306"/>
      <c r="J187" s="881"/>
      <c r="K187" s="889"/>
      <c r="M187" s="825"/>
    </row>
    <row r="188" spans="1:21" ht="27" customHeight="1">
      <c r="A188" s="746" t="s">
        <v>1290</v>
      </c>
      <c r="B188" s="177">
        <v>790</v>
      </c>
      <c r="C188" s="177" t="s">
        <v>1291</v>
      </c>
      <c r="D188" s="177" t="s">
        <v>1292</v>
      </c>
      <c r="E188" s="177" t="s">
        <v>210</v>
      </c>
      <c r="F188" s="773">
        <f>ROUND(SUM(F190),3)</f>
        <v>1</v>
      </c>
      <c r="G188" s="181"/>
      <c r="H188" s="814">
        <f t="shared" ref="H188" si="41">ROUND(F188*G188,2)</f>
        <v>0</v>
      </c>
      <c r="I188" s="216" t="s">
        <v>112</v>
      </c>
      <c r="J188" s="815"/>
      <c r="K188" s="864"/>
      <c r="M188" s="886"/>
    </row>
    <row r="189" spans="1:21" ht="13.5" customHeight="1">
      <c r="A189" s="817"/>
      <c r="B189" s="183"/>
      <c r="C189" s="183"/>
      <c r="D189" s="183" t="s">
        <v>1293</v>
      </c>
      <c r="E189" s="183"/>
      <c r="F189" s="742"/>
      <c r="G189" s="818"/>
      <c r="H189" s="818"/>
      <c r="I189" s="322"/>
      <c r="J189" s="879"/>
      <c r="K189" s="633"/>
      <c r="P189" s="888"/>
    </row>
    <row r="190" spans="1:21" ht="13.5" customHeight="1">
      <c r="A190" s="817"/>
      <c r="B190" s="183"/>
      <c r="C190" s="183"/>
      <c r="D190" s="183" t="s">
        <v>1040</v>
      </c>
      <c r="E190" s="183"/>
      <c r="F190" s="742">
        <v>1</v>
      </c>
      <c r="G190" s="818"/>
      <c r="H190" s="818"/>
      <c r="I190" s="322"/>
      <c r="J190" s="879"/>
    </row>
    <row r="191" spans="1:21" ht="13.5" customHeight="1">
      <c r="A191" s="817"/>
      <c r="B191" s="183"/>
      <c r="C191" s="183"/>
      <c r="D191" s="183" t="s">
        <v>1203</v>
      </c>
      <c r="E191" s="183"/>
      <c r="F191" s="742"/>
      <c r="G191" s="818"/>
      <c r="H191" s="818"/>
      <c r="I191" s="306"/>
      <c r="J191" s="881"/>
      <c r="K191" s="889"/>
      <c r="M191" s="825"/>
    </row>
    <row r="192" spans="1:21" ht="27" customHeight="1">
      <c r="A192" s="746" t="s">
        <v>1294</v>
      </c>
      <c r="B192" s="177">
        <v>790</v>
      </c>
      <c r="C192" s="177" t="s">
        <v>1295</v>
      </c>
      <c r="D192" s="177" t="s">
        <v>1296</v>
      </c>
      <c r="E192" s="177" t="s">
        <v>210</v>
      </c>
      <c r="F192" s="773">
        <f>ROUND(SUM(F194),3)</f>
        <v>1</v>
      </c>
      <c r="G192" s="181"/>
      <c r="H192" s="814">
        <f t="shared" ref="H192" si="42">ROUND(F192*G192,2)</f>
        <v>0</v>
      </c>
      <c r="I192" s="216" t="s">
        <v>112</v>
      </c>
      <c r="J192" s="815"/>
      <c r="K192" s="864"/>
      <c r="M192" s="886"/>
    </row>
    <row r="193" spans="1:21" ht="13.5" customHeight="1">
      <c r="A193" s="817"/>
      <c r="B193" s="183"/>
      <c r="C193" s="183"/>
      <c r="D193" s="183" t="s">
        <v>1297</v>
      </c>
      <c r="E193" s="183"/>
      <c r="F193" s="742"/>
      <c r="G193" s="818"/>
      <c r="H193" s="818"/>
      <c r="I193" s="322"/>
      <c r="J193" s="879"/>
      <c r="K193" s="633"/>
      <c r="P193" s="888"/>
    </row>
    <row r="194" spans="1:21" ht="13.5" customHeight="1">
      <c r="A194" s="817"/>
      <c r="B194" s="183"/>
      <c r="C194" s="183"/>
      <c r="D194" s="183" t="s">
        <v>1040</v>
      </c>
      <c r="E194" s="183"/>
      <c r="F194" s="742">
        <v>1</v>
      </c>
      <c r="G194" s="818"/>
      <c r="H194" s="818"/>
      <c r="I194" s="322"/>
      <c r="J194" s="879"/>
    </row>
    <row r="195" spans="1:21" ht="13.5" customHeight="1">
      <c r="A195" s="817"/>
      <c r="B195" s="183"/>
      <c r="C195" s="183"/>
      <c r="D195" s="183" t="s">
        <v>1203</v>
      </c>
      <c r="E195" s="183"/>
      <c r="F195" s="742"/>
      <c r="G195" s="818"/>
      <c r="H195" s="818"/>
      <c r="I195" s="306"/>
      <c r="J195" s="881"/>
      <c r="K195" s="889"/>
      <c r="M195" s="825"/>
    </row>
    <row r="196" spans="1:21" ht="27" customHeight="1">
      <c r="A196" s="186">
        <v>43</v>
      </c>
      <c r="B196" s="177">
        <v>790</v>
      </c>
      <c r="C196" s="177" t="s">
        <v>1298</v>
      </c>
      <c r="D196" s="177" t="s">
        <v>1299</v>
      </c>
      <c r="E196" s="177" t="s">
        <v>210</v>
      </c>
      <c r="F196" s="773">
        <f>ROUND(SUM(F198:F199),3)</f>
        <v>13</v>
      </c>
      <c r="G196" s="181"/>
      <c r="H196" s="814">
        <f t="shared" ref="H196" si="43">ROUND(F196*G196,2)</f>
        <v>0</v>
      </c>
      <c r="I196" s="216" t="s">
        <v>112</v>
      </c>
      <c r="J196" s="872"/>
      <c r="K196" s="633"/>
    </row>
    <row r="197" spans="1:21" ht="13.5" customHeight="1">
      <c r="A197" s="284"/>
      <c r="B197" s="183"/>
      <c r="C197" s="183"/>
      <c r="D197" s="183" t="s">
        <v>1300</v>
      </c>
      <c r="E197" s="183"/>
      <c r="F197" s="742"/>
      <c r="G197" s="818"/>
      <c r="H197" s="818"/>
      <c r="I197" s="322"/>
      <c r="J197" s="815"/>
      <c r="O197" s="888"/>
    </row>
    <row r="198" spans="1:21" ht="13.5" customHeight="1">
      <c r="A198" s="284"/>
      <c r="B198" s="183"/>
      <c r="C198" s="183"/>
      <c r="D198" s="183" t="s">
        <v>1040</v>
      </c>
      <c r="E198" s="183"/>
      <c r="F198" s="742">
        <v>6</v>
      </c>
      <c r="G198" s="818"/>
      <c r="H198" s="818"/>
      <c r="I198" s="322"/>
      <c r="J198" s="853"/>
    </row>
    <row r="199" spans="1:21" ht="13.5" customHeight="1">
      <c r="A199" s="284"/>
      <c r="B199" s="183"/>
      <c r="C199" s="183"/>
      <c r="D199" s="183" t="s">
        <v>1071</v>
      </c>
      <c r="E199" s="183"/>
      <c r="F199" s="742">
        <v>7</v>
      </c>
      <c r="G199" s="818"/>
      <c r="H199" s="818"/>
      <c r="I199" s="322"/>
      <c r="J199" s="853"/>
    </row>
    <row r="200" spans="1:21" ht="13.5" customHeight="1">
      <c r="A200" s="284"/>
      <c r="B200" s="183"/>
      <c r="C200" s="183"/>
      <c r="D200" s="183" t="s">
        <v>1203</v>
      </c>
      <c r="E200" s="183"/>
      <c r="F200" s="742"/>
      <c r="G200" s="818"/>
      <c r="H200" s="818"/>
      <c r="I200" s="322"/>
      <c r="J200" s="853"/>
    </row>
    <row r="201" spans="1:21" ht="27" customHeight="1">
      <c r="A201" s="186">
        <v>44</v>
      </c>
      <c r="B201" s="177">
        <v>790</v>
      </c>
      <c r="C201" s="177" t="s">
        <v>1298</v>
      </c>
      <c r="D201" s="177" t="s">
        <v>1301</v>
      </c>
      <c r="E201" s="177" t="s">
        <v>210</v>
      </c>
      <c r="F201" s="773">
        <f>ROUND(SUM(F203:F203),3)</f>
        <v>1</v>
      </c>
      <c r="G201" s="181"/>
      <c r="H201" s="814">
        <f t="shared" ref="H201" si="44">ROUND(F201*G201,2)</f>
        <v>0</v>
      </c>
      <c r="I201" s="216" t="s">
        <v>112</v>
      </c>
      <c r="J201" s="890"/>
      <c r="K201" s="633"/>
    </row>
    <row r="202" spans="1:21" ht="13.5" customHeight="1">
      <c r="A202" s="284"/>
      <c r="B202" s="183"/>
      <c r="C202" s="183"/>
      <c r="D202" s="183" t="s">
        <v>1302</v>
      </c>
      <c r="E202" s="183"/>
      <c r="F202" s="742"/>
      <c r="G202" s="818"/>
      <c r="H202" s="818"/>
      <c r="I202" s="322"/>
      <c r="J202" s="815"/>
      <c r="O202" s="888"/>
    </row>
    <row r="203" spans="1:21" ht="13.5" customHeight="1">
      <c r="A203" s="284"/>
      <c r="B203" s="183"/>
      <c r="C203" s="183"/>
      <c r="D203" s="183" t="s">
        <v>1040</v>
      </c>
      <c r="E203" s="183"/>
      <c r="F203" s="742">
        <v>1</v>
      </c>
      <c r="G203" s="818"/>
      <c r="H203" s="818"/>
      <c r="I203" s="322"/>
      <c r="J203" s="853"/>
    </row>
    <row r="204" spans="1:21" ht="13.5" customHeight="1">
      <c r="A204" s="284"/>
      <c r="B204" s="183"/>
      <c r="C204" s="183"/>
      <c r="D204" s="183" t="s">
        <v>1203</v>
      </c>
      <c r="E204" s="183"/>
      <c r="F204" s="742"/>
      <c r="G204" s="818"/>
      <c r="H204" s="818"/>
      <c r="I204" s="322"/>
      <c r="J204" s="853"/>
    </row>
    <row r="205" spans="1:21" ht="27" customHeight="1">
      <c r="A205" s="746" t="s">
        <v>1303</v>
      </c>
      <c r="B205" s="177">
        <v>790</v>
      </c>
      <c r="C205" s="177" t="s">
        <v>1304</v>
      </c>
      <c r="D205" s="177" t="s">
        <v>1305</v>
      </c>
      <c r="E205" s="177" t="s">
        <v>210</v>
      </c>
      <c r="F205" s="773">
        <f>ROUND(SUM(F207),3)</f>
        <v>1</v>
      </c>
      <c r="G205" s="181"/>
      <c r="H205" s="814">
        <f t="shared" ref="H205" si="45">ROUND(F205*G205,2)</f>
        <v>0</v>
      </c>
      <c r="I205" s="216" t="s">
        <v>112</v>
      </c>
      <c r="J205" s="872"/>
      <c r="K205" s="884"/>
    </row>
    <row r="206" spans="1:21" ht="27" customHeight="1">
      <c r="A206" s="817"/>
      <c r="B206" s="183"/>
      <c r="C206" s="183"/>
      <c r="D206" s="300" t="s">
        <v>1306</v>
      </c>
      <c r="E206" s="183"/>
      <c r="F206" s="742"/>
      <c r="G206" s="818"/>
      <c r="H206" s="818"/>
      <c r="I206" s="150"/>
      <c r="J206" s="815"/>
      <c r="K206" s="633"/>
      <c r="M206" s="825"/>
    </row>
    <row r="207" spans="1:21" ht="13.5" customHeight="1">
      <c r="A207" s="822"/>
      <c r="B207" s="177"/>
      <c r="C207" s="177"/>
      <c r="D207" s="183" t="s">
        <v>1040</v>
      </c>
      <c r="E207" s="183"/>
      <c r="F207" s="742">
        <v>1</v>
      </c>
      <c r="G207" s="738"/>
      <c r="H207" s="738"/>
      <c r="I207" s="150"/>
      <c r="J207" s="853"/>
      <c r="K207" s="812"/>
      <c r="M207" s="857"/>
    </row>
    <row r="208" spans="1:21" ht="13.5" customHeight="1">
      <c r="A208" s="817"/>
      <c r="B208" s="183"/>
      <c r="C208" s="183"/>
      <c r="D208" s="183" t="s">
        <v>1203</v>
      </c>
      <c r="E208" s="183"/>
      <c r="F208" s="742"/>
      <c r="G208" s="818"/>
      <c r="H208" s="818"/>
      <c r="I208" s="150"/>
      <c r="J208" s="853"/>
      <c r="U208" s="827"/>
    </row>
    <row r="209" spans="1:21" ht="27" customHeight="1">
      <c r="A209" s="746" t="s">
        <v>1307</v>
      </c>
      <c r="B209" s="177">
        <v>790</v>
      </c>
      <c r="C209" s="177" t="s">
        <v>1308</v>
      </c>
      <c r="D209" s="177" t="s">
        <v>1309</v>
      </c>
      <c r="E209" s="177" t="s">
        <v>210</v>
      </c>
      <c r="F209" s="773">
        <f>ROUND(SUM(F211:F212),3)</f>
        <v>2</v>
      </c>
      <c r="G209" s="181"/>
      <c r="H209" s="814">
        <f t="shared" ref="H209" si="46">ROUND(F209*G209,2)</f>
        <v>0</v>
      </c>
      <c r="I209" s="216" t="s">
        <v>112</v>
      </c>
      <c r="J209" s="872"/>
      <c r="K209" s="884"/>
    </row>
    <row r="210" spans="1:21" ht="27" customHeight="1">
      <c r="A210" s="817"/>
      <c r="B210" s="183"/>
      <c r="C210" s="183"/>
      <c r="D210" s="300" t="s">
        <v>1310</v>
      </c>
      <c r="E210" s="183"/>
      <c r="F210" s="742"/>
      <c r="G210" s="818"/>
      <c r="H210" s="818"/>
      <c r="I210" s="150"/>
      <c r="J210" s="815"/>
      <c r="K210" s="633"/>
      <c r="M210" s="825"/>
    </row>
    <row r="211" spans="1:21" ht="13.5" customHeight="1">
      <c r="A211" s="817"/>
      <c r="B211" s="183"/>
      <c r="C211" s="183"/>
      <c r="D211" s="183" t="s">
        <v>1040</v>
      </c>
      <c r="E211" s="183"/>
      <c r="F211" s="742">
        <v>1</v>
      </c>
      <c r="G211" s="818"/>
      <c r="H211" s="818"/>
      <c r="I211" s="150"/>
      <c r="J211" s="853"/>
      <c r="K211" s="883"/>
      <c r="M211" s="825"/>
    </row>
    <row r="212" spans="1:21" ht="13.5" customHeight="1">
      <c r="A212" s="822"/>
      <c r="B212" s="177"/>
      <c r="C212" s="177"/>
      <c r="D212" s="183" t="s">
        <v>1071</v>
      </c>
      <c r="E212" s="183"/>
      <c r="F212" s="742">
        <v>1</v>
      </c>
      <c r="G212" s="738"/>
      <c r="H212" s="738"/>
      <c r="I212" s="150"/>
      <c r="J212" s="853"/>
      <c r="K212" s="812"/>
      <c r="M212" s="857"/>
    </row>
    <row r="213" spans="1:21" ht="13.5" customHeight="1">
      <c r="A213" s="817"/>
      <c r="B213" s="183"/>
      <c r="C213" s="183"/>
      <c r="D213" s="183" t="s">
        <v>1203</v>
      </c>
      <c r="E213" s="183"/>
      <c r="F213" s="742"/>
      <c r="G213" s="818"/>
      <c r="H213" s="818"/>
      <c r="I213" s="150"/>
      <c r="U213" s="827"/>
    </row>
    <row r="214" spans="1:21" ht="27" customHeight="1">
      <c r="A214" s="746" t="s">
        <v>1311</v>
      </c>
      <c r="B214" s="177">
        <v>790</v>
      </c>
      <c r="C214" s="177" t="s">
        <v>1312</v>
      </c>
      <c r="D214" s="177" t="s">
        <v>1313</v>
      </c>
      <c r="E214" s="177" t="s">
        <v>210</v>
      </c>
      <c r="F214" s="773">
        <f>ROUND(SUM(F216:F217),3)</f>
        <v>2</v>
      </c>
      <c r="G214" s="181"/>
      <c r="H214" s="814">
        <f t="shared" ref="H214" si="47">ROUND(F214*G214,2)</f>
        <v>0</v>
      </c>
      <c r="I214" s="216" t="s">
        <v>112</v>
      </c>
      <c r="J214" s="872"/>
      <c r="K214" s="887"/>
    </row>
    <row r="215" spans="1:21" ht="40.5" customHeight="1">
      <c r="A215" s="817"/>
      <c r="B215" s="183"/>
      <c r="C215" s="183"/>
      <c r="D215" s="183" t="s">
        <v>1314</v>
      </c>
      <c r="E215" s="183"/>
      <c r="F215" s="742"/>
      <c r="G215" s="818"/>
      <c r="H215" s="818"/>
      <c r="I215" s="150"/>
      <c r="J215" s="815"/>
    </row>
    <row r="216" spans="1:21" ht="13.5" customHeight="1">
      <c r="A216" s="822"/>
      <c r="B216" s="177"/>
      <c r="C216" s="177"/>
      <c r="D216" s="183" t="s">
        <v>1040</v>
      </c>
      <c r="E216" s="183"/>
      <c r="F216" s="742">
        <v>1</v>
      </c>
      <c r="G216" s="738"/>
      <c r="H216" s="738"/>
      <c r="I216" s="150"/>
      <c r="J216" s="853"/>
    </row>
    <row r="217" spans="1:21" ht="13.5" customHeight="1">
      <c r="A217" s="817"/>
      <c r="B217" s="183"/>
      <c r="C217" s="183"/>
      <c r="D217" s="183" t="s">
        <v>1071</v>
      </c>
      <c r="E217" s="183"/>
      <c r="F217" s="742">
        <v>1</v>
      </c>
      <c r="G217" s="818"/>
      <c r="H217" s="818"/>
      <c r="I217" s="150"/>
      <c r="J217" s="853"/>
      <c r="T217" s="827"/>
    </row>
    <row r="218" spans="1:21" ht="13.5" customHeight="1">
      <c r="A218" s="817"/>
      <c r="B218" s="183"/>
      <c r="C218" s="183"/>
      <c r="D218" s="183" t="s">
        <v>1203</v>
      </c>
      <c r="E218" s="183"/>
      <c r="F218" s="742"/>
      <c r="G218" s="818"/>
      <c r="H218" s="818"/>
      <c r="I218" s="150"/>
      <c r="J218" s="815"/>
      <c r="K218" s="885"/>
      <c r="L218" s="886"/>
      <c r="M218" s="886"/>
      <c r="N218" s="886"/>
      <c r="O218" s="886"/>
      <c r="P218" s="886"/>
      <c r="U218" s="827"/>
    </row>
    <row r="219" spans="1:21" ht="27" customHeight="1">
      <c r="A219" s="746" t="s">
        <v>1315</v>
      </c>
      <c r="B219" s="177">
        <v>790</v>
      </c>
      <c r="C219" s="177" t="s">
        <v>1316</v>
      </c>
      <c r="D219" s="177" t="s">
        <v>1317</v>
      </c>
      <c r="E219" s="177" t="s">
        <v>210</v>
      </c>
      <c r="F219" s="773">
        <f>ROUND(SUM(F221:F222),3)</f>
        <v>2</v>
      </c>
      <c r="G219" s="181"/>
      <c r="H219" s="814">
        <f t="shared" ref="H219" si="48">ROUND(F219*G219,2)</f>
        <v>0</v>
      </c>
      <c r="I219" s="216" t="s">
        <v>112</v>
      </c>
      <c r="J219" s="872"/>
      <c r="K219" s="884"/>
    </row>
    <row r="220" spans="1:21" ht="13.5" customHeight="1">
      <c r="A220" s="891"/>
      <c r="B220" s="149"/>
      <c r="C220" s="149"/>
      <c r="D220" s="183" t="s">
        <v>1318</v>
      </c>
      <c r="E220" s="183"/>
      <c r="F220" s="742"/>
      <c r="G220" s="738"/>
      <c r="H220" s="738"/>
      <c r="I220" s="150"/>
      <c r="J220" s="815"/>
      <c r="K220" s="633"/>
      <c r="N220" s="892"/>
    </row>
    <row r="221" spans="1:21" ht="13.5" customHeight="1">
      <c r="A221" s="891"/>
      <c r="B221" s="149"/>
      <c r="C221" s="149"/>
      <c r="D221" s="183" t="s">
        <v>1040</v>
      </c>
      <c r="E221" s="183"/>
      <c r="F221" s="742">
        <v>1</v>
      </c>
      <c r="G221" s="738"/>
      <c r="H221" s="738"/>
      <c r="I221" s="150"/>
      <c r="J221" s="815"/>
      <c r="K221" s="633"/>
      <c r="N221" s="892"/>
    </row>
    <row r="222" spans="1:21" ht="13.5" customHeight="1">
      <c r="A222" s="817"/>
      <c r="B222" s="183"/>
      <c r="C222" s="183"/>
      <c r="D222" s="183" t="s">
        <v>1071</v>
      </c>
      <c r="E222" s="183"/>
      <c r="F222" s="742">
        <v>1</v>
      </c>
      <c r="G222" s="818"/>
      <c r="H222" s="818"/>
      <c r="I222" s="216"/>
      <c r="J222" s="853"/>
      <c r="K222" s="633"/>
    </row>
    <row r="223" spans="1:21" ht="13.5" customHeight="1">
      <c r="A223" s="817"/>
      <c r="B223" s="183"/>
      <c r="C223" s="183"/>
      <c r="D223" s="183" t="s">
        <v>1319</v>
      </c>
      <c r="E223" s="183"/>
      <c r="F223" s="742"/>
      <c r="G223" s="818"/>
      <c r="H223" s="818"/>
      <c r="I223" s="216"/>
      <c r="J223" s="853"/>
      <c r="K223" s="633"/>
    </row>
    <row r="224" spans="1:21" ht="13.5" customHeight="1">
      <c r="A224" s="822" t="s">
        <v>1320</v>
      </c>
      <c r="B224" s="180" t="s">
        <v>850</v>
      </c>
      <c r="C224" s="177" t="s">
        <v>1321</v>
      </c>
      <c r="D224" s="177" t="s">
        <v>1322</v>
      </c>
      <c r="E224" s="177" t="s">
        <v>10</v>
      </c>
      <c r="F224" s="740">
        <v>1.1000000000000001</v>
      </c>
      <c r="G224" s="181"/>
      <c r="H224" s="814">
        <f t="shared" ref="H224:H225" si="49">ROUND(F224*G224,2)</f>
        <v>0</v>
      </c>
      <c r="I224" s="216" t="s">
        <v>112</v>
      </c>
      <c r="J224" s="893"/>
      <c r="K224" s="748"/>
    </row>
    <row r="225" spans="1:63" s="325" customFormat="1" ht="13.5" customHeight="1">
      <c r="A225" s="822" t="s">
        <v>1323</v>
      </c>
      <c r="B225" s="177" t="s">
        <v>369</v>
      </c>
      <c r="C225" s="177" t="s">
        <v>856</v>
      </c>
      <c r="D225" s="177" t="s">
        <v>857</v>
      </c>
      <c r="E225" s="177" t="s">
        <v>69</v>
      </c>
      <c r="F225" s="740">
        <f>F226</f>
        <v>20</v>
      </c>
      <c r="G225" s="181"/>
      <c r="H225" s="814">
        <f t="shared" si="49"/>
        <v>0</v>
      </c>
      <c r="I225" s="216" t="s">
        <v>138</v>
      </c>
      <c r="J225" s="301"/>
      <c r="K225" s="141"/>
    </row>
    <row r="226" spans="1:63" s="135" customFormat="1" ht="13.5" customHeight="1">
      <c r="A226" s="894"/>
      <c r="B226" s="299"/>
      <c r="C226" s="299"/>
      <c r="D226" s="183" t="s">
        <v>858</v>
      </c>
      <c r="E226" s="299"/>
      <c r="F226" s="895">
        <v>20</v>
      </c>
      <c r="G226" s="896"/>
      <c r="H226" s="181"/>
      <c r="I226" s="150"/>
      <c r="K226" s="141"/>
    </row>
    <row r="227" spans="1:63" s="135" customFormat="1" ht="13.5" customHeight="1">
      <c r="A227" s="894"/>
      <c r="B227" s="299"/>
      <c r="C227" s="299"/>
      <c r="D227" s="183" t="s">
        <v>540</v>
      </c>
      <c r="E227" s="299"/>
      <c r="F227" s="742"/>
      <c r="G227" s="896"/>
      <c r="H227" s="181"/>
      <c r="I227" s="150"/>
      <c r="K227" s="141"/>
    </row>
    <row r="228" spans="1:63" s="135" customFormat="1" ht="13.5" customHeight="1">
      <c r="A228" s="496"/>
      <c r="B228" s="497"/>
      <c r="C228" s="497"/>
      <c r="D228" s="497" t="s">
        <v>0</v>
      </c>
      <c r="E228" s="497"/>
      <c r="F228" s="780"/>
      <c r="G228" s="781"/>
      <c r="H228" s="781">
        <f>H8</f>
        <v>0</v>
      </c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141"/>
      <c r="BH228" s="141"/>
      <c r="BI228" s="141"/>
      <c r="BJ228" s="141"/>
    </row>
    <row r="229" spans="1:63" s="135" customFormat="1" ht="13.5" customHeight="1">
      <c r="A229" s="496"/>
      <c r="B229" s="497"/>
      <c r="C229" s="497"/>
      <c r="D229" s="497"/>
      <c r="E229" s="497"/>
      <c r="F229" s="780"/>
      <c r="G229" s="781"/>
      <c r="H229" s="781"/>
      <c r="J229" s="80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141"/>
      <c r="BI229" s="141"/>
      <c r="BJ229" s="141"/>
      <c r="BK229" s="141"/>
    </row>
    <row r="230" spans="1:63">
      <c r="K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</row>
    <row r="231" spans="1:63" ht="13.5" customHeight="1">
      <c r="A231" s="3038" t="s">
        <v>875</v>
      </c>
      <c r="B231" s="3067"/>
      <c r="C231" s="3068"/>
      <c r="D231" s="500" t="s">
        <v>1324</v>
      </c>
      <c r="E231" s="501"/>
      <c r="F231" s="784"/>
      <c r="G231" s="785"/>
      <c r="H231" s="786">
        <f>H228</f>
        <v>0</v>
      </c>
      <c r="K231" s="146"/>
    </row>
    <row r="232" spans="1:63">
      <c r="K232" s="897"/>
      <c r="M232" s="789"/>
      <c r="N232" s="790"/>
      <c r="O232" s="791"/>
      <c r="P232" s="792"/>
      <c r="Q232" s="735"/>
      <c r="R232" s="735"/>
      <c r="S232" s="135"/>
      <c r="T232" s="146"/>
      <c r="U232" s="147"/>
      <c r="V232" s="789"/>
      <c r="W232" s="790"/>
      <c r="X232" s="791"/>
      <c r="Y232" s="792"/>
      <c r="Z232" s="735"/>
      <c r="AA232" s="735"/>
      <c r="AB232" s="135"/>
      <c r="AC232" s="146"/>
      <c r="AD232" s="147"/>
      <c r="AE232" s="789"/>
      <c r="AF232" s="790"/>
      <c r="AG232" s="791"/>
      <c r="AH232" s="792"/>
      <c r="AI232" s="735"/>
      <c r="AJ232" s="735"/>
      <c r="AK232" s="135"/>
      <c r="AL232" s="146"/>
      <c r="AM232" s="147"/>
      <c r="AN232" s="789"/>
      <c r="AO232" s="790"/>
      <c r="AP232" s="791"/>
      <c r="AQ232" s="792"/>
      <c r="AR232" s="735"/>
      <c r="AS232" s="735"/>
      <c r="AT232" s="135"/>
      <c r="AU232" s="146"/>
      <c r="AV232" s="147"/>
      <c r="AW232" s="789"/>
      <c r="AX232" s="790"/>
      <c r="AY232" s="791"/>
      <c r="AZ232" s="792"/>
      <c r="BA232" s="735"/>
      <c r="BB232" s="735"/>
      <c r="BC232" s="135"/>
      <c r="BD232" s="146"/>
      <c r="BE232" s="147"/>
      <c r="BF232" s="789"/>
      <c r="BG232" s="790"/>
      <c r="BH232" s="791"/>
      <c r="BI232" s="792"/>
      <c r="BJ232" s="735"/>
      <c r="BK232" s="735"/>
    </row>
    <row r="233" spans="1:63">
      <c r="A233" s="129" t="s">
        <v>1</v>
      </c>
      <c r="B233" s="130"/>
      <c r="C233" s="898"/>
      <c r="D233" s="129"/>
      <c r="E233" s="129"/>
      <c r="F233" s="793"/>
      <c r="G233" s="129"/>
      <c r="H233" s="129"/>
      <c r="I233" s="182"/>
      <c r="J233" s="815"/>
      <c r="K233" s="899"/>
      <c r="M233" s="789"/>
      <c r="N233" s="790"/>
      <c r="O233" s="791"/>
      <c r="P233" s="792"/>
      <c r="Q233" s="735"/>
      <c r="R233" s="735"/>
      <c r="S233" s="135"/>
      <c r="T233" s="146"/>
      <c r="U233" s="147"/>
      <c r="V233" s="789"/>
      <c r="W233" s="790"/>
      <c r="X233" s="791"/>
      <c r="Y233" s="792"/>
      <c r="Z233" s="735"/>
      <c r="AA233" s="735"/>
      <c r="AB233" s="135"/>
      <c r="AC233" s="146"/>
      <c r="AD233" s="147"/>
      <c r="AE233" s="789"/>
      <c r="AF233" s="790"/>
      <c r="AG233" s="791"/>
      <c r="AH233" s="792"/>
      <c r="AI233" s="735"/>
      <c r="AJ233" s="735"/>
      <c r="AK233" s="135"/>
      <c r="AL233" s="146"/>
      <c r="AM233" s="147"/>
      <c r="AN233" s="789"/>
      <c r="AO233" s="790"/>
      <c r="AP233" s="791"/>
      <c r="AQ233" s="792"/>
      <c r="AR233" s="735"/>
      <c r="AS233" s="735"/>
      <c r="AT233" s="135"/>
      <c r="AU233" s="146"/>
      <c r="AV233" s="147"/>
      <c r="AW233" s="789"/>
      <c r="AX233" s="790"/>
      <c r="AY233" s="791"/>
      <c r="AZ233" s="792"/>
      <c r="BA233" s="735"/>
      <c r="BB233" s="735"/>
      <c r="BC233" s="135"/>
      <c r="BD233" s="146"/>
      <c r="BE233" s="147"/>
      <c r="BF233" s="789"/>
      <c r="BG233" s="790"/>
      <c r="BH233" s="791"/>
      <c r="BI233" s="792"/>
      <c r="BJ233" s="735"/>
      <c r="BK233" s="735"/>
    </row>
    <row r="234" spans="1:63" ht="27" customHeight="1">
      <c r="A234" s="3018" t="s">
        <v>1125</v>
      </c>
      <c r="B234" s="3037"/>
      <c r="C234" s="3037"/>
      <c r="D234" s="3037"/>
      <c r="E234" s="3037"/>
      <c r="F234" s="3037"/>
      <c r="G234" s="3037"/>
      <c r="H234" s="129"/>
      <c r="I234" s="795"/>
      <c r="J234" s="900"/>
      <c r="K234" s="825"/>
      <c r="M234" s="789"/>
      <c r="N234" s="790"/>
      <c r="O234" s="791"/>
      <c r="P234" s="792"/>
      <c r="Q234" s="735"/>
      <c r="R234" s="735"/>
      <c r="S234" s="135"/>
      <c r="T234" s="146"/>
      <c r="U234" s="147"/>
      <c r="V234" s="789"/>
      <c r="W234" s="790"/>
      <c r="X234" s="791"/>
      <c r="Y234" s="792"/>
      <c r="Z234" s="735"/>
      <c r="AA234" s="735"/>
      <c r="AB234" s="135"/>
      <c r="AC234" s="146"/>
      <c r="AD234" s="147"/>
      <c r="AE234" s="789"/>
      <c r="AF234" s="790"/>
      <c r="AG234" s="791"/>
      <c r="AH234" s="792"/>
      <c r="AI234" s="735"/>
      <c r="AJ234" s="735"/>
      <c r="AK234" s="135"/>
      <c r="AL234" s="146"/>
      <c r="AM234" s="147"/>
      <c r="AN234" s="789"/>
      <c r="AO234" s="790"/>
      <c r="AP234" s="791"/>
      <c r="AQ234" s="792"/>
      <c r="AR234" s="735"/>
      <c r="AS234" s="735"/>
      <c r="AT234" s="135"/>
      <c r="AU234" s="146"/>
      <c r="AV234" s="147"/>
      <c r="AW234" s="789"/>
      <c r="AX234" s="790"/>
      <c r="AY234" s="791"/>
      <c r="AZ234" s="792"/>
      <c r="BA234" s="735"/>
      <c r="BB234" s="735"/>
      <c r="BC234" s="135"/>
      <c r="BD234" s="146"/>
      <c r="BE234" s="147"/>
      <c r="BF234" s="789"/>
      <c r="BG234" s="790"/>
      <c r="BH234" s="791"/>
      <c r="BI234" s="792"/>
      <c r="BJ234" s="735"/>
      <c r="BK234" s="735"/>
    </row>
    <row r="235" spans="1:63" ht="90" customHeight="1">
      <c r="A235" s="3018" t="s">
        <v>1126</v>
      </c>
      <c r="B235" s="3041"/>
      <c r="C235" s="3041"/>
      <c r="D235" s="3041"/>
      <c r="E235" s="3041"/>
      <c r="F235" s="3041"/>
      <c r="G235" s="3041"/>
      <c r="H235" s="129"/>
      <c r="I235" s="129"/>
      <c r="J235" s="901"/>
      <c r="K235" s="146"/>
      <c r="M235" s="789"/>
      <c r="N235" s="790"/>
      <c r="O235" s="791"/>
      <c r="P235" s="792"/>
      <c r="Q235" s="735"/>
      <c r="R235" s="735"/>
      <c r="S235" s="135"/>
      <c r="T235" s="146"/>
      <c r="U235" s="147"/>
      <c r="V235" s="789"/>
      <c r="W235" s="790"/>
      <c r="X235" s="791"/>
      <c r="Y235" s="792"/>
      <c r="Z235" s="735"/>
      <c r="AA235" s="735"/>
      <c r="AB235" s="135"/>
      <c r="AC235" s="146"/>
      <c r="AD235" s="147"/>
      <c r="AE235" s="789"/>
      <c r="AF235" s="790"/>
      <c r="AG235" s="791"/>
      <c r="AH235" s="792"/>
      <c r="AI235" s="735"/>
      <c r="AJ235" s="735"/>
      <c r="AK235" s="135"/>
      <c r="AL235" s="146"/>
      <c r="AM235" s="147"/>
      <c r="AN235" s="789"/>
      <c r="AO235" s="790"/>
      <c r="AP235" s="791"/>
      <c r="AQ235" s="792"/>
      <c r="AR235" s="735"/>
      <c r="AS235" s="735"/>
      <c r="AT235" s="135"/>
      <c r="AU235" s="146"/>
      <c r="AV235" s="147"/>
      <c r="AW235" s="789"/>
      <c r="AX235" s="790"/>
      <c r="AY235" s="791"/>
      <c r="AZ235" s="792"/>
      <c r="BA235" s="735"/>
      <c r="BB235" s="735"/>
      <c r="BC235" s="135"/>
      <c r="BD235" s="146"/>
      <c r="BE235" s="147"/>
      <c r="BF235" s="789"/>
      <c r="BG235" s="790"/>
      <c r="BH235" s="791"/>
      <c r="BI235" s="792"/>
      <c r="BJ235" s="735"/>
      <c r="BK235" s="735"/>
    </row>
    <row r="236" spans="1:63">
      <c r="A236" s="3018" t="s">
        <v>105</v>
      </c>
      <c r="B236" s="3042"/>
      <c r="C236" s="3042"/>
      <c r="D236" s="3042"/>
      <c r="E236" s="3042"/>
      <c r="F236" s="3042"/>
      <c r="G236" s="3042"/>
      <c r="H236" s="507"/>
      <c r="I236" s="507"/>
      <c r="J236" s="902"/>
      <c r="K236" s="146"/>
      <c r="M236" s="789"/>
      <c r="N236" s="790"/>
      <c r="O236" s="791"/>
      <c r="P236" s="792"/>
      <c r="Q236" s="735"/>
      <c r="R236" s="735"/>
      <c r="S236" s="135"/>
      <c r="T236" s="146"/>
      <c r="U236" s="147"/>
      <c r="V236" s="789"/>
      <c r="W236" s="790"/>
      <c r="X236" s="791"/>
      <c r="Y236" s="792"/>
      <c r="Z236" s="735"/>
      <c r="AA236" s="735"/>
      <c r="AB236" s="135"/>
      <c r="AC236" s="146"/>
      <c r="AD236" s="147"/>
      <c r="AE236" s="789"/>
      <c r="AF236" s="790"/>
      <c r="AG236" s="791"/>
      <c r="AH236" s="792"/>
      <c r="AI236" s="735"/>
      <c r="AJ236" s="735"/>
      <c r="AK236" s="135"/>
      <c r="AL236" s="146"/>
      <c r="AM236" s="147"/>
      <c r="AN236" s="789"/>
      <c r="AO236" s="790"/>
      <c r="AP236" s="791"/>
      <c r="AQ236" s="792"/>
      <c r="AR236" s="735"/>
      <c r="AS236" s="735"/>
      <c r="AT236" s="135"/>
      <c r="AU236" s="146"/>
      <c r="AV236" s="147"/>
      <c r="AW236" s="789"/>
      <c r="AX236" s="790"/>
      <c r="AY236" s="791"/>
      <c r="AZ236" s="792"/>
      <c r="BA236" s="735"/>
      <c r="BB236" s="735"/>
      <c r="BC236" s="135"/>
      <c r="BD236" s="146"/>
      <c r="BE236" s="147"/>
      <c r="BF236" s="789"/>
      <c r="BG236" s="790"/>
      <c r="BH236" s="791"/>
      <c r="BI236" s="792"/>
      <c r="BJ236" s="735"/>
      <c r="BK236" s="735"/>
    </row>
    <row r="237" spans="1:63">
      <c r="A237" s="3018" t="s">
        <v>106</v>
      </c>
      <c r="B237" s="3042"/>
      <c r="C237" s="3042"/>
      <c r="D237" s="3042"/>
      <c r="E237" s="3042"/>
      <c r="F237" s="3042"/>
      <c r="G237" s="3042"/>
      <c r="H237" s="507"/>
      <c r="I237" s="507"/>
      <c r="J237" s="902"/>
      <c r="K237" s="135"/>
      <c r="M237" s="789"/>
      <c r="N237" s="790"/>
      <c r="O237" s="791"/>
      <c r="P237" s="792"/>
      <c r="Q237" s="735"/>
      <c r="R237" s="735"/>
      <c r="S237" s="135"/>
      <c r="T237" s="146"/>
      <c r="U237" s="147"/>
      <c r="V237" s="789"/>
      <c r="W237" s="790"/>
      <c r="X237" s="791"/>
      <c r="Y237" s="792"/>
      <c r="Z237" s="735"/>
      <c r="AA237" s="735"/>
      <c r="AB237" s="135"/>
      <c r="AC237" s="146"/>
      <c r="AD237" s="147"/>
      <c r="AE237" s="789"/>
      <c r="AF237" s="790"/>
      <c r="AG237" s="791"/>
      <c r="AH237" s="792"/>
      <c r="AI237" s="735"/>
      <c r="AJ237" s="735"/>
      <c r="AK237" s="135"/>
      <c r="AL237" s="146"/>
      <c r="AM237" s="147"/>
      <c r="AN237" s="789"/>
      <c r="AO237" s="790"/>
      <c r="AP237" s="791"/>
      <c r="AQ237" s="792"/>
      <c r="AR237" s="735"/>
      <c r="AS237" s="735"/>
      <c r="AT237" s="135"/>
      <c r="AU237" s="146"/>
      <c r="AV237" s="147"/>
      <c r="AW237" s="789"/>
      <c r="AX237" s="790"/>
      <c r="AY237" s="791"/>
      <c r="AZ237" s="792"/>
      <c r="BA237" s="735"/>
      <c r="BB237" s="735"/>
      <c r="BC237" s="135"/>
      <c r="BD237" s="146"/>
      <c r="BE237" s="147"/>
      <c r="BF237" s="789"/>
      <c r="BG237" s="790"/>
      <c r="BH237" s="791"/>
      <c r="BI237" s="792"/>
      <c r="BJ237" s="735"/>
      <c r="BK237" s="735"/>
    </row>
    <row r="238" spans="1:63" ht="108" customHeight="1">
      <c r="A238" s="3057" t="s">
        <v>1026</v>
      </c>
      <c r="B238" s="3057"/>
      <c r="C238" s="3057"/>
      <c r="D238" s="3057"/>
      <c r="E238" s="3057"/>
      <c r="F238" s="3057"/>
      <c r="G238" s="3057"/>
      <c r="H238" s="325"/>
      <c r="I238" s="797"/>
      <c r="J238" s="141"/>
    </row>
    <row r="239" spans="1:63" s="798" customFormat="1" ht="40.5" customHeight="1">
      <c r="A239" s="3057" t="s">
        <v>878</v>
      </c>
      <c r="B239" s="3057"/>
      <c r="C239" s="3057"/>
      <c r="D239" s="3057"/>
      <c r="E239" s="3057"/>
      <c r="F239" s="3057"/>
      <c r="G239" s="3057"/>
      <c r="I239" s="799"/>
    </row>
    <row r="240" spans="1:63">
      <c r="A240" s="132"/>
      <c r="B240" s="506"/>
      <c r="C240" s="903"/>
      <c r="D240" s="506"/>
      <c r="E240" s="506"/>
      <c r="F240" s="904"/>
      <c r="G240" s="506"/>
      <c r="H240" s="507"/>
      <c r="I240" s="507"/>
      <c r="J240" s="902"/>
      <c r="K240" s="135"/>
      <c r="M240" s="789"/>
      <c r="N240" s="790"/>
      <c r="O240" s="791"/>
      <c r="P240" s="792"/>
      <c r="Q240" s="735"/>
      <c r="R240" s="735"/>
      <c r="S240" s="135"/>
      <c r="T240" s="146"/>
      <c r="U240" s="147"/>
      <c r="V240" s="789"/>
      <c r="W240" s="790"/>
      <c r="X240" s="791"/>
      <c r="Y240" s="792"/>
      <c r="Z240" s="735"/>
      <c r="AA240" s="735"/>
      <c r="AB240" s="135"/>
      <c r="AC240" s="146"/>
      <c r="AD240" s="147"/>
      <c r="AE240" s="789"/>
      <c r="AF240" s="790"/>
      <c r="AG240" s="791"/>
      <c r="AH240" s="792"/>
      <c r="AI240" s="735"/>
      <c r="AJ240" s="735"/>
      <c r="AK240" s="135"/>
      <c r="AL240" s="146"/>
      <c r="AM240" s="147"/>
      <c r="AN240" s="789"/>
      <c r="AO240" s="790"/>
      <c r="AP240" s="791"/>
      <c r="AQ240" s="792"/>
      <c r="AR240" s="735"/>
      <c r="AS240" s="735"/>
      <c r="AT240" s="135"/>
      <c r="AU240" s="146"/>
      <c r="AV240" s="147"/>
      <c r="AW240" s="789"/>
      <c r="AX240" s="790"/>
      <c r="AY240" s="791"/>
      <c r="AZ240" s="792"/>
      <c r="BA240" s="735"/>
      <c r="BB240" s="735"/>
      <c r="BC240" s="135"/>
      <c r="BD240" s="146"/>
      <c r="BE240" s="147"/>
      <c r="BF240" s="789"/>
      <c r="BG240" s="790"/>
      <c r="BH240" s="791"/>
      <c r="BI240" s="792"/>
      <c r="BJ240" s="735"/>
      <c r="BK240" s="735"/>
    </row>
    <row r="241" spans="11:63">
      <c r="K241" s="146"/>
      <c r="M241" s="789"/>
      <c r="N241" s="790"/>
      <c r="O241" s="791"/>
      <c r="P241" s="792"/>
      <c r="Q241" s="735"/>
      <c r="R241" s="735"/>
      <c r="S241" s="135"/>
      <c r="T241" s="146"/>
      <c r="U241" s="147"/>
      <c r="V241" s="789"/>
      <c r="W241" s="790"/>
      <c r="X241" s="791"/>
      <c r="Y241" s="792"/>
      <c r="Z241" s="735"/>
      <c r="AA241" s="735"/>
      <c r="AB241" s="135"/>
      <c r="AC241" s="146"/>
      <c r="AD241" s="147"/>
      <c r="AE241" s="789"/>
      <c r="AF241" s="790"/>
      <c r="AG241" s="791"/>
      <c r="AH241" s="792"/>
      <c r="AI241" s="735"/>
      <c r="AJ241" s="735"/>
      <c r="AK241" s="135"/>
      <c r="AL241" s="146"/>
      <c r="AM241" s="147"/>
      <c r="AN241" s="789"/>
      <c r="AO241" s="790"/>
      <c r="AP241" s="791"/>
      <c r="AQ241" s="792"/>
      <c r="AR241" s="735"/>
      <c r="AS241" s="735"/>
      <c r="AT241" s="135"/>
      <c r="AU241" s="146"/>
      <c r="AV241" s="147"/>
      <c r="AW241" s="789"/>
      <c r="AX241" s="790"/>
      <c r="AY241" s="791"/>
      <c r="AZ241" s="792"/>
      <c r="BA241" s="735"/>
      <c r="BB241" s="735"/>
      <c r="BC241" s="135"/>
      <c r="BD241" s="146"/>
      <c r="BE241" s="147"/>
      <c r="BF241" s="789"/>
      <c r="BG241" s="790"/>
      <c r="BH241" s="791"/>
      <c r="BI241" s="792"/>
      <c r="BJ241" s="735"/>
      <c r="BK241" s="735"/>
    </row>
    <row r="242" spans="11:63">
      <c r="K242" s="146"/>
      <c r="M242" s="789"/>
      <c r="N242" s="790"/>
      <c r="O242" s="791"/>
      <c r="P242" s="792"/>
      <c r="Q242" s="735"/>
      <c r="R242" s="735"/>
      <c r="S242" s="135"/>
      <c r="T242" s="146"/>
      <c r="U242" s="147"/>
      <c r="V242" s="789"/>
      <c r="W242" s="790"/>
      <c r="X242" s="791"/>
      <c r="Y242" s="792"/>
      <c r="Z242" s="735"/>
      <c r="AA242" s="735"/>
      <c r="AB242" s="135"/>
      <c r="AC242" s="146"/>
      <c r="AD242" s="147"/>
      <c r="AE242" s="789"/>
      <c r="AF242" s="790"/>
      <c r="AG242" s="791"/>
      <c r="AH242" s="792"/>
      <c r="AI242" s="735"/>
      <c r="AJ242" s="735"/>
      <c r="AK242" s="135"/>
      <c r="AL242" s="146"/>
      <c r="AM242" s="147"/>
      <c r="AN242" s="789"/>
      <c r="AO242" s="790"/>
      <c r="AP242" s="791"/>
      <c r="AQ242" s="792"/>
      <c r="AR242" s="735"/>
      <c r="AS242" s="735"/>
      <c r="AT242" s="135"/>
      <c r="AU242" s="146"/>
      <c r="AV242" s="147"/>
      <c r="AW242" s="789"/>
      <c r="AX242" s="790"/>
      <c r="AY242" s="791"/>
      <c r="AZ242" s="792"/>
      <c r="BA242" s="735"/>
      <c r="BB242" s="735"/>
      <c r="BC242" s="135"/>
      <c r="BD242" s="146"/>
      <c r="BE242" s="147"/>
      <c r="BF242" s="789"/>
      <c r="BG242" s="790"/>
      <c r="BH242" s="791"/>
      <c r="BI242" s="792"/>
      <c r="BJ242" s="735"/>
      <c r="BK242" s="735"/>
    </row>
    <row r="243" spans="11:63">
      <c r="K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  <c r="BI243" s="135"/>
      <c r="BJ243" s="135"/>
      <c r="BK243" s="135"/>
    </row>
  </sheetData>
  <mergeCells count="9">
    <mergeCell ref="A237:G237"/>
    <mergeCell ref="A238:G238"/>
    <mergeCell ref="A239:G239"/>
    <mergeCell ref="A2:I2"/>
    <mergeCell ref="A3:D3"/>
    <mergeCell ref="A231:C231"/>
    <mergeCell ref="A234:G234"/>
    <mergeCell ref="A235:G235"/>
    <mergeCell ref="A236:G23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1" fitToHeight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9F24-13ED-4FBD-9E68-59D9B4F79E17}">
  <sheetPr>
    <pageSetUpPr fitToPage="1"/>
  </sheetPr>
  <dimension ref="A1:IV516"/>
  <sheetViews>
    <sheetView zoomScaleNormal="100" workbookViewId="0"/>
  </sheetViews>
  <sheetFormatPr defaultRowHeight="15"/>
  <cols>
    <col min="1" max="1" width="4.83203125" style="1287" customWidth="1"/>
    <col min="2" max="2" width="5" style="1287" customWidth="1"/>
    <col min="3" max="3" width="16.83203125" style="1287" customWidth="1"/>
    <col min="4" max="4" width="75.83203125" style="1287" customWidth="1"/>
    <col min="5" max="5" width="7.83203125" style="1287" customWidth="1"/>
    <col min="6" max="6" width="11.83203125" style="1287" customWidth="1"/>
    <col min="7" max="7" width="13.6640625" style="1287" customWidth="1"/>
    <col min="8" max="8" width="18.33203125" style="1287" customWidth="1"/>
    <col min="9" max="9" width="20.1640625" style="1287" customWidth="1"/>
    <col min="10" max="10" width="19.33203125" style="1287" customWidth="1"/>
    <col min="11" max="11" width="18.33203125" style="1287" customWidth="1"/>
    <col min="12" max="12" width="19.83203125" style="1287" customWidth="1"/>
    <col min="13" max="13" width="10.6640625" style="1287" customWidth="1"/>
    <col min="14" max="14" width="14.1640625" style="1287" customWidth="1"/>
    <col min="15" max="15" width="13.1640625" style="1287" customWidth="1"/>
    <col min="16" max="16" width="9.33203125" style="1287"/>
    <col min="17" max="17" width="17.5" style="1287" customWidth="1"/>
    <col min="18" max="18" width="19.6640625" style="1287" customWidth="1"/>
    <col min="19" max="19" width="12.83203125" style="1287" customWidth="1"/>
    <col min="20" max="20" width="15.33203125" style="1287" customWidth="1"/>
    <col min="21" max="16384" width="9.33203125" style="1287"/>
  </cols>
  <sheetData>
    <row r="1" spans="1:14" ht="18.75">
      <c r="A1" s="133" t="s">
        <v>2956</v>
      </c>
      <c r="B1" s="509"/>
      <c r="C1" s="509"/>
      <c r="D1" s="510"/>
      <c r="E1" s="1187"/>
      <c r="F1" s="1187"/>
      <c r="G1" s="1187"/>
      <c r="H1" s="1187"/>
      <c r="I1" s="1187"/>
      <c r="J1" s="1286"/>
    </row>
    <row r="2" spans="1:14" ht="13.5" customHeight="1">
      <c r="A2" s="1796" t="s">
        <v>116</v>
      </c>
      <c r="B2" s="1797"/>
      <c r="C2" s="1798"/>
      <c r="D2" s="1798"/>
      <c r="E2" s="1798"/>
      <c r="F2" s="1799"/>
      <c r="G2" s="1798"/>
      <c r="H2" s="1798"/>
      <c r="I2" s="1291"/>
      <c r="J2" s="1470"/>
      <c r="K2" s="595"/>
      <c r="L2" s="1800"/>
      <c r="M2" s="1801"/>
      <c r="N2" s="1802"/>
    </row>
    <row r="3" spans="1:14" ht="13.5" customHeight="1">
      <c r="A3" s="1288" t="s">
        <v>2548</v>
      </c>
      <c r="B3" s="1289"/>
      <c r="C3" s="1289"/>
      <c r="D3" s="1289"/>
      <c r="E3" s="1289"/>
      <c r="F3" s="1290"/>
      <c r="G3" s="1290"/>
      <c r="H3" s="1291"/>
      <c r="I3" s="1291"/>
    </row>
    <row r="4" spans="1:14">
      <c r="A4" s="1290"/>
      <c r="B4" s="1290"/>
      <c r="C4" s="1290"/>
      <c r="D4" s="1292"/>
      <c r="E4" s="1293"/>
      <c r="F4" s="1290"/>
      <c r="G4" s="1290"/>
      <c r="H4" s="1290"/>
      <c r="I4" s="1294"/>
    </row>
    <row r="5" spans="1:14" ht="22.5">
      <c r="A5" s="1295" t="s">
        <v>119</v>
      </c>
      <c r="B5" s="1295" t="s">
        <v>120</v>
      </c>
      <c r="C5" s="1295" t="s">
        <v>121</v>
      </c>
      <c r="D5" s="1295" t="s">
        <v>122</v>
      </c>
      <c r="E5" s="1295" t="s">
        <v>123</v>
      </c>
      <c r="F5" s="1295" t="s">
        <v>124</v>
      </c>
      <c r="G5" s="1295" t="s">
        <v>125</v>
      </c>
      <c r="H5" s="1296" t="s">
        <v>2</v>
      </c>
      <c r="I5" s="1297" t="s">
        <v>46</v>
      </c>
      <c r="J5" s="633"/>
    </row>
    <row r="6" spans="1:14">
      <c r="A6" s="1295" t="s">
        <v>126</v>
      </c>
      <c r="B6" s="1295" t="s">
        <v>127</v>
      </c>
      <c r="C6" s="1295">
        <v>3</v>
      </c>
      <c r="D6" s="1295">
        <v>4</v>
      </c>
      <c r="E6" s="1295">
        <v>5</v>
      </c>
      <c r="F6" s="1295">
        <v>6</v>
      </c>
      <c r="G6" s="1295">
        <v>7</v>
      </c>
      <c r="H6" s="1296">
        <v>8</v>
      </c>
      <c r="I6" s="1297">
        <v>9</v>
      </c>
    </row>
    <row r="7" spans="1:14" s="1291" customFormat="1" ht="21" customHeight="1">
      <c r="A7" s="1363"/>
      <c r="B7" s="1364"/>
      <c r="C7" s="1364" t="s">
        <v>133</v>
      </c>
      <c r="D7" s="1364" t="s">
        <v>134</v>
      </c>
      <c r="E7" s="1364"/>
      <c r="F7" s="1365"/>
      <c r="G7" s="1597"/>
      <c r="H7" s="1597">
        <f>SUM(H8,H80,H83,H91)</f>
        <v>0</v>
      </c>
      <c r="I7" s="1598"/>
    </row>
    <row r="8" spans="1:14" s="1809" customFormat="1" ht="13.5" customHeight="1">
      <c r="A8" s="1803"/>
      <c r="B8" s="1804"/>
      <c r="C8" s="1804" t="s">
        <v>126</v>
      </c>
      <c r="D8" s="1804" t="s">
        <v>135</v>
      </c>
      <c r="E8" s="1804"/>
      <c r="F8" s="1805"/>
      <c r="G8" s="1806"/>
      <c r="H8" s="1806">
        <f>SUM(H9:H70)</f>
        <v>0</v>
      </c>
      <c r="I8" s="1807"/>
      <c r="J8" s="1291"/>
      <c r="K8" s="1808"/>
    </row>
    <row r="9" spans="1:14" s="1291" customFormat="1" ht="13.5" customHeight="1">
      <c r="A9" s="1810">
        <v>1</v>
      </c>
      <c r="B9" s="1811" t="s">
        <v>136</v>
      </c>
      <c r="C9" s="1811">
        <v>115101201</v>
      </c>
      <c r="D9" s="1811" t="s">
        <v>137</v>
      </c>
      <c r="E9" s="1811" t="s">
        <v>69</v>
      </c>
      <c r="F9" s="1812">
        <v>24</v>
      </c>
      <c r="G9" s="1011"/>
      <c r="H9" s="1011">
        <f t="shared" ref="H9:H15" si="0">F9*G9</f>
        <v>0</v>
      </c>
      <c r="I9" s="153" t="s">
        <v>138</v>
      </c>
      <c r="J9" s="1813"/>
    </row>
    <row r="10" spans="1:14" s="1291" customFormat="1" ht="13.5" customHeight="1">
      <c r="A10" s="1810">
        <v>2</v>
      </c>
      <c r="B10" s="1811" t="s">
        <v>136</v>
      </c>
      <c r="C10" s="1811">
        <v>115101301</v>
      </c>
      <c r="D10" s="1811" t="s">
        <v>139</v>
      </c>
      <c r="E10" s="1811" t="s">
        <v>140</v>
      </c>
      <c r="F10" s="1812">
        <v>3</v>
      </c>
      <c r="G10" s="1011"/>
      <c r="H10" s="1011">
        <f t="shared" si="0"/>
        <v>0</v>
      </c>
      <c r="I10" s="153" t="s">
        <v>138</v>
      </c>
      <c r="J10" s="1814"/>
    </row>
    <row r="11" spans="1:14" s="1291" customFormat="1" ht="13.5" customHeight="1">
      <c r="A11" s="1810">
        <v>3</v>
      </c>
      <c r="B11" s="1811" t="s">
        <v>136</v>
      </c>
      <c r="C11" s="1811">
        <v>119001402</v>
      </c>
      <c r="D11" s="1811" t="s">
        <v>141</v>
      </c>
      <c r="E11" s="1811" t="s">
        <v>142</v>
      </c>
      <c r="F11" s="1812">
        <v>1</v>
      </c>
      <c r="G11" s="1011"/>
      <c r="H11" s="1011">
        <f t="shared" si="0"/>
        <v>0</v>
      </c>
      <c r="I11" s="153" t="s">
        <v>138</v>
      </c>
      <c r="J11" s="1814"/>
    </row>
    <row r="12" spans="1:14" s="1291" customFormat="1" ht="13.5" customHeight="1">
      <c r="A12" s="1810">
        <v>4</v>
      </c>
      <c r="B12" s="1811" t="s">
        <v>136</v>
      </c>
      <c r="C12" s="1811">
        <v>119001406</v>
      </c>
      <c r="D12" s="1811" t="s">
        <v>143</v>
      </c>
      <c r="E12" s="1811" t="s">
        <v>142</v>
      </c>
      <c r="F12" s="1812">
        <v>1</v>
      </c>
      <c r="G12" s="1011"/>
      <c r="H12" s="1011">
        <f t="shared" si="0"/>
        <v>0</v>
      </c>
      <c r="I12" s="153" t="s">
        <v>138</v>
      </c>
      <c r="J12" s="1814"/>
    </row>
    <row r="13" spans="1:14" s="1291" customFormat="1" ht="13.5" customHeight="1">
      <c r="A13" s="1810">
        <v>5</v>
      </c>
      <c r="B13" s="1811" t="s">
        <v>136</v>
      </c>
      <c r="C13" s="1811">
        <v>119001412</v>
      </c>
      <c r="D13" s="1811" t="s">
        <v>144</v>
      </c>
      <c r="E13" s="1811" t="s">
        <v>142</v>
      </c>
      <c r="F13" s="1812">
        <v>1</v>
      </c>
      <c r="G13" s="1011"/>
      <c r="H13" s="1011">
        <f t="shared" si="0"/>
        <v>0</v>
      </c>
      <c r="I13" s="153" t="s">
        <v>138</v>
      </c>
      <c r="J13" s="1813"/>
    </row>
    <row r="14" spans="1:14" s="1291" customFormat="1" ht="13.5" customHeight="1">
      <c r="A14" s="1810">
        <v>6</v>
      </c>
      <c r="B14" s="1811" t="s">
        <v>136</v>
      </c>
      <c r="C14" s="1811">
        <v>119001422</v>
      </c>
      <c r="D14" s="1811" t="s">
        <v>145</v>
      </c>
      <c r="E14" s="1811" t="s">
        <v>142</v>
      </c>
      <c r="F14" s="1812">
        <v>3</v>
      </c>
      <c r="G14" s="1011"/>
      <c r="H14" s="1011">
        <f t="shared" si="0"/>
        <v>0</v>
      </c>
      <c r="I14" s="153" t="s">
        <v>138</v>
      </c>
      <c r="J14" s="1813"/>
    </row>
    <row r="15" spans="1:14" s="195" customFormat="1" ht="13.5" customHeight="1">
      <c r="A15" s="1005">
        <v>7</v>
      </c>
      <c r="B15" s="460" t="s">
        <v>136</v>
      </c>
      <c r="C15" s="460">
        <v>139001101</v>
      </c>
      <c r="D15" s="460" t="s">
        <v>162</v>
      </c>
      <c r="E15" s="460" t="s">
        <v>147</v>
      </c>
      <c r="F15" s="1010">
        <f>SUM(F16)</f>
        <v>6.0740999999999996</v>
      </c>
      <c r="G15" s="1011"/>
      <c r="H15" s="1011">
        <f t="shared" si="0"/>
        <v>0</v>
      </c>
      <c r="I15" s="153" t="s">
        <v>138</v>
      </c>
    </row>
    <row r="16" spans="1:14" s="195" customFormat="1" ht="13.5" customHeight="1">
      <c r="A16" s="1005"/>
      <c r="B16" s="460"/>
      <c r="C16" s="466"/>
      <c r="D16" s="466" t="s">
        <v>2549</v>
      </c>
      <c r="E16" s="466"/>
      <c r="F16" s="1027">
        <f>(121.48+80.99)*0.03</f>
        <v>6.0740999999999996</v>
      </c>
      <c r="G16" s="1671"/>
      <c r="H16" s="1671"/>
      <c r="I16" s="153"/>
    </row>
    <row r="17" spans="1:16" s="1291" customFormat="1" ht="13.5" customHeight="1">
      <c r="A17" s="1810">
        <v>8</v>
      </c>
      <c r="B17" s="1811" t="s">
        <v>136</v>
      </c>
      <c r="C17" s="1811">
        <v>139711111</v>
      </c>
      <c r="D17" s="1811" t="s">
        <v>2550</v>
      </c>
      <c r="E17" s="1811" t="s">
        <v>147</v>
      </c>
      <c r="F17" s="1812">
        <f>SUM(F19:F22)</f>
        <v>121.48128</v>
      </c>
      <c r="G17" s="1011"/>
      <c r="H17" s="1011">
        <f>F17*G17</f>
        <v>0</v>
      </c>
      <c r="I17" s="153" t="s">
        <v>1927</v>
      </c>
      <c r="J17" s="1815"/>
    </row>
    <row r="18" spans="1:16" s="1291" customFormat="1" ht="27" customHeight="1">
      <c r="A18" s="1816"/>
      <c r="B18" s="1336"/>
      <c r="C18" s="1337"/>
      <c r="D18" s="1343" t="s">
        <v>2551</v>
      </c>
      <c r="E18" s="1337"/>
      <c r="F18" s="1390"/>
      <c r="G18" s="1339"/>
      <c r="H18" s="1339"/>
      <c r="I18" s="1345"/>
    </row>
    <row r="19" spans="1:16" s="1291" customFormat="1" ht="13.5" customHeight="1">
      <c r="A19" s="1816"/>
      <c r="B19" s="1336"/>
      <c r="C19" s="1337"/>
      <c r="D19" s="1343" t="s">
        <v>2552</v>
      </c>
      <c r="E19" s="1337"/>
      <c r="F19" s="1390">
        <f>((28.44*1.5)*0.8)*0.6</f>
        <v>20.476800000000004</v>
      </c>
      <c r="G19" s="1339"/>
      <c r="H19" s="1339"/>
      <c r="I19" s="1345"/>
      <c r="J19" s="1817"/>
      <c r="K19" s="1817"/>
      <c r="L19" s="1817"/>
      <c r="M19" s="1817"/>
      <c r="N19" s="1817"/>
      <c r="O19" s="1817"/>
      <c r="P19" s="1817"/>
    </row>
    <row r="20" spans="1:16" s="1291" customFormat="1" ht="27" customHeight="1">
      <c r="A20" s="1816"/>
      <c r="B20" s="1336"/>
      <c r="C20" s="1337"/>
      <c r="D20" s="1343" t="s">
        <v>2553</v>
      </c>
      <c r="E20" s="1337"/>
      <c r="F20" s="1390">
        <f xml:space="preserve"> ((22.72*2.7)*0.8)*0.6</f>
        <v>29.445119999999999</v>
      </c>
      <c r="G20" s="1339"/>
      <c r="H20" s="1339"/>
      <c r="I20" s="1345"/>
    </row>
    <row r="21" spans="1:16" s="1291" customFormat="1" ht="27" customHeight="1">
      <c r="A21" s="1816"/>
      <c r="B21" s="1336"/>
      <c r="C21" s="1337"/>
      <c r="D21" s="1343" t="s">
        <v>2554</v>
      </c>
      <c r="E21" s="1337"/>
      <c r="F21" s="1390">
        <f>((10.26*2.7)*0.8)*0.6</f>
        <v>13.296960000000002</v>
      </c>
      <c r="G21" s="1339"/>
      <c r="H21" s="1339"/>
      <c r="I21" s="1345"/>
    </row>
    <row r="22" spans="1:16" s="1291" customFormat="1" ht="13.5" customHeight="1">
      <c r="A22" s="1816"/>
      <c r="B22" s="1336"/>
      <c r="C22" s="1337"/>
      <c r="D22" s="1343" t="s">
        <v>2555</v>
      </c>
      <c r="E22" s="1337"/>
      <c r="F22" s="1390">
        <f>((80.92*1.5)*0.8)*0.6</f>
        <v>58.2624</v>
      </c>
      <c r="G22" s="1339"/>
      <c r="H22" s="1339"/>
      <c r="I22" s="1345"/>
      <c r="J22" s="1817"/>
      <c r="K22" s="1817"/>
      <c r="L22" s="1817"/>
      <c r="M22" s="1817"/>
      <c r="N22" s="1817"/>
      <c r="O22" s="1817"/>
      <c r="P22" s="1817"/>
    </row>
    <row r="23" spans="1:16" s="1291" customFormat="1" ht="27" customHeight="1">
      <c r="A23" s="1816"/>
      <c r="B23" s="1336"/>
      <c r="C23" s="1337"/>
      <c r="D23" s="1343" t="s">
        <v>2556</v>
      </c>
      <c r="E23" s="1337"/>
      <c r="F23" s="1390"/>
      <c r="G23" s="1339"/>
      <c r="H23" s="1339"/>
      <c r="I23" s="1345"/>
    </row>
    <row r="24" spans="1:16" s="1291" customFormat="1" ht="27" customHeight="1">
      <c r="A24" s="1816"/>
      <c r="B24" s="1336"/>
      <c r="C24" s="1337"/>
      <c r="D24" s="1343" t="s">
        <v>2557</v>
      </c>
      <c r="E24" s="1337"/>
      <c r="F24" s="1390"/>
      <c r="G24" s="1339"/>
      <c r="H24" s="1339"/>
      <c r="I24" s="1345"/>
    </row>
    <row r="25" spans="1:16" s="1291" customFormat="1" ht="13.5" customHeight="1">
      <c r="A25" s="1810">
        <v>9</v>
      </c>
      <c r="B25" s="1811" t="s">
        <v>136</v>
      </c>
      <c r="C25" s="1811">
        <v>139712111</v>
      </c>
      <c r="D25" s="1811" t="s">
        <v>2558</v>
      </c>
      <c r="E25" s="1811" t="s">
        <v>147</v>
      </c>
      <c r="F25" s="1812">
        <f>SUM(F27:F30)</f>
        <v>80.987520000000018</v>
      </c>
      <c r="G25" s="1011"/>
      <c r="H25" s="1011">
        <f>F25*G25</f>
        <v>0</v>
      </c>
      <c r="I25" s="153" t="s">
        <v>1927</v>
      </c>
      <c r="J25" s="1815"/>
    </row>
    <row r="26" spans="1:16" s="1291" customFormat="1" ht="27" customHeight="1">
      <c r="A26" s="1816"/>
      <c r="B26" s="1336"/>
      <c r="C26" s="1337"/>
      <c r="D26" s="1343" t="s">
        <v>2559</v>
      </c>
      <c r="E26" s="1337"/>
      <c r="F26" s="1390"/>
      <c r="G26" s="1339"/>
      <c r="H26" s="1339"/>
      <c r="I26" s="1345"/>
    </row>
    <row r="27" spans="1:16" s="1291" customFormat="1" ht="13.5" customHeight="1">
      <c r="A27" s="1816"/>
      <c r="B27" s="1336"/>
      <c r="C27" s="1337"/>
      <c r="D27" s="1343" t="s">
        <v>2560</v>
      </c>
      <c r="E27" s="1337"/>
      <c r="F27" s="1390">
        <f>((28.44*1.5)*0.8)*0.4</f>
        <v>13.651200000000003</v>
      </c>
      <c r="G27" s="1339"/>
      <c r="H27" s="1339"/>
      <c r="I27" s="1345"/>
      <c r="J27" s="1817"/>
      <c r="K27" s="1817"/>
      <c r="L27" s="1817"/>
      <c r="M27" s="1817"/>
      <c r="N27" s="1817"/>
      <c r="O27" s="1817"/>
      <c r="P27" s="1817"/>
    </row>
    <row r="28" spans="1:16" s="1291" customFormat="1" ht="27" customHeight="1">
      <c r="A28" s="1816"/>
      <c r="B28" s="1336"/>
      <c r="C28" s="1337"/>
      <c r="D28" s="1343" t="s">
        <v>2561</v>
      </c>
      <c r="E28" s="1337"/>
      <c r="F28" s="1390">
        <f xml:space="preserve"> ((22.72*2.7)*0.8)*0.4</f>
        <v>19.630080000000003</v>
      </c>
      <c r="G28" s="1339"/>
      <c r="H28" s="1339"/>
      <c r="I28" s="1345"/>
    </row>
    <row r="29" spans="1:16" s="1291" customFormat="1" ht="27" customHeight="1">
      <c r="A29" s="1816"/>
      <c r="B29" s="1336"/>
      <c r="C29" s="1337"/>
      <c r="D29" s="1343" t="s">
        <v>2562</v>
      </c>
      <c r="E29" s="1337"/>
      <c r="F29" s="1390">
        <f>((10.26*2.7)*0.8)*0.4</f>
        <v>8.8646400000000014</v>
      </c>
      <c r="G29" s="1339"/>
      <c r="H29" s="1339"/>
      <c r="I29" s="1345"/>
    </row>
    <row r="30" spans="1:16" s="1291" customFormat="1" ht="13.5" customHeight="1">
      <c r="A30" s="1816"/>
      <c r="B30" s="1336"/>
      <c r="C30" s="1337"/>
      <c r="D30" s="1343" t="s">
        <v>2563</v>
      </c>
      <c r="E30" s="1337"/>
      <c r="F30" s="1390">
        <f>((80.92*1.5)*0.8)*0.4</f>
        <v>38.8416</v>
      </c>
      <c r="G30" s="1339"/>
      <c r="H30" s="1339"/>
      <c r="I30" s="1345"/>
      <c r="J30" s="1817"/>
      <c r="K30" s="1817"/>
      <c r="L30" s="1817"/>
      <c r="M30" s="1817"/>
      <c r="N30" s="1817"/>
      <c r="O30" s="1817"/>
      <c r="P30" s="1817"/>
    </row>
    <row r="31" spans="1:16" s="1291" customFormat="1" ht="27" customHeight="1">
      <c r="A31" s="1816"/>
      <c r="B31" s="1336"/>
      <c r="C31" s="1337"/>
      <c r="D31" s="1343" t="s">
        <v>2556</v>
      </c>
      <c r="E31" s="1337"/>
      <c r="F31" s="1390"/>
      <c r="G31" s="1339"/>
      <c r="H31" s="1339"/>
      <c r="I31" s="1345"/>
    </row>
    <row r="32" spans="1:16" s="195" customFormat="1" ht="13.5" customHeight="1">
      <c r="A32" s="1005">
        <v>10</v>
      </c>
      <c r="B32" s="460" t="s">
        <v>136</v>
      </c>
      <c r="C32" s="460">
        <v>151101101</v>
      </c>
      <c r="D32" s="460" t="s">
        <v>2564</v>
      </c>
      <c r="E32" s="460" t="s">
        <v>165</v>
      </c>
      <c r="F32" s="1010">
        <f>SUM(F34:F35)</f>
        <v>164.04</v>
      </c>
      <c r="G32" s="1011"/>
      <c r="H32" s="1011">
        <f>F32*G32</f>
        <v>0</v>
      </c>
      <c r="I32" s="153" t="s">
        <v>1927</v>
      </c>
    </row>
    <row r="33" spans="1:16" s="195" customFormat="1" ht="13.5" customHeight="1">
      <c r="A33" s="1005"/>
      <c r="B33" s="460"/>
      <c r="C33" s="466"/>
      <c r="D33" s="466" t="s">
        <v>2565</v>
      </c>
      <c r="E33" s="466"/>
      <c r="F33" s="1027"/>
      <c r="G33" s="1671"/>
      <c r="H33" s="1671"/>
      <c r="I33" s="153"/>
    </row>
    <row r="34" spans="1:16" s="1291" customFormat="1" ht="13.5" customHeight="1">
      <c r="A34" s="1816"/>
      <c r="B34" s="1336"/>
      <c r="C34" s="1337"/>
      <c r="D34" s="1343" t="s">
        <v>2566</v>
      </c>
      <c r="E34" s="1337"/>
      <c r="F34" s="1390">
        <f>((28.44*1.5)*2)*0.5</f>
        <v>42.660000000000004</v>
      </c>
      <c r="G34" s="1339"/>
      <c r="H34" s="1339"/>
      <c r="I34" s="1345"/>
      <c r="J34" s="1817"/>
      <c r="K34" s="1817"/>
      <c r="L34" s="1817"/>
      <c r="M34" s="1817"/>
      <c r="N34" s="1817"/>
      <c r="O34" s="1817"/>
      <c r="P34" s="1817"/>
    </row>
    <row r="35" spans="1:16" s="1291" customFormat="1" ht="13.5" customHeight="1">
      <c r="A35" s="1816"/>
      <c r="B35" s="1336"/>
      <c r="C35" s="1337"/>
      <c r="D35" s="1343" t="s">
        <v>2567</v>
      </c>
      <c r="E35" s="1337"/>
      <c r="F35" s="1390">
        <f>((80.92*1.5)*2)*0.5</f>
        <v>121.38</v>
      </c>
      <c r="G35" s="1339"/>
      <c r="H35" s="1339"/>
      <c r="I35" s="1345"/>
      <c r="J35" s="1817"/>
      <c r="K35" s="1817"/>
      <c r="L35" s="1817"/>
      <c r="M35" s="1817"/>
      <c r="N35" s="1817"/>
      <c r="O35" s="1817"/>
      <c r="P35" s="1817"/>
    </row>
    <row r="36" spans="1:16" s="195" customFormat="1" ht="13.5" customHeight="1">
      <c r="A36" s="1005">
        <v>11</v>
      </c>
      <c r="B36" s="460" t="s">
        <v>136</v>
      </c>
      <c r="C36" s="460">
        <v>151101102</v>
      </c>
      <c r="D36" s="460" t="s">
        <v>2568</v>
      </c>
      <c r="E36" s="460" t="s">
        <v>165</v>
      </c>
      <c r="F36" s="1010">
        <f>SUM(F38:F39)</f>
        <v>89.046000000000006</v>
      </c>
      <c r="G36" s="1011"/>
      <c r="H36" s="1011">
        <f>F36*G36</f>
        <v>0</v>
      </c>
      <c r="I36" s="153" t="s">
        <v>1927</v>
      </c>
    </row>
    <row r="37" spans="1:16" s="195" customFormat="1" ht="13.5" customHeight="1">
      <c r="A37" s="1005"/>
      <c r="B37" s="460"/>
      <c r="C37" s="466"/>
      <c r="D37" s="466" t="s">
        <v>2565</v>
      </c>
      <c r="E37" s="466"/>
      <c r="F37" s="1027"/>
      <c r="G37" s="1671"/>
      <c r="H37" s="1671"/>
      <c r="I37" s="153"/>
    </row>
    <row r="38" spans="1:16" s="1291" customFormat="1" ht="27" customHeight="1">
      <c r="A38" s="1816"/>
      <c r="B38" s="1336"/>
      <c r="C38" s="1337"/>
      <c r="D38" s="1343" t="s">
        <v>2569</v>
      </c>
      <c r="E38" s="1337"/>
      <c r="F38" s="1390">
        <f xml:space="preserve"> ((22.72*2.7)*2)*0.5</f>
        <v>61.344000000000001</v>
      </c>
      <c r="G38" s="1339"/>
      <c r="H38" s="1339"/>
      <c r="I38" s="1345"/>
    </row>
    <row r="39" spans="1:16" s="1291" customFormat="1" ht="27" customHeight="1">
      <c r="A39" s="1816"/>
      <c r="B39" s="1336"/>
      <c r="C39" s="1337"/>
      <c r="D39" s="1343" t="s">
        <v>2570</v>
      </c>
      <c r="E39" s="1337"/>
      <c r="F39" s="1390">
        <f>((10.26*2.7)*2)*0.5</f>
        <v>27.702000000000002</v>
      </c>
      <c r="G39" s="1339"/>
      <c r="H39" s="1339"/>
      <c r="I39" s="1345"/>
    </row>
    <row r="40" spans="1:16" s="195" customFormat="1" ht="13.5" customHeight="1">
      <c r="A40" s="1005">
        <v>12</v>
      </c>
      <c r="B40" s="460" t="s">
        <v>136</v>
      </c>
      <c r="C40" s="460">
        <v>151101111</v>
      </c>
      <c r="D40" s="460" t="s">
        <v>2571</v>
      </c>
      <c r="E40" s="460" t="s">
        <v>165</v>
      </c>
      <c r="F40" s="1010">
        <f>F32</f>
        <v>164.04</v>
      </c>
      <c r="G40" s="1011"/>
      <c r="H40" s="1011">
        <f>F40*G40</f>
        <v>0</v>
      </c>
      <c r="I40" s="153" t="s">
        <v>1927</v>
      </c>
    </row>
    <row r="41" spans="1:16" s="195" customFormat="1" ht="13.5" customHeight="1">
      <c r="A41" s="1005">
        <v>13</v>
      </c>
      <c r="B41" s="460" t="s">
        <v>136</v>
      </c>
      <c r="C41" s="460">
        <v>151101112</v>
      </c>
      <c r="D41" s="460" t="s">
        <v>2572</v>
      </c>
      <c r="E41" s="460" t="s">
        <v>165</v>
      </c>
      <c r="F41" s="1010">
        <f>F36</f>
        <v>89.046000000000006</v>
      </c>
      <c r="G41" s="1011"/>
      <c r="H41" s="1011">
        <f>F41*G41</f>
        <v>0</v>
      </c>
      <c r="I41" s="153" t="s">
        <v>1927</v>
      </c>
    </row>
    <row r="42" spans="1:16" s="195" customFormat="1" ht="13.5" customHeight="1">
      <c r="A42" s="1005">
        <v>14</v>
      </c>
      <c r="B42" s="460" t="s">
        <v>136</v>
      </c>
      <c r="C42" s="460">
        <v>162211201</v>
      </c>
      <c r="D42" s="460" t="s">
        <v>2573</v>
      </c>
      <c r="E42" s="460" t="s">
        <v>147</v>
      </c>
      <c r="F42" s="1010">
        <f>F43</f>
        <v>121.48</v>
      </c>
      <c r="G42" s="1011"/>
      <c r="H42" s="1011">
        <f>F42*G42</f>
        <v>0</v>
      </c>
      <c r="I42" s="153" t="s">
        <v>1927</v>
      </c>
    </row>
    <row r="43" spans="1:16" s="195" customFormat="1" ht="13.5" customHeight="1">
      <c r="A43" s="1005"/>
      <c r="B43" s="460"/>
      <c r="C43" s="466"/>
      <c r="D43" s="466" t="s">
        <v>2574</v>
      </c>
      <c r="E43" s="466"/>
      <c r="F43" s="1027">
        <v>121.48</v>
      </c>
      <c r="G43" s="1671"/>
      <c r="H43" s="1671"/>
      <c r="I43" s="153"/>
      <c r="J43" s="1291"/>
    </row>
    <row r="44" spans="1:16" s="195" customFormat="1" ht="13.5" customHeight="1">
      <c r="A44" s="1005"/>
      <c r="B44" s="460"/>
      <c r="C44" s="466"/>
      <c r="D44" s="466" t="s">
        <v>2575</v>
      </c>
      <c r="E44" s="466"/>
      <c r="F44" s="1027"/>
      <c r="G44" s="1671"/>
      <c r="H44" s="1671"/>
      <c r="I44" s="153"/>
    </row>
    <row r="45" spans="1:16" s="195" customFormat="1" ht="13.5" customHeight="1">
      <c r="A45" s="1005"/>
      <c r="B45" s="460"/>
      <c r="C45" s="466"/>
      <c r="D45" s="466" t="s">
        <v>2576</v>
      </c>
      <c r="E45" s="466"/>
      <c r="F45" s="1027"/>
      <c r="G45" s="1671"/>
      <c r="H45" s="1671"/>
      <c r="I45" s="153"/>
    </row>
    <row r="46" spans="1:16" s="195" customFormat="1" ht="13.5" customHeight="1">
      <c r="A46" s="1005">
        <v>15</v>
      </c>
      <c r="B46" s="460" t="s">
        <v>136</v>
      </c>
      <c r="C46" s="460">
        <v>162211211</v>
      </c>
      <c r="D46" s="460" t="s">
        <v>2577</v>
      </c>
      <c r="E46" s="460" t="s">
        <v>147</v>
      </c>
      <c r="F46" s="1010">
        <f>F47</f>
        <v>80.989999999999995</v>
      </c>
      <c r="G46" s="1011"/>
      <c r="H46" s="1011">
        <f>F46*G46</f>
        <v>0</v>
      </c>
      <c r="I46" s="153" t="s">
        <v>1927</v>
      </c>
    </row>
    <row r="47" spans="1:16" s="195" customFormat="1" ht="13.5" customHeight="1">
      <c r="A47" s="1005"/>
      <c r="B47" s="460"/>
      <c r="C47" s="466"/>
      <c r="D47" s="466" t="s">
        <v>2578</v>
      </c>
      <c r="E47" s="466"/>
      <c r="F47" s="1027">
        <v>80.989999999999995</v>
      </c>
      <c r="G47" s="1671"/>
      <c r="H47" s="1671"/>
      <c r="I47" s="153"/>
    </row>
    <row r="48" spans="1:16" s="195" customFormat="1" ht="13.5" customHeight="1">
      <c r="A48" s="1005"/>
      <c r="B48" s="460"/>
      <c r="C48" s="466"/>
      <c r="D48" s="466" t="s">
        <v>2575</v>
      </c>
      <c r="E48" s="466"/>
      <c r="F48" s="1027"/>
      <c r="G48" s="1671"/>
      <c r="H48" s="1671"/>
      <c r="I48" s="153"/>
    </row>
    <row r="49" spans="1:256" s="195" customFormat="1" ht="13.5" customHeight="1">
      <c r="A49" s="1005"/>
      <c r="B49" s="460"/>
      <c r="C49" s="466"/>
      <c r="D49" s="466" t="s">
        <v>2576</v>
      </c>
      <c r="E49" s="466"/>
      <c r="F49" s="1027"/>
      <c r="G49" s="1671"/>
      <c r="H49" s="1671"/>
      <c r="I49" s="153"/>
    </row>
    <row r="50" spans="1:256" s="195" customFormat="1" ht="27" customHeight="1">
      <c r="A50" s="1005">
        <v>16</v>
      </c>
      <c r="B50" s="460" t="s">
        <v>136</v>
      </c>
      <c r="C50" s="460">
        <v>162211209</v>
      </c>
      <c r="D50" s="460" t="s">
        <v>2579</v>
      </c>
      <c r="E50" s="460" t="s">
        <v>147</v>
      </c>
      <c r="F50" s="1010">
        <f>F51</f>
        <v>1093.32</v>
      </c>
      <c r="G50" s="1011"/>
      <c r="H50" s="1011">
        <f>F50*G50</f>
        <v>0</v>
      </c>
      <c r="I50" s="153" t="s">
        <v>1927</v>
      </c>
    </row>
    <row r="51" spans="1:256" s="195" customFormat="1" ht="13.5" customHeight="1">
      <c r="A51" s="1005"/>
      <c r="B51" s="460"/>
      <c r="C51" s="466"/>
      <c r="D51" s="466" t="s">
        <v>2580</v>
      </c>
      <c r="E51" s="466"/>
      <c r="F51" s="1027">
        <f>(121.48)*9</f>
        <v>1093.32</v>
      </c>
      <c r="G51" s="1671"/>
      <c r="H51" s="1671"/>
      <c r="I51" s="153"/>
    </row>
    <row r="52" spans="1:256" s="195" customFormat="1" ht="27" customHeight="1">
      <c r="A52" s="1005"/>
      <c r="B52" s="460"/>
      <c r="C52" s="466"/>
      <c r="D52" s="466" t="s">
        <v>2581</v>
      </c>
      <c r="E52" s="466"/>
      <c r="F52" s="1027"/>
      <c r="G52" s="1671"/>
      <c r="H52" s="1671"/>
      <c r="I52" s="153"/>
    </row>
    <row r="53" spans="1:256" s="195" customFormat="1" ht="27" customHeight="1">
      <c r="A53" s="1005">
        <v>17</v>
      </c>
      <c r="B53" s="460" t="s">
        <v>136</v>
      </c>
      <c r="C53" s="460">
        <v>162211219</v>
      </c>
      <c r="D53" s="460" t="s">
        <v>2582</v>
      </c>
      <c r="E53" s="460" t="s">
        <v>147</v>
      </c>
      <c r="F53" s="1010">
        <f>F54</f>
        <v>728.91</v>
      </c>
      <c r="G53" s="1011"/>
      <c r="H53" s="1011">
        <f>F53*G53</f>
        <v>0</v>
      </c>
      <c r="I53" s="153" t="s">
        <v>1927</v>
      </c>
    </row>
    <row r="54" spans="1:256" s="195" customFormat="1" ht="13.5" customHeight="1">
      <c r="A54" s="1005"/>
      <c r="B54" s="460"/>
      <c r="C54" s="466"/>
      <c r="D54" s="466" t="s">
        <v>2583</v>
      </c>
      <c r="E54" s="466"/>
      <c r="F54" s="1027">
        <f>(80.99)*9</f>
        <v>728.91</v>
      </c>
      <c r="G54" s="1671"/>
      <c r="H54" s="1671"/>
      <c r="I54" s="153"/>
    </row>
    <row r="55" spans="1:256" s="195" customFormat="1" ht="27" customHeight="1">
      <c r="A55" s="1005"/>
      <c r="B55" s="460"/>
      <c r="C55" s="466"/>
      <c r="D55" s="466" t="s">
        <v>2581</v>
      </c>
      <c r="E55" s="466"/>
      <c r="F55" s="1027"/>
      <c r="G55" s="1671"/>
      <c r="H55" s="1671"/>
      <c r="I55" s="153"/>
    </row>
    <row r="56" spans="1:256" s="1291" customFormat="1" ht="13.5" customHeight="1">
      <c r="A56" s="1810">
        <v>18</v>
      </c>
      <c r="B56" s="1811" t="s">
        <v>136</v>
      </c>
      <c r="C56" s="460">
        <v>174111102</v>
      </c>
      <c r="D56" s="460" t="s">
        <v>174</v>
      </c>
      <c r="E56" s="1811" t="s">
        <v>147</v>
      </c>
      <c r="F56" s="1812">
        <f>SUM(F57)</f>
        <v>139.85399999999998</v>
      </c>
      <c r="G56" s="1011"/>
      <c r="H56" s="1011">
        <f>F56*G56</f>
        <v>0</v>
      </c>
      <c r="I56" s="153" t="s">
        <v>1927</v>
      </c>
      <c r="J56" s="1815"/>
    </row>
    <row r="57" spans="1:256" s="1291" customFormat="1" ht="27" customHeight="1">
      <c r="A57" s="1810"/>
      <c r="B57" s="1811"/>
      <c r="C57" s="460"/>
      <c r="D57" s="342" t="s">
        <v>2584</v>
      </c>
      <c r="E57" s="1811"/>
      <c r="F57" s="1027">
        <f>(22.75*0.95)+(18.18*2.15)+(8.21*2.15)+(64.74*0.95)</f>
        <v>139.85399999999998</v>
      </c>
      <c r="G57" s="1011"/>
      <c r="H57" s="1011"/>
      <c r="I57" s="153"/>
      <c r="J57" s="1815"/>
    </row>
    <row r="58" spans="1:256" s="1291" customFormat="1" ht="13.5" customHeight="1">
      <c r="A58" s="1810">
        <v>19</v>
      </c>
      <c r="B58" s="1811" t="s">
        <v>136</v>
      </c>
      <c r="C58" s="460">
        <v>175111101</v>
      </c>
      <c r="D58" s="460" t="s">
        <v>2585</v>
      </c>
      <c r="E58" s="1811" t="s">
        <v>147</v>
      </c>
      <c r="F58" s="1812">
        <f>SUM(F60:F60)</f>
        <v>45.548000000000002</v>
      </c>
      <c r="G58" s="1011"/>
      <c r="H58" s="1011">
        <f>F58*G58</f>
        <v>0</v>
      </c>
      <c r="I58" s="153" t="s">
        <v>1927</v>
      </c>
      <c r="J58" s="1815"/>
    </row>
    <row r="59" spans="1:256" s="195" customFormat="1" ht="13.5" customHeight="1">
      <c r="A59" s="1005"/>
      <c r="B59" s="460"/>
      <c r="C59" s="466"/>
      <c r="D59" s="466" t="s">
        <v>2586</v>
      </c>
      <c r="E59" s="466"/>
      <c r="F59" s="1027"/>
      <c r="G59" s="1671"/>
      <c r="H59" s="1671"/>
      <c r="I59" s="153"/>
    </row>
    <row r="60" spans="1:256" s="174" customFormat="1" ht="27" customHeight="1">
      <c r="A60" s="168"/>
      <c r="B60" s="169"/>
      <c r="C60" s="170"/>
      <c r="D60" s="342" t="s">
        <v>2587</v>
      </c>
      <c r="E60" s="466"/>
      <c r="F60" s="1027">
        <f>113.87*0.4</f>
        <v>45.548000000000002</v>
      </c>
      <c r="G60" s="171"/>
      <c r="H60" s="172"/>
      <c r="I60" s="173"/>
      <c r="J60" s="1315"/>
      <c r="K60" s="1818"/>
      <c r="Q60" s="1815"/>
      <c r="U60" s="175"/>
      <c r="W60" s="175"/>
    </row>
    <row r="61" spans="1:256" s="1291" customFormat="1" ht="13.5" customHeight="1">
      <c r="A61" s="1819">
        <v>20</v>
      </c>
      <c r="B61" s="1820">
        <v>583</v>
      </c>
      <c r="C61" s="193">
        <v>58343872</v>
      </c>
      <c r="D61" s="193" t="s">
        <v>2588</v>
      </c>
      <c r="E61" s="1820" t="s">
        <v>178</v>
      </c>
      <c r="F61" s="1821">
        <f>SUM(F62:F62)</f>
        <v>91.1</v>
      </c>
      <c r="G61" s="1822"/>
      <c r="H61" s="1822">
        <f>F61*G61</f>
        <v>0</v>
      </c>
      <c r="I61" s="194" t="s">
        <v>138</v>
      </c>
    </row>
    <row r="62" spans="1:256" s="174" customFormat="1" ht="27" customHeight="1">
      <c r="A62" s="1823"/>
      <c r="B62" s="1824"/>
      <c r="C62" s="1825"/>
      <c r="D62" s="1826" t="s">
        <v>2589</v>
      </c>
      <c r="E62" s="1827"/>
      <c r="F62" s="1828">
        <f>(45.55)*2</f>
        <v>91.1</v>
      </c>
      <c r="G62" s="1829"/>
      <c r="H62" s="1830"/>
      <c r="I62" s="1831"/>
      <c r="J62" s="1315"/>
      <c r="U62" s="175"/>
      <c r="W62" s="175"/>
    </row>
    <row r="63" spans="1:256" s="1839" customFormat="1" ht="27" customHeight="1">
      <c r="A63" s="1832">
        <v>21</v>
      </c>
      <c r="B63" s="1833" t="s">
        <v>136</v>
      </c>
      <c r="C63" s="1834" t="s">
        <v>183</v>
      </c>
      <c r="D63" s="1834" t="s">
        <v>184</v>
      </c>
      <c r="E63" s="1834" t="s">
        <v>147</v>
      </c>
      <c r="F63" s="1835">
        <f>F65+F68</f>
        <v>62.616000000000014</v>
      </c>
      <c r="G63" s="1836">
        <f>SUM(H71:H76)/F63</f>
        <v>0</v>
      </c>
      <c r="H63" s="1836">
        <f>F63*G63</f>
        <v>0</v>
      </c>
      <c r="I63" s="1837" t="s">
        <v>112</v>
      </c>
      <c r="J63" s="1838"/>
      <c r="L63" s="1840"/>
      <c r="M63" s="1840"/>
      <c r="N63" s="1840"/>
      <c r="O63" s="1840"/>
      <c r="P63" s="1840"/>
      <c r="Q63" s="1840"/>
      <c r="R63" s="1840"/>
      <c r="S63" s="1840"/>
      <c r="V63" s="1840"/>
      <c r="W63" s="1840"/>
      <c r="X63" s="1840"/>
      <c r="Y63" s="1840"/>
      <c r="Z63" s="1840"/>
      <c r="AA63" s="1840"/>
      <c r="AB63" s="1840"/>
      <c r="AC63" s="1840"/>
      <c r="AD63" s="1840"/>
      <c r="AE63" s="1840"/>
      <c r="AF63" s="1840"/>
      <c r="AG63" s="1840"/>
      <c r="AH63" s="1840"/>
      <c r="AI63" s="1840"/>
      <c r="AJ63" s="1840"/>
      <c r="AK63" s="1840"/>
      <c r="AL63" s="1840"/>
      <c r="AM63" s="1840"/>
      <c r="AN63" s="1840"/>
      <c r="AO63" s="1840"/>
      <c r="AP63" s="1840"/>
      <c r="AQ63" s="1840"/>
      <c r="AR63" s="1840"/>
      <c r="AS63" s="1840"/>
      <c r="AT63" s="1840"/>
      <c r="AU63" s="1840"/>
      <c r="AV63" s="1840"/>
      <c r="AW63" s="1840"/>
      <c r="AX63" s="1840"/>
      <c r="AY63" s="1840"/>
      <c r="AZ63" s="1840"/>
      <c r="BA63" s="1840"/>
      <c r="BB63" s="1840"/>
      <c r="BC63" s="1840"/>
      <c r="BD63" s="1840"/>
      <c r="BE63" s="1840"/>
      <c r="BF63" s="1840"/>
      <c r="BG63" s="1840"/>
      <c r="BH63" s="1840"/>
      <c r="BI63" s="1840"/>
      <c r="BJ63" s="1840"/>
      <c r="BK63" s="1840"/>
      <c r="BL63" s="1840"/>
      <c r="BM63" s="1840"/>
      <c r="BN63" s="1840"/>
      <c r="BO63" s="1840"/>
      <c r="BP63" s="1840"/>
      <c r="BQ63" s="1840"/>
      <c r="BR63" s="1840"/>
      <c r="BS63" s="1840"/>
      <c r="BT63" s="1840"/>
      <c r="BU63" s="1840"/>
      <c r="BV63" s="1840"/>
      <c r="BW63" s="1840"/>
      <c r="BX63" s="1840"/>
      <c r="BY63" s="1840"/>
      <c r="BZ63" s="1840"/>
      <c r="CA63" s="1840"/>
      <c r="CB63" s="1840"/>
      <c r="CC63" s="1840"/>
      <c r="CD63" s="1840"/>
      <c r="CE63" s="1840"/>
      <c r="CF63" s="1840"/>
      <c r="CG63" s="1840"/>
      <c r="CH63" s="1840"/>
      <c r="CI63" s="1840"/>
      <c r="CJ63" s="1840"/>
      <c r="CK63" s="1840"/>
      <c r="CL63" s="1840"/>
      <c r="CM63" s="1840"/>
      <c r="CN63" s="1840"/>
      <c r="CO63" s="1840"/>
      <c r="CP63" s="1840"/>
      <c r="CQ63" s="1840"/>
      <c r="CR63" s="1840"/>
      <c r="CS63" s="1840"/>
      <c r="CT63" s="1840"/>
      <c r="CU63" s="1840"/>
      <c r="CV63" s="1840"/>
      <c r="CW63" s="1840"/>
      <c r="CX63" s="1840"/>
      <c r="CY63" s="1840"/>
      <c r="CZ63" s="1840"/>
      <c r="DA63" s="1840"/>
      <c r="DB63" s="1840"/>
      <c r="DC63" s="1840"/>
      <c r="DD63" s="1840"/>
      <c r="DE63" s="1840"/>
      <c r="DF63" s="1840"/>
      <c r="DG63" s="1840"/>
      <c r="DH63" s="1840"/>
      <c r="DI63" s="1840"/>
      <c r="DJ63" s="1840"/>
      <c r="DK63" s="1840"/>
      <c r="DL63" s="1840"/>
      <c r="DM63" s="1840"/>
      <c r="DN63" s="1840"/>
      <c r="DO63" s="1840"/>
      <c r="DP63" s="1840"/>
      <c r="DQ63" s="1840"/>
      <c r="DR63" s="1840"/>
      <c r="DS63" s="1840"/>
      <c r="DT63" s="1840"/>
      <c r="DU63" s="1840"/>
      <c r="DV63" s="1840"/>
      <c r="DW63" s="1840"/>
      <c r="DX63" s="1840"/>
      <c r="DY63" s="1840"/>
      <c r="DZ63" s="1840"/>
      <c r="EA63" s="1840"/>
      <c r="EB63" s="1840"/>
      <c r="EC63" s="1840"/>
      <c r="ED63" s="1840"/>
      <c r="EE63" s="1840"/>
      <c r="EF63" s="1840"/>
      <c r="EG63" s="1840"/>
      <c r="EH63" s="1840"/>
      <c r="EI63" s="1840"/>
      <c r="EJ63" s="1840"/>
      <c r="EK63" s="1840"/>
      <c r="EL63" s="1840"/>
      <c r="EM63" s="1840"/>
      <c r="EN63" s="1840"/>
      <c r="EO63" s="1840"/>
      <c r="EP63" s="1840"/>
      <c r="EQ63" s="1840"/>
      <c r="ER63" s="1840"/>
      <c r="ES63" s="1840"/>
      <c r="ET63" s="1840"/>
      <c r="EU63" s="1840"/>
      <c r="EV63" s="1840"/>
      <c r="EW63" s="1840"/>
      <c r="EX63" s="1840"/>
      <c r="EY63" s="1840"/>
      <c r="EZ63" s="1840"/>
      <c r="FA63" s="1840"/>
      <c r="FB63" s="1840"/>
      <c r="FC63" s="1840"/>
      <c r="FD63" s="1840"/>
      <c r="FE63" s="1840"/>
      <c r="FF63" s="1840"/>
      <c r="FG63" s="1840"/>
      <c r="FH63" s="1840"/>
      <c r="FI63" s="1840"/>
      <c r="FJ63" s="1840"/>
      <c r="FK63" s="1840"/>
      <c r="FL63" s="1840"/>
      <c r="FM63" s="1840"/>
      <c r="FN63" s="1840"/>
      <c r="FO63" s="1840"/>
      <c r="FP63" s="1840"/>
      <c r="FQ63" s="1840"/>
      <c r="FR63" s="1840"/>
      <c r="FS63" s="1840"/>
      <c r="FT63" s="1840"/>
      <c r="FU63" s="1840"/>
      <c r="FV63" s="1840"/>
      <c r="FW63" s="1840"/>
      <c r="FX63" s="1840"/>
      <c r="FY63" s="1840"/>
      <c r="FZ63" s="1840"/>
      <c r="GA63" s="1840"/>
      <c r="GB63" s="1840"/>
      <c r="GC63" s="1840"/>
      <c r="GD63" s="1840"/>
      <c r="GE63" s="1840"/>
      <c r="GF63" s="1840"/>
      <c r="GG63" s="1840"/>
      <c r="GH63" s="1840"/>
      <c r="GI63" s="1840"/>
      <c r="GJ63" s="1840"/>
      <c r="GK63" s="1840"/>
      <c r="GL63" s="1840"/>
      <c r="GM63" s="1840"/>
      <c r="GN63" s="1840"/>
      <c r="GO63" s="1840"/>
      <c r="GP63" s="1840"/>
      <c r="GQ63" s="1840"/>
      <c r="GR63" s="1840"/>
      <c r="GS63" s="1840"/>
      <c r="GT63" s="1840"/>
      <c r="GU63" s="1840"/>
      <c r="GV63" s="1840"/>
      <c r="GW63" s="1840"/>
      <c r="GX63" s="1840"/>
      <c r="GY63" s="1840"/>
      <c r="GZ63" s="1840"/>
      <c r="HA63" s="1840"/>
      <c r="HB63" s="1840"/>
      <c r="HC63" s="1840"/>
      <c r="HD63" s="1840"/>
      <c r="HE63" s="1840"/>
      <c r="HF63" s="1840"/>
      <c r="HG63" s="1840"/>
      <c r="HH63" s="1840"/>
      <c r="HI63" s="1840"/>
      <c r="HJ63" s="1840"/>
      <c r="HK63" s="1840"/>
      <c r="HL63" s="1840"/>
      <c r="HM63" s="1840"/>
      <c r="HN63" s="1840"/>
      <c r="HO63" s="1840"/>
      <c r="HP63" s="1840"/>
      <c r="HQ63" s="1840"/>
      <c r="HR63" s="1840"/>
      <c r="HS63" s="1840"/>
      <c r="HT63" s="1840"/>
      <c r="HU63" s="1840"/>
      <c r="HV63" s="1840"/>
      <c r="HW63" s="1840"/>
      <c r="HX63" s="1840"/>
      <c r="HY63" s="1840"/>
      <c r="HZ63" s="1840"/>
      <c r="IA63" s="1840"/>
      <c r="IB63" s="1840"/>
      <c r="IC63" s="1840"/>
      <c r="ID63" s="1840"/>
      <c r="IE63" s="1840"/>
      <c r="IF63" s="1840"/>
      <c r="IG63" s="1840"/>
      <c r="IH63" s="1840"/>
      <c r="II63" s="1840"/>
      <c r="IJ63" s="1840"/>
      <c r="IK63" s="1840"/>
      <c r="IL63" s="1840"/>
      <c r="IM63" s="1840"/>
      <c r="IN63" s="1840"/>
      <c r="IO63" s="1840"/>
      <c r="IP63" s="1840"/>
      <c r="IQ63" s="1840"/>
      <c r="IR63" s="1840"/>
      <c r="IS63" s="1840"/>
      <c r="IT63" s="1840"/>
      <c r="IU63" s="1840"/>
      <c r="IV63" s="1840"/>
    </row>
    <row r="64" spans="1:256" s="1839" customFormat="1" ht="13.5" customHeight="1">
      <c r="A64" s="1832"/>
      <c r="B64" s="1833"/>
      <c r="C64" s="1834"/>
      <c r="D64" s="1841" t="s">
        <v>185</v>
      </c>
      <c r="E64" s="1834"/>
      <c r="F64" s="1835"/>
      <c r="G64" s="1836"/>
      <c r="H64" s="1836"/>
      <c r="I64" s="1837"/>
      <c r="J64" s="1838"/>
      <c r="L64" s="1840"/>
      <c r="M64" s="1840"/>
      <c r="N64" s="1840"/>
      <c r="O64" s="1840"/>
      <c r="P64" s="1840"/>
      <c r="Q64" s="1840"/>
      <c r="R64" s="1840"/>
      <c r="S64" s="1840"/>
      <c r="V64" s="1840"/>
      <c r="W64" s="1840"/>
      <c r="X64" s="1840"/>
      <c r="Y64" s="1840"/>
      <c r="Z64" s="1840"/>
      <c r="AA64" s="1840"/>
      <c r="AB64" s="1840"/>
      <c r="AC64" s="1840"/>
      <c r="AD64" s="1840"/>
      <c r="AE64" s="1840"/>
      <c r="AF64" s="1840"/>
      <c r="AG64" s="1840"/>
      <c r="AH64" s="1840"/>
      <c r="AI64" s="1840"/>
      <c r="AJ64" s="1840"/>
      <c r="AK64" s="1840"/>
      <c r="AL64" s="1840"/>
      <c r="AM64" s="1840"/>
      <c r="AN64" s="1840"/>
      <c r="AO64" s="1840"/>
      <c r="AP64" s="1840"/>
      <c r="AQ64" s="1840"/>
      <c r="AR64" s="1840"/>
      <c r="AS64" s="1840"/>
      <c r="AT64" s="1840"/>
      <c r="AU64" s="1840"/>
      <c r="AV64" s="1840"/>
      <c r="AW64" s="1840"/>
      <c r="AX64" s="1840"/>
      <c r="AY64" s="1840"/>
      <c r="AZ64" s="1840"/>
      <c r="BA64" s="1840"/>
      <c r="BB64" s="1840"/>
      <c r="BC64" s="1840"/>
      <c r="BD64" s="1840"/>
      <c r="BE64" s="1840"/>
      <c r="BF64" s="1840"/>
      <c r="BG64" s="1840"/>
      <c r="BH64" s="1840"/>
      <c r="BI64" s="1840"/>
      <c r="BJ64" s="1840"/>
      <c r="BK64" s="1840"/>
      <c r="BL64" s="1840"/>
      <c r="BM64" s="1840"/>
      <c r="BN64" s="1840"/>
      <c r="BO64" s="1840"/>
      <c r="BP64" s="1840"/>
      <c r="BQ64" s="1840"/>
      <c r="BR64" s="1840"/>
      <c r="BS64" s="1840"/>
      <c r="BT64" s="1840"/>
      <c r="BU64" s="1840"/>
      <c r="BV64" s="1840"/>
      <c r="BW64" s="1840"/>
      <c r="BX64" s="1840"/>
      <c r="BY64" s="1840"/>
      <c r="BZ64" s="1840"/>
      <c r="CA64" s="1840"/>
      <c r="CB64" s="1840"/>
      <c r="CC64" s="1840"/>
      <c r="CD64" s="1840"/>
      <c r="CE64" s="1840"/>
      <c r="CF64" s="1840"/>
      <c r="CG64" s="1840"/>
      <c r="CH64" s="1840"/>
      <c r="CI64" s="1840"/>
      <c r="CJ64" s="1840"/>
      <c r="CK64" s="1840"/>
      <c r="CL64" s="1840"/>
      <c r="CM64" s="1840"/>
      <c r="CN64" s="1840"/>
      <c r="CO64" s="1840"/>
      <c r="CP64" s="1840"/>
      <c r="CQ64" s="1840"/>
      <c r="CR64" s="1840"/>
      <c r="CS64" s="1840"/>
      <c r="CT64" s="1840"/>
      <c r="CU64" s="1840"/>
      <c r="CV64" s="1840"/>
      <c r="CW64" s="1840"/>
      <c r="CX64" s="1840"/>
      <c r="CY64" s="1840"/>
      <c r="CZ64" s="1840"/>
      <c r="DA64" s="1840"/>
      <c r="DB64" s="1840"/>
      <c r="DC64" s="1840"/>
      <c r="DD64" s="1840"/>
      <c r="DE64" s="1840"/>
      <c r="DF64" s="1840"/>
      <c r="DG64" s="1840"/>
      <c r="DH64" s="1840"/>
      <c r="DI64" s="1840"/>
      <c r="DJ64" s="1840"/>
      <c r="DK64" s="1840"/>
      <c r="DL64" s="1840"/>
      <c r="DM64" s="1840"/>
      <c r="DN64" s="1840"/>
      <c r="DO64" s="1840"/>
      <c r="DP64" s="1840"/>
      <c r="DQ64" s="1840"/>
      <c r="DR64" s="1840"/>
      <c r="DS64" s="1840"/>
      <c r="DT64" s="1840"/>
      <c r="DU64" s="1840"/>
      <c r="DV64" s="1840"/>
      <c r="DW64" s="1840"/>
      <c r="DX64" s="1840"/>
      <c r="DY64" s="1840"/>
      <c r="DZ64" s="1840"/>
      <c r="EA64" s="1840"/>
      <c r="EB64" s="1840"/>
      <c r="EC64" s="1840"/>
      <c r="ED64" s="1840"/>
      <c r="EE64" s="1840"/>
      <c r="EF64" s="1840"/>
      <c r="EG64" s="1840"/>
      <c r="EH64" s="1840"/>
      <c r="EI64" s="1840"/>
      <c r="EJ64" s="1840"/>
      <c r="EK64" s="1840"/>
      <c r="EL64" s="1840"/>
      <c r="EM64" s="1840"/>
      <c r="EN64" s="1840"/>
      <c r="EO64" s="1840"/>
      <c r="EP64" s="1840"/>
      <c r="EQ64" s="1840"/>
      <c r="ER64" s="1840"/>
      <c r="ES64" s="1840"/>
      <c r="ET64" s="1840"/>
      <c r="EU64" s="1840"/>
      <c r="EV64" s="1840"/>
      <c r="EW64" s="1840"/>
      <c r="EX64" s="1840"/>
      <c r="EY64" s="1840"/>
      <c r="EZ64" s="1840"/>
      <c r="FA64" s="1840"/>
      <c r="FB64" s="1840"/>
      <c r="FC64" s="1840"/>
      <c r="FD64" s="1840"/>
      <c r="FE64" s="1840"/>
      <c r="FF64" s="1840"/>
      <c r="FG64" s="1840"/>
      <c r="FH64" s="1840"/>
      <c r="FI64" s="1840"/>
      <c r="FJ64" s="1840"/>
      <c r="FK64" s="1840"/>
      <c r="FL64" s="1840"/>
      <c r="FM64" s="1840"/>
      <c r="FN64" s="1840"/>
      <c r="FO64" s="1840"/>
      <c r="FP64" s="1840"/>
      <c r="FQ64" s="1840"/>
      <c r="FR64" s="1840"/>
      <c r="FS64" s="1840"/>
      <c r="FT64" s="1840"/>
      <c r="FU64" s="1840"/>
      <c r="FV64" s="1840"/>
      <c r="FW64" s="1840"/>
      <c r="FX64" s="1840"/>
      <c r="FY64" s="1840"/>
      <c r="FZ64" s="1840"/>
      <c r="GA64" s="1840"/>
      <c r="GB64" s="1840"/>
      <c r="GC64" s="1840"/>
      <c r="GD64" s="1840"/>
      <c r="GE64" s="1840"/>
      <c r="GF64" s="1840"/>
      <c r="GG64" s="1840"/>
      <c r="GH64" s="1840"/>
      <c r="GI64" s="1840"/>
      <c r="GJ64" s="1840"/>
      <c r="GK64" s="1840"/>
      <c r="GL64" s="1840"/>
      <c r="GM64" s="1840"/>
      <c r="GN64" s="1840"/>
      <c r="GO64" s="1840"/>
      <c r="GP64" s="1840"/>
      <c r="GQ64" s="1840"/>
      <c r="GR64" s="1840"/>
      <c r="GS64" s="1840"/>
      <c r="GT64" s="1840"/>
      <c r="GU64" s="1840"/>
      <c r="GV64" s="1840"/>
      <c r="GW64" s="1840"/>
      <c r="GX64" s="1840"/>
      <c r="GY64" s="1840"/>
      <c r="GZ64" s="1840"/>
      <c r="HA64" s="1840"/>
      <c r="HB64" s="1840"/>
      <c r="HC64" s="1840"/>
      <c r="HD64" s="1840"/>
      <c r="HE64" s="1840"/>
      <c r="HF64" s="1840"/>
      <c r="HG64" s="1840"/>
      <c r="HH64" s="1840"/>
      <c r="HI64" s="1840"/>
      <c r="HJ64" s="1840"/>
      <c r="HK64" s="1840"/>
      <c r="HL64" s="1840"/>
      <c r="HM64" s="1840"/>
      <c r="HN64" s="1840"/>
      <c r="HO64" s="1840"/>
      <c r="HP64" s="1840"/>
      <c r="HQ64" s="1840"/>
      <c r="HR64" s="1840"/>
      <c r="HS64" s="1840"/>
      <c r="HT64" s="1840"/>
      <c r="HU64" s="1840"/>
      <c r="HV64" s="1840"/>
      <c r="HW64" s="1840"/>
      <c r="HX64" s="1840"/>
      <c r="HY64" s="1840"/>
      <c r="HZ64" s="1840"/>
      <c r="IA64" s="1840"/>
      <c r="IB64" s="1840"/>
      <c r="IC64" s="1840"/>
      <c r="ID64" s="1840"/>
      <c r="IE64" s="1840"/>
      <c r="IF64" s="1840"/>
      <c r="IG64" s="1840"/>
      <c r="IH64" s="1840"/>
      <c r="II64" s="1840"/>
      <c r="IJ64" s="1840"/>
      <c r="IK64" s="1840"/>
      <c r="IL64" s="1840"/>
      <c r="IM64" s="1840"/>
      <c r="IN64" s="1840"/>
      <c r="IO64" s="1840"/>
      <c r="IP64" s="1840"/>
      <c r="IQ64" s="1840"/>
      <c r="IR64" s="1840"/>
      <c r="IS64" s="1840"/>
      <c r="IT64" s="1840"/>
      <c r="IU64" s="1840"/>
      <c r="IV64" s="1840"/>
    </row>
    <row r="65" spans="1:256" s="1849" customFormat="1" ht="13.5" customHeight="1">
      <c r="A65" s="1842"/>
      <c r="B65" s="1843"/>
      <c r="C65" s="1337"/>
      <c r="D65" s="210" t="s">
        <v>186</v>
      </c>
      <c r="E65" s="1844"/>
      <c r="F65" s="1845">
        <f>SUM(F66:F67)</f>
        <v>37.567600000000013</v>
      </c>
      <c r="G65" s="1846"/>
      <c r="H65" s="1846"/>
      <c r="I65" s="1847"/>
      <c r="J65" s="1848"/>
      <c r="L65" s="1850"/>
      <c r="M65" s="1850"/>
      <c r="N65" s="1850"/>
      <c r="O65" s="1850"/>
      <c r="P65" s="1850"/>
      <c r="Q65" s="1850"/>
      <c r="R65" s="1850"/>
      <c r="S65" s="1850"/>
      <c r="V65" s="1850"/>
      <c r="W65" s="1850"/>
      <c r="X65" s="1850"/>
      <c r="Y65" s="1850"/>
      <c r="Z65" s="1850"/>
      <c r="AA65" s="1850"/>
      <c r="AB65" s="1850"/>
      <c r="AC65" s="1850"/>
      <c r="AD65" s="1850"/>
      <c r="AE65" s="1850"/>
      <c r="AF65" s="1850"/>
      <c r="AG65" s="1850"/>
      <c r="AH65" s="1850"/>
      <c r="AI65" s="1850"/>
      <c r="AJ65" s="1850"/>
      <c r="AK65" s="1850"/>
      <c r="AL65" s="1850"/>
      <c r="AM65" s="1850"/>
      <c r="AN65" s="1850"/>
      <c r="AO65" s="1850"/>
      <c r="AP65" s="1850"/>
      <c r="AQ65" s="1850"/>
      <c r="AR65" s="1850"/>
      <c r="AS65" s="1850"/>
      <c r="AT65" s="1850"/>
      <c r="AU65" s="1850"/>
      <c r="AV65" s="1850"/>
      <c r="AW65" s="1850"/>
      <c r="AX65" s="1850"/>
      <c r="AY65" s="1850"/>
      <c r="AZ65" s="1850"/>
      <c r="BA65" s="1850"/>
      <c r="BB65" s="1850"/>
      <c r="BC65" s="1850"/>
      <c r="BD65" s="1850"/>
      <c r="BE65" s="1850"/>
      <c r="BF65" s="1850"/>
      <c r="BG65" s="1850"/>
      <c r="BH65" s="1850"/>
      <c r="BI65" s="1850"/>
      <c r="BJ65" s="1850"/>
      <c r="BK65" s="1850"/>
      <c r="BL65" s="1850"/>
      <c r="BM65" s="1850"/>
      <c r="BN65" s="1850"/>
      <c r="BO65" s="1850"/>
      <c r="BP65" s="1850"/>
      <c r="BQ65" s="1850"/>
      <c r="BR65" s="1850"/>
      <c r="BS65" s="1850"/>
      <c r="BT65" s="1850"/>
      <c r="BU65" s="1850"/>
      <c r="BV65" s="1850"/>
      <c r="BW65" s="1850"/>
      <c r="BX65" s="1850"/>
      <c r="BY65" s="1850"/>
      <c r="BZ65" s="1850"/>
      <c r="CA65" s="1850"/>
      <c r="CB65" s="1850"/>
      <c r="CC65" s="1850"/>
      <c r="CD65" s="1850"/>
      <c r="CE65" s="1850"/>
      <c r="CF65" s="1850"/>
      <c r="CG65" s="1850"/>
      <c r="CH65" s="1850"/>
      <c r="CI65" s="1850"/>
      <c r="CJ65" s="1850"/>
      <c r="CK65" s="1850"/>
      <c r="CL65" s="1850"/>
      <c r="CM65" s="1850"/>
      <c r="CN65" s="1850"/>
      <c r="CO65" s="1850"/>
      <c r="CP65" s="1850"/>
      <c r="CQ65" s="1850"/>
      <c r="CR65" s="1850"/>
      <c r="CS65" s="1850"/>
      <c r="CT65" s="1850"/>
      <c r="CU65" s="1850"/>
      <c r="CV65" s="1850"/>
      <c r="CW65" s="1850"/>
      <c r="CX65" s="1850"/>
      <c r="CY65" s="1850"/>
      <c r="CZ65" s="1850"/>
      <c r="DA65" s="1850"/>
      <c r="DB65" s="1850"/>
      <c r="DC65" s="1850"/>
      <c r="DD65" s="1850"/>
      <c r="DE65" s="1850"/>
      <c r="DF65" s="1850"/>
      <c r="DG65" s="1850"/>
      <c r="DH65" s="1850"/>
      <c r="DI65" s="1850"/>
      <c r="DJ65" s="1850"/>
      <c r="DK65" s="1850"/>
      <c r="DL65" s="1850"/>
      <c r="DM65" s="1850"/>
      <c r="DN65" s="1850"/>
      <c r="DO65" s="1850"/>
      <c r="DP65" s="1850"/>
      <c r="DQ65" s="1850"/>
      <c r="DR65" s="1850"/>
      <c r="DS65" s="1850"/>
      <c r="DT65" s="1850"/>
      <c r="DU65" s="1850"/>
      <c r="DV65" s="1850"/>
      <c r="DW65" s="1850"/>
      <c r="DX65" s="1850"/>
      <c r="DY65" s="1850"/>
      <c r="DZ65" s="1850"/>
      <c r="EA65" s="1850"/>
      <c r="EB65" s="1850"/>
      <c r="EC65" s="1850"/>
      <c r="ED65" s="1850"/>
      <c r="EE65" s="1850"/>
      <c r="EF65" s="1850"/>
      <c r="EG65" s="1850"/>
      <c r="EH65" s="1850"/>
      <c r="EI65" s="1850"/>
      <c r="EJ65" s="1850"/>
      <c r="EK65" s="1850"/>
      <c r="EL65" s="1850"/>
      <c r="EM65" s="1850"/>
      <c r="EN65" s="1850"/>
      <c r="EO65" s="1850"/>
      <c r="EP65" s="1850"/>
      <c r="EQ65" s="1850"/>
      <c r="ER65" s="1850"/>
      <c r="ES65" s="1850"/>
      <c r="ET65" s="1850"/>
      <c r="EU65" s="1850"/>
      <c r="EV65" s="1850"/>
      <c r="EW65" s="1850"/>
      <c r="EX65" s="1850"/>
      <c r="EY65" s="1850"/>
      <c r="EZ65" s="1850"/>
      <c r="FA65" s="1850"/>
      <c r="FB65" s="1850"/>
      <c r="FC65" s="1850"/>
      <c r="FD65" s="1850"/>
      <c r="FE65" s="1850"/>
      <c r="FF65" s="1850"/>
      <c r="FG65" s="1850"/>
      <c r="FH65" s="1850"/>
      <c r="FI65" s="1850"/>
      <c r="FJ65" s="1850"/>
      <c r="FK65" s="1850"/>
      <c r="FL65" s="1850"/>
      <c r="FM65" s="1850"/>
      <c r="FN65" s="1850"/>
      <c r="FO65" s="1850"/>
      <c r="FP65" s="1850"/>
      <c r="FQ65" s="1850"/>
      <c r="FR65" s="1850"/>
      <c r="FS65" s="1850"/>
      <c r="FT65" s="1850"/>
      <c r="FU65" s="1850"/>
      <c r="FV65" s="1850"/>
      <c r="FW65" s="1850"/>
      <c r="FX65" s="1850"/>
      <c r="FY65" s="1850"/>
      <c r="FZ65" s="1850"/>
      <c r="GA65" s="1850"/>
      <c r="GB65" s="1850"/>
      <c r="GC65" s="1850"/>
      <c r="GD65" s="1850"/>
      <c r="GE65" s="1850"/>
      <c r="GF65" s="1850"/>
      <c r="GG65" s="1850"/>
      <c r="GH65" s="1850"/>
      <c r="GI65" s="1850"/>
      <c r="GJ65" s="1850"/>
      <c r="GK65" s="1850"/>
      <c r="GL65" s="1850"/>
      <c r="GM65" s="1850"/>
      <c r="GN65" s="1850"/>
      <c r="GO65" s="1850"/>
      <c r="GP65" s="1850"/>
      <c r="GQ65" s="1850"/>
      <c r="GR65" s="1850"/>
      <c r="GS65" s="1850"/>
      <c r="GT65" s="1850"/>
      <c r="GU65" s="1850"/>
      <c r="GV65" s="1850"/>
      <c r="GW65" s="1850"/>
      <c r="GX65" s="1850"/>
      <c r="GY65" s="1850"/>
      <c r="GZ65" s="1850"/>
      <c r="HA65" s="1850"/>
      <c r="HB65" s="1850"/>
      <c r="HC65" s="1850"/>
      <c r="HD65" s="1850"/>
      <c r="HE65" s="1850"/>
      <c r="HF65" s="1850"/>
      <c r="HG65" s="1850"/>
      <c r="HH65" s="1850"/>
      <c r="HI65" s="1850"/>
      <c r="HJ65" s="1850"/>
      <c r="HK65" s="1850"/>
      <c r="HL65" s="1850"/>
      <c r="HM65" s="1850"/>
      <c r="HN65" s="1850"/>
      <c r="HO65" s="1850"/>
      <c r="HP65" s="1850"/>
      <c r="HQ65" s="1850"/>
      <c r="HR65" s="1850"/>
      <c r="HS65" s="1850"/>
      <c r="HT65" s="1850"/>
      <c r="HU65" s="1850"/>
      <c r="HV65" s="1850"/>
      <c r="HW65" s="1850"/>
      <c r="HX65" s="1850"/>
      <c r="HY65" s="1850"/>
      <c r="HZ65" s="1850"/>
      <c r="IA65" s="1850"/>
      <c r="IB65" s="1850"/>
      <c r="IC65" s="1850"/>
      <c r="ID65" s="1850"/>
      <c r="IE65" s="1850"/>
      <c r="IF65" s="1850"/>
      <c r="IG65" s="1850"/>
      <c r="IH65" s="1850"/>
      <c r="II65" s="1850"/>
      <c r="IJ65" s="1850"/>
      <c r="IK65" s="1850"/>
      <c r="IL65" s="1850"/>
      <c r="IM65" s="1850"/>
      <c r="IN65" s="1850"/>
      <c r="IO65" s="1850"/>
      <c r="IP65" s="1850"/>
      <c r="IQ65" s="1850"/>
      <c r="IR65" s="1850"/>
      <c r="IS65" s="1850"/>
      <c r="IT65" s="1850"/>
      <c r="IU65" s="1850"/>
      <c r="IV65" s="1850"/>
    </row>
    <row r="66" spans="1:256" s="1839" customFormat="1" ht="13.5" customHeight="1">
      <c r="A66" s="1851"/>
      <c r="B66" s="1852"/>
      <c r="C66" s="1853"/>
      <c r="D66" s="1841" t="s">
        <v>2590</v>
      </c>
      <c r="E66" s="1841"/>
      <c r="F66" s="1854">
        <f>121.48</f>
        <v>121.48</v>
      </c>
      <c r="G66" s="1836"/>
      <c r="H66" s="1836"/>
      <c r="I66" s="1855"/>
      <c r="J66" s="1838"/>
      <c r="K66" s="1856"/>
      <c r="L66" s="1857"/>
      <c r="M66" s="1858"/>
      <c r="N66" s="1858"/>
      <c r="O66" s="1858"/>
      <c r="P66" s="1840"/>
      <c r="Q66" s="1840"/>
      <c r="R66" s="1840"/>
      <c r="S66" s="1840"/>
      <c r="V66" s="1840"/>
      <c r="W66" s="1840"/>
      <c r="X66" s="1840"/>
      <c r="Y66" s="1840"/>
      <c r="Z66" s="1840"/>
      <c r="AA66" s="1840"/>
      <c r="AB66" s="1840"/>
      <c r="AC66" s="1840"/>
      <c r="AD66" s="1840"/>
      <c r="AE66" s="1840"/>
      <c r="AF66" s="1840"/>
      <c r="AG66" s="1840"/>
      <c r="AH66" s="1840"/>
      <c r="AI66" s="1840"/>
      <c r="AJ66" s="1840"/>
      <c r="AK66" s="1840"/>
      <c r="AL66" s="1840"/>
      <c r="AM66" s="1840"/>
      <c r="AN66" s="1840"/>
      <c r="AO66" s="1840"/>
      <c r="AP66" s="1840"/>
      <c r="AQ66" s="1840"/>
      <c r="AR66" s="1840"/>
      <c r="AS66" s="1840"/>
      <c r="AT66" s="1840"/>
      <c r="AU66" s="1840"/>
      <c r="AV66" s="1840"/>
      <c r="AW66" s="1840"/>
      <c r="AX66" s="1840"/>
      <c r="AY66" s="1840"/>
      <c r="AZ66" s="1840"/>
      <c r="BA66" s="1840"/>
      <c r="BB66" s="1840"/>
      <c r="BC66" s="1840"/>
      <c r="BD66" s="1840"/>
      <c r="BE66" s="1840"/>
      <c r="BF66" s="1840"/>
      <c r="BG66" s="1840"/>
      <c r="BH66" s="1840"/>
      <c r="BI66" s="1840"/>
      <c r="BJ66" s="1840"/>
      <c r="BK66" s="1840"/>
      <c r="BL66" s="1840"/>
      <c r="BM66" s="1840"/>
      <c r="BN66" s="1840"/>
      <c r="BO66" s="1840"/>
      <c r="BP66" s="1840"/>
      <c r="BQ66" s="1840"/>
      <c r="BR66" s="1840"/>
      <c r="BS66" s="1840"/>
      <c r="BT66" s="1840"/>
      <c r="BU66" s="1840"/>
      <c r="BV66" s="1840"/>
      <c r="BW66" s="1840"/>
      <c r="BX66" s="1840"/>
      <c r="BY66" s="1840"/>
      <c r="BZ66" s="1840"/>
      <c r="CA66" s="1840"/>
      <c r="CB66" s="1840"/>
      <c r="CC66" s="1840"/>
      <c r="CD66" s="1840"/>
      <c r="CE66" s="1840"/>
      <c r="CF66" s="1840"/>
      <c r="CG66" s="1840"/>
      <c r="CH66" s="1840"/>
      <c r="CI66" s="1840"/>
      <c r="CJ66" s="1840"/>
      <c r="CK66" s="1840"/>
      <c r="CL66" s="1840"/>
      <c r="CM66" s="1840"/>
      <c r="CN66" s="1840"/>
      <c r="CO66" s="1840"/>
      <c r="CP66" s="1840"/>
      <c r="CQ66" s="1840"/>
      <c r="CR66" s="1840"/>
      <c r="CS66" s="1840"/>
      <c r="CT66" s="1840"/>
      <c r="CU66" s="1840"/>
      <c r="CV66" s="1840"/>
      <c r="CW66" s="1840"/>
      <c r="CX66" s="1840"/>
      <c r="CY66" s="1840"/>
      <c r="CZ66" s="1840"/>
      <c r="DA66" s="1840"/>
      <c r="DB66" s="1840"/>
      <c r="DC66" s="1840"/>
      <c r="DD66" s="1840"/>
      <c r="DE66" s="1840"/>
      <c r="DF66" s="1840"/>
      <c r="DG66" s="1840"/>
      <c r="DH66" s="1840"/>
      <c r="DI66" s="1840"/>
      <c r="DJ66" s="1840"/>
      <c r="DK66" s="1840"/>
      <c r="DL66" s="1840"/>
      <c r="DM66" s="1840"/>
      <c r="DN66" s="1840"/>
      <c r="DO66" s="1840"/>
      <c r="DP66" s="1840"/>
      <c r="DQ66" s="1840"/>
      <c r="DR66" s="1840"/>
      <c r="DS66" s="1840"/>
      <c r="DT66" s="1840"/>
      <c r="DU66" s="1840"/>
      <c r="DV66" s="1840"/>
      <c r="DW66" s="1840"/>
      <c r="DX66" s="1840"/>
      <c r="DY66" s="1840"/>
      <c r="DZ66" s="1840"/>
      <c r="EA66" s="1840"/>
      <c r="EB66" s="1840"/>
      <c r="EC66" s="1840"/>
      <c r="ED66" s="1840"/>
      <c r="EE66" s="1840"/>
      <c r="EF66" s="1840"/>
      <c r="EG66" s="1840"/>
      <c r="EH66" s="1840"/>
      <c r="EI66" s="1840"/>
      <c r="EJ66" s="1840"/>
      <c r="EK66" s="1840"/>
      <c r="EL66" s="1840"/>
      <c r="EM66" s="1840"/>
      <c r="EN66" s="1840"/>
      <c r="EO66" s="1840"/>
      <c r="EP66" s="1840"/>
      <c r="EQ66" s="1840"/>
      <c r="ER66" s="1840"/>
      <c r="ES66" s="1840"/>
      <c r="ET66" s="1840"/>
      <c r="EU66" s="1840"/>
      <c r="EV66" s="1840"/>
      <c r="EW66" s="1840"/>
      <c r="EX66" s="1840"/>
      <c r="EY66" s="1840"/>
      <c r="EZ66" s="1840"/>
      <c r="FA66" s="1840"/>
      <c r="FB66" s="1840"/>
      <c r="FC66" s="1840"/>
      <c r="FD66" s="1840"/>
      <c r="FE66" s="1840"/>
      <c r="FF66" s="1840"/>
      <c r="FG66" s="1840"/>
      <c r="FH66" s="1840"/>
      <c r="FI66" s="1840"/>
      <c r="FJ66" s="1840"/>
      <c r="FK66" s="1840"/>
      <c r="FL66" s="1840"/>
      <c r="FM66" s="1840"/>
      <c r="FN66" s="1840"/>
      <c r="FO66" s="1840"/>
      <c r="FP66" s="1840"/>
      <c r="FQ66" s="1840"/>
      <c r="FR66" s="1840"/>
      <c r="FS66" s="1840"/>
      <c r="FT66" s="1840"/>
      <c r="FU66" s="1840"/>
      <c r="FV66" s="1840"/>
      <c r="FW66" s="1840"/>
      <c r="FX66" s="1840"/>
      <c r="FY66" s="1840"/>
      <c r="FZ66" s="1840"/>
      <c r="GA66" s="1840"/>
      <c r="GB66" s="1840"/>
      <c r="GC66" s="1840"/>
      <c r="GD66" s="1840"/>
      <c r="GE66" s="1840"/>
      <c r="GF66" s="1840"/>
      <c r="GG66" s="1840"/>
      <c r="GH66" s="1840"/>
      <c r="GI66" s="1840"/>
      <c r="GJ66" s="1840"/>
      <c r="GK66" s="1840"/>
      <c r="GL66" s="1840"/>
      <c r="GM66" s="1840"/>
      <c r="GN66" s="1840"/>
      <c r="GO66" s="1840"/>
      <c r="GP66" s="1840"/>
      <c r="GQ66" s="1840"/>
      <c r="GR66" s="1840"/>
      <c r="GS66" s="1840"/>
      <c r="GT66" s="1840"/>
      <c r="GU66" s="1840"/>
      <c r="GV66" s="1840"/>
      <c r="GW66" s="1840"/>
      <c r="GX66" s="1840"/>
      <c r="GY66" s="1840"/>
      <c r="GZ66" s="1840"/>
      <c r="HA66" s="1840"/>
      <c r="HB66" s="1840"/>
      <c r="HC66" s="1840"/>
      <c r="HD66" s="1840"/>
      <c r="HE66" s="1840"/>
      <c r="HF66" s="1840"/>
      <c r="HG66" s="1840"/>
      <c r="HH66" s="1840"/>
      <c r="HI66" s="1840"/>
      <c r="HJ66" s="1840"/>
      <c r="HK66" s="1840"/>
      <c r="HL66" s="1840"/>
      <c r="HM66" s="1840"/>
      <c r="HN66" s="1840"/>
      <c r="HO66" s="1840"/>
      <c r="HP66" s="1840"/>
      <c r="HQ66" s="1840"/>
      <c r="HR66" s="1840"/>
      <c r="HS66" s="1840"/>
      <c r="HT66" s="1840"/>
      <c r="HU66" s="1840"/>
      <c r="HV66" s="1840"/>
      <c r="HW66" s="1840"/>
      <c r="HX66" s="1840"/>
      <c r="HY66" s="1840"/>
      <c r="HZ66" s="1840"/>
      <c r="IA66" s="1840"/>
      <c r="IB66" s="1840"/>
      <c r="IC66" s="1840"/>
      <c r="ID66" s="1840"/>
      <c r="IE66" s="1840"/>
      <c r="IF66" s="1840"/>
      <c r="IG66" s="1840"/>
      <c r="IH66" s="1840"/>
      <c r="II66" s="1840"/>
      <c r="IJ66" s="1840"/>
      <c r="IK66" s="1840"/>
      <c r="IL66" s="1840"/>
      <c r="IM66" s="1840"/>
      <c r="IN66" s="1840"/>
      <c r="IO66" s="1840"/>
      <c r="IP66" s="1840"/>
      <c r="IQ66" s="1840"/>
      <c r="IR66" s="1840"/>
      <c r="IS66" s="1840"/>
      <c r="IT66" s="1840"/>
      <c r="IU66" s="1840"/>
      <c r="IV66" s="1840"/>
    </row>
    <row r="67" spans="1:256" s="1839" customFormat="1" ht="13.5" customHeight="1">
      <c r="A67" s="1851"/>
      <c r="B67" s="1852"/>
      <c r="C67" s="1853"/>
      <c r="D67" s="1841" t="s">
        <v>2591</v>
      </c>
      <c r="E67" s="1841"/>
      <c r="F67" s="1854">
        <f>-(F56*0.6)</f>
        <v>-83.912399999999991</v>
      </c>
      <c r="G67" s="1836"/>
      <c r="H67" s="1836"/>
      <c r="I67" s="1855"/>
      <c r="J67" s="1838"/>
      <c r="K67" s="1859"/>
      <c r="L67" s="1857"/>
      <c r="M67" s="1858"/>
      <c r="N67" s="1858"/>
      <c r="O67" s="1858"/>
      <c r="P67" s="1840"/>
      <c r="Q67" s="1840"/>
      <c r="R67" s="1840"/>
      <c r="S67" s="1840"/>
      <c r="V67" s="1840"/>
      <c r="W67" s="1840"/>
      <c r="X67" s="1840"/>
      <c r="Y67" s="1840"/>
      <c r="Z67" s="1840"/>
      <c r="AA67" s="1840"/>
      <c r="AB67" s="1840"/>
      <c r="AC67" s="1840"/>
      <c r="AD67" s="1840"/>
      <c r="AE67" s="1840"/>
      <c r="AF67" s="1840"/>
      <c r="AG67" s="1840"/>
      <c r="AH67" s="1840"/>
      <c r="AI67" s="1840"/>
      <c r="AJ67" s="1840"/>
      <c r="AK67" s="1840"/>
      <c r="AL67" s="1840"/>
      <c r="AM67" s="1840"/>
      <c r="AN67" s="1840"/>
      <c r="AO67" s="1840"/>
      <c r="AP67" s="1840"/>
      <c r="AQ67" s="1840"/>
      <c r="AR67" s="1840"/>
      <c r="AS67" s="1840"/>
      <c r="AT67" s="1840"/>
      <c r="AU67" s="1840"/>
      <c r="AV67" s="1840"/>
      <c r="AW67" s="1840"/>
      <c r="AX67" s="1840"/>
      <c r="AY67" s="1840"/>
      <c r="AZ67" s="1840"/>
      <c r="BA67" s="1840"/>
      <c r="BB67" s="1840"/>
      <c r="BC67" s="1840"/>
      <c r="BD67" s="1840"/>
      <c r="BE67" s="1840"/>
      <c r="BF67" s="1840"/>
      <c r="BG67" s="1840"/>
      <c r="BH67" s="1840"/>
      <c r="BI67" s="1840"/>
      <c r="BJ67" s="1840"/>
      <c r="BK67" s="1840"/>
      <c r="BL67" s="1840"/>
      <c r="BM67" s="1840"/>
      <c r="BN67" s="1840"/>
      <c r="BO67" s="1840"/>
      <c r="BP67" s="1840"/>
      <c r="BQ67" s="1840"/>
      <c r="BR67" s="1840"/>
      <c r="BS67" s="1840"/>
      <c r="BT67" s="1840"/>
      <c r="BU67" s="1840"/>
      <c r="BV67" s="1840"/>
      <c r="BW67" s="1840"/>
      <c r="BX67" s="1840"/>
      <c r="BY67" s="1840"/>
      <c r="BZ67" s="1840"/>
      <c r="CA67" s="1840"/>
      <c r="CB67" s="1840"/>
      <c r="CC67" s="1840"/>
      <c r="CD67" s="1840"/>
      <c r="CE67" s="1840"/>
      <c r="CF67" s="1840"/>
      <c r="CG67" s="1840"/>
      <c r="CH67" s="1840"/>
      <c r="CI67" s="1840"/>
      <c r="CJ67" s="1840"/>
      <c r="CK67" s="1840"/>
      <c r="CL67" s="1840"/>
      <c r="CM67" s="1840"/>
      <c r="CN67" s="1840"/>
      <c r="CO67" s="1840"/>
      <c r="CP67" s="1840"/>
      <c r="CQ67" s="1840"/>
      <c r="CR67" s="1840"/>
      <c r="CS67" s="1840"/>
      <c r="CT67" s="1840"/>
      <c r="CU67" s="1840"/>
      <c r="CV67" s="1840"/>
      <c r="CW67" s="1840"/>
      <c r="CX67" s="1840"/>
      <c r="CY67" s="1840"/>
      <c r="CZ67" s="1840"/>
      <c r="DA67" s="1840"/>
      <c r="DB67" s="1840"/>
      <c r="DC67" s="1840"/>
      <c r="DD67" s="1840"/>
      <c r="DE67" s="1840"/>
      <c r="DF67" s="1840"/>
      <c r="DG67" s="1840"/>
      <c r="DH67" s="1840"/>
      <c r="DI67" s="1840"/>
      <c r="DJ67" s="1840"/>
      <c r="DK67" s="1840"/>
      <c r="DL67" s="1840"/>
      <c r="DM67" s="1840"/>
      <c r="DN67" s="1840"/>
      <c r="DO67" s="1840"/>
      <c r="DP67" s="1840"/>
      <c r="DQ67" s="1840"/>
      <c r="DR67" s="1840"/>
      <c r="DS67" s="1840"/>
      <c r="DT67" s="1840"/>
      <c r="DU67" s="1840"/>
      <c r="DV67" s="1840"/>
      <c r="DW67" s="1840"/>
      <c r="DX67" s="1840"/>
      <c r="DY67" s="1840"/>
      <c r="DZ67" s="1840"/>
      <c r="EA67" s="1840"/>
      <c r="EB67" s="1840"/>
      <c r="EC67" s="1840"/>
      <c r="ED67" s="1840"/>
      <c r="EE67" s="1840"/>
      <c r="EF67" s="1840"/>
      <c r="EG67" s="1840"/>
      <c r="EH67" s="1840"/>
      <c r="EI67" s="1840"/>
      <c r="EJ67" s="1840"/>
      <c r="EK67" s="1840"/>
      <c r="EL67" s="1840"/>
      <c r="EM67" s="1840"/>
      <c r="EN67" s="1840"/>
      <c r="EO67" s="1840"/>
      <c r="EP67" s="1840"/>
      <c r="EQ67" s="1840"/>
      <c r="ER67" s="1840"/>
      <c r="ES67" s="1840"/>
      <c r="ET67" s="1840"/>
      <c r="EU67" s="1840"/>
      <c r="EV67" s="1840"/>
      <c r="EW67" s="1840"/>
      <c r="EX67" s="1840"/>
      <c r="EY67" s="1840"/>
      <c r="EZ67" s="1840"/>
      <c r="FA67" s="1840"/>
      <c r="FB67" s="1840"/>
      <c r="FC67" s="1840"/>
      <c r="FD67" s="1840"/>
      <c r="FE67" s="1840"/>
      <c r="FF67" s="1840"/>
      <c r="FG67" s="1840"/>
      <c r="FH67" s="1840"/>
      <c r="FI67" s="1840"/>
      <c r="FJ67" s="1840"/>
      <c r="FK67" s="1840"/>
      <c r="FL67" s="1840"/>
      <c r="FM67" s="1840"/>
      <c r="FN67" s="1840"/>
      <c r="FO67" s="1840"/>
      <c r="FP67" s="1840"/>
      <c r="FQ67" s="1840"/>
      <c r="FR67" s="1840"/>
      <c r="FS67" s="1840"/>
      <c r="FT67" s="1840"/>
      <c r="FU67" s="1840"/>
      <c r="FV67" s="1840"/>
      <c r="FW67" s="1840"/>
      <c r="FX67" s="1840"/>
      <c r="FY67" s="1840"/>
      <c r="FZ67" s="1840"/>
      <c r="GA67" s="1840"/>
      <c r="GB67" s="1840"/>
      <c r="GC67" s="1840"/>
      <c r="GD67" s="1840"/>
      <c r="GE67" s="1840"/>
      <c r="GF67" s="1840"/>
      <c r="GG67" s="1840"/>
      <c r="GH67" s="1840"/>
      <c r="GI67" s="1840"/>
      <c r="GJ67" s="1840"/>
      <c r="GK67" s="1840"/>
      <c r="GL67" s="1840"/>
      <c r="GM67" s="1840"/>
      <c r="GN67" s="1840"/>
      <c r="GO67" s="1840"/>
      <c r="GP67" s="1840"/>
      <c r="GQ67" s="1840"/>
      <c r="GR67" s="1840"/>
      <c r="GS67" s="1840"/>
      <c r="GT67" s="1840"/>
      <c r="GU67" s="1840"/>
      <c r="GV67" s="1840"/>
      <c r="GW67" s="1840"/>
      <c r="GX67" s="1840"/>
      <c r="GY67" s="1840"/>
      <c r="GZ67" s="1840"/>
      <c r="HA67" s="1840"/>
      <c r="HB67" s="1840"/>
      <c r="HC67" s="1840"/>
      <c r="HD67" s="1840"/>
      <c r="HE67" s="1840"/>
      <c r="HF67" s="1840"/>
      <c r="HG67" s="1840"/>
      <c r="HH67" s="1840"/>
      <c r="HI67" s="1840"/>
      <c r="HJ67" s="1840"/>
      <c r="HK67" s="1840"/>
      <c r="HL67" s="1840"/>
      <c r="HM67" s="1840"/>
      <c r="HN67" s="1840"/>
      <c r="HO67" s="1840"/>
      <c r="HP67" s="1840"/>
      <c r="HQ67" s="1840"/>
      <c r="HR67" s="1840"/>
      <c r="HS67" s="1840"/>
      <c r="HT67" s="1840"/>
      <c r="HU67" s="1840"/>
      <c r="HV67" s="1840"/>
      <c r="HW67" s="1840"/>
      <c r="HX67" s="1840"/>
      <c r="HY67" s="1840"/>
      <c r="HZ67" s="1840"/>
      <c r="IA67" s="1840"/>
      <c r="IB67" s="1840"/>
      <c r="IC67" s="1840"/>
      <c r="ID67" s="1840"/>
      <c r="IE67" s="1840"/>
      <c r="IF67" s="1840"/>
      <c r="IG67" s="1840"/>
      <c r="IH67" s="1840"/>
      <c r="II67" s="1840"/>
      <c r="IJ67" s="1840"/>
      <c r="IK67" s="1840"/>
      <c r="IL67" s="1840"/>
      <c r="IM67" s="1840"/>
      <c r="IN67" s="1840"/>
      <c r="IO67" s="1840"/>
      <c r="IP67" s="1840"/>
      <c r="IQ67" s="1840"/>
      <c r="IR67" s="1840"/>
      <c r="IS67" s="1840"/>
      <c r="IT67" s="1840"/>
      <c r="IU67" s="1840"/>
      <c r="IV67" s="1840"/>
    </row>
    <row r="68" spans="1:256" s="1849" customFormat="1" ht="13.5" customHeight="1">
      <c r="A68" s="1842"/>
      <c r="B68" s="1843"/>
      <c r="C68" s="1337"/>
      <c r="D68" s="210" t="s">
        <v>189</v>
      </c>
      <c r="E68" s="1844"/>
      <c r="F68" s="1845">
        <f>SUM(F69:F70)</f>
        <v>25.048400000000001</v>
      </c>
      <c r="G68" s="1846"/>
      <c r="H68" s="1846"/>
      <c r="I68" s="1847"/>
      <c r="J68" s="1838"/>
      <c r="K68" s="1860"/>
      <c r="L68" s="1857"/>
      <c r="M68" s="1850"/>
      <c r="N68" s="1850"/>
      <c r="O68" s="1850"/>
      <c r="P68" s="1850"/>
      <c r="Q68" s="1850"/>
      <c r="R68" s="1850"/>
      <c r="S68" s="1850"/>
      <c r="V68" s="1850"/>
      <c r="W68" s="1850"/>
      <c r="X68" s="1850"/>
      <c r="Y68" s="1850"/>
      <c r="Z68" s="1850"/>
      <c r="AA68" s="1850"/>
      <c r="AB68" s="1850"/>
      <c r="AC68" s="1850"/>
      <c r="AD68" s="1850"/>
      <c r="AE68" s="1850"/>
      <c r="AF68" s="1850"/>
      <c r="AG68" s="1850"/>
      <c r="AH68" s="1850"/>
      <c r="AI68" s="1850"/>
      <c r="AJ68" s="1850"/>
      <c r="AK68" s="1850"/>
      <c r="AL68" s="1850"/>
      <c r="AM68" s="1850"/>
      <c r="AN68" s="1850"/>
      <c r="AO68" s="1850"/>
      <c r="AP68" s="1850"/>
      <c r="AQ68" s="1850"/>
      <c r="AR68" s="1850"/>
      <c r="AS68" s="1850"/>
      <c r="AT68" s="1850"/>
      <c r="AU68" s="1850"/>
      <c r="AV68" s="1850"/>
      <c r="AW68" s="1850"/>
      <c r="AX68" s="1850"/>
      <c r="AY68" s="1850"/>
      <c r="AZ68" s="1850"/>
      <c r="BA68" s="1850"/>
      <c r="BB68" s="1850"/>
      <c r="BC68" s="1850"/>
      <c r="BD68" s="1850"/>
      <c r="BE68" s="1850"/>
      <c r="BF68" s="1850"/>
      <c r="BG68" s="1850"/>
      <c r="BH68" s="1850"/>
      <c r="BI68" s="1850"/>
      <c r="BJ68" s="1850"/>
      <c r="BK68" s="1850"/>
      <c r="BL68" s="1850"/>
      <c r="BM68" s="1850"/>
      <c r="BN68" s="1850"/>
      <c r="BO68" s="1850"/>
      <c r="BP68" s="1850"/>
      <c r="BQ68" s="1850"/>
      <c r="BR68" s="1850"/>
      <c r="BS68" s="1850"/>
      <c r="BT68" s="1850"/>
      <c r="BU68" s="1850"/>
      <c r="BV68" s="1850"/>
      <c r="BW68" s="1850"/>
      <c r="BX68" s="1850"/>
      <c r="BY68" s="1850"/>
      <c r="BZ68" s="1850"/>
      <c r="CA68" s="1850"/>
      <c r="CB68" s="1850"/>
      <c r="CC68" s="1850"/>
      <c r="CD68" s="1850"/>
      <c r="CE68" s="1850"/>
      <c r="CF68" s="1850"/>
      <c r="CG68" s="1850"/>
      <c r="CH68" s="1850"/>
      <c r="CI68" s="1850"/>
      <c r="CJ68" s="1850"/>
      <c r="CK68" s="1850"/>
      <c r="CL68" s="1850"/>
      <c r="CM68" s="1850"/>
      <c r="CN68" s="1850"/>
      <c r="CO68" s="1850"/>
      <c r="CP68" s="1850"/>
      <c r="CQ68" s="1850"/>
      <c r="CR68" s="1850"/>
      <c r="CS68" s="1850"/>
      <c r="CT68" s="1850"/>
      <c r="CU68" s="1850"/>
      <c r="CV68" s="1850"/>
      <c r="CW68" s="1850"/>
      <c r="CX68" s="1850"/>
      <c r="CY68" s="1850"/>
      <c r="CZ68" s="1850"/>
      <c r="DA68" s="1850"/>
      <c r="DB68" s="1850"/>
      <c r="DC68" s="1850"/>
      <c r="DD68" s="1850"/>
      <c r="DE68" s="1850"/>
      <c r="DF68" s="1850"/>
      <c r="DG68" s="1850"/>
      <c r="DH68" s="1850"/>
      <c r="DI68" s="1850"/>
      <c r="DJ68" s="1850"/>
      <c r="DK68" s="1850"/>
      <c r="DL68" s="1850"/>
      <c r="DM68" s="1850"/>
      <c r="DN68" s="1850"/>
      <c r="DO68" s="1850"/>
      <c r="DP68" s="1850"/>
      <c r="DQ68" s="1850"/>
      <c r="DR68" s="1850"/>
      <c r="DS68" s="1850"/>
      <c r="DT68" s="1850"/>
      <c r="DU68" s="1850"/>
      <c r="DV68" s="1850"/>
      <c r="DW68" s="1850"/>
      <c r="DX68" s="1850"/>
      <c r="DY68" s="1850"/>
      <c r="DZ68" s="1850"/>
      <c r="EA68" s="1850"/>
      <c r="EB68" s="1850"/>
      <c r="EC68" s="1850"/>
      <c r="ED68" s="1850"/>
      <c r="EE68" s="1850"/>
      <c r="EF68" s="1850"/>
      <c r="EG68" s="1850"/>
      <c r="EH68" s="1850"/>
      <c r="EI68" s="1850"/>
      <c r="EJ68" s="1850"/>
      <c r="EK68" s="1850"/>
      <c r="EL68" s="1850"/>
      <c r="EM68" s="1850"/>
      <c r="EN68" s="1850"/>
      <c r="EO68" s="1850"/>
      <c r="EP68" s="1850"/>
      <c r="EQ68" s="1850"/>
      <c r="ER68" s="1850"/>
      <c r="ES68" s="1850"/>
      <c r="ET68" s="1850"/>
      <c r="EU68" s="1850"/>
      <c r="EV68" s="1850"/>
      <c r="EW68" s="1850"/>
      <c r="EX68" s="1850"/>
      <c r="EY68" s="1850"/>
      <c r="EZ68" s="1850"/>
      <c r="FA68" s="1850"/>
      <c r="FB68" s="1850"/>
      <c r="FC68" s="1850"/>
      <c r="FD68" s="1850"/>
      <c r="FE68" s="1850"/>
      <c r="FF68" s="1850"/>
      <c r="FG68" s="1850"/>
      <c r="FH68" s="1850"/>
      <c r="FI68" s="1850"/>
      <c r="FJ68" s="1850"/>
      <c r="FK68" s="1850"/>
      <c r="FL68" s="1850"/>
      <c r="FM68" s="1850"/>
      <c r="FN68" s="1850"/>
      <c r="FO68" s="1850"/>
      <c r="FP68" s="1850"/>
      <c r="FQ68" s="1850"/>
      <c r="FR68" s="1850"/>
      <c r="FS68" s="1850"/>
      <c r="FT68" s="1850"/>
      <c r="FU68" s="1850"/>
      <c r="FV68" s="1850"/>
      <c r="FW68" s="1850"/>
      <c r="FX68" s="1850"/>
      <c r="FY68" s="1850"/>
      <c r="FZ68" s="1850"/>
      <c r="GA68" s="1850"/>
      <c r="GB68" s="1850"/>
      <c r="GC68" s="1850"/>
      <c r="GD68" s="1850"/>
      <c r="GE68" s="1850"/>
      <c r="GF68" s="1850"/>
      <c r="GG68" s="1850"/>
      <c r="GH68" s="1850"/>
      <c r="GI68" s="1850"/>
      <c r="GJ68" s="1850"/>
      <c r="GK68" s="1850"/>
      <c r="GL68" s="1850"/>
      <c r="GM68" s="1850"/>
      <c r="GN68" s="1850"/>
      <c r="GO68" s="1850"/>
      <c r="GP68" s="1850"/>
      <c r="GQ68" s="1850"/>
      <c r="GR68" s="1850"/>
      <c r="GS68" s="1850"/>
      <c r="GT68" s="1850"/>
      <c r="GU68" s="1850"/>
      <c r="GV68" s="1850"/>
      <c r="GW68" s="1850"/>
      <c r="GX68" s="1850"/>
      <c r="GY68" s="1850"/>
      <c r="GZ68" s="1850"/>
      <c r="HA68" s="1850"/>
      <c r="HB68" s="1850"/>
      <c r="HC68" s="1850"/>
      <c r="HD68" s="1850"/>
      <c r="HE68" s="1850"/>
      <c r="HF68" s="1850"/>
      <c r="HG68" s="1850"/>
      <c r="HH68" s="1850"/>
      <c r="HI68" s="1850"/>
      <c r="HJ68" s="1850"/>
      <c r="HK68" s="1850"/>
      <c r="HL68" s="1850"/>
      <c r="HM68" s="1850"/>
      <c r="HN68" s="1850"/>
      <c r="HO68" s="1850"/>
      <c r="HP68" s="1850"/>
      <c r="HQ68" s="1850"/>
      <c r="HR68" s="1850"/>
      <c r="HS68" s="1850"/>
      <c r="HT68" s="1850"/>
      <c r="HU68" s="1850"/>
      <c r="HV68" s="1850"/>
      <c r="HW68" s="1850"/>
      <c r="HX68" s="1850"/>
      <c r="HY68" s="1850"/>
      <c r="HZ68" s="1850"/>
      <c r="IA68" s="1850"/>
      <c r="IB68" s="1850"/>
      <c r="IC68" s="1850"/>
      <c r="ID68" s="1850"/>
      <c r="IE68" s="1850"/>
      <c r="IF68" s="1850"/>
      <c r="IG68" s="1850"/>
      <c r="IH68" s="1850"/>
      <c r="II68" s="1850"/>
      <c r="IJ68" s="1850"/>
      <c r="IK68" s="1850"/>
      <c r="IL68" s="1850"/>
      <c r="IM68" s="1850"/>
      <c r="IN68" s="1850"/>
      <c r="IO68" s="1850"/>
      <c r="IP68" s="1850"/>
      <c r="IQ68" s="1850"/>
      <c r="IR68" s="1850"/>
      <c r="IS68" s="1850"/>
      <c r="IT68" s="1850"/>
      <c r="IU68" s="1850"/>
      <c r="IV68" s="1850"/>
    </row>
    <row r="69" spans="1:256" s="1839" customFormat="1" ht="13.5" customHeight="1">
      <c r="A69" s="1851"/>
      <c r="B69" s="1852"/>
      <c r="C69" s="1853"/>
      <c r="D69" s="1841" t="s">
        <v>2592</v>
      </c>
      <c r="E69" s="1841"/>
      <c r="F69" s="1854">
        <f>(80.99)</f>
        <v>80.989999999999995</v>
      </c>
      <c r="G69" s="1836"/>
      <c r="H69" s="1836"/>
      <c r="I69" s="1855"/>
      <c r="J69" s="1861"/>
      <c r="K69" s="1856"/>
      <c r="L69" s="1858"/>
      <c r="M69" s="1858"/>
      <c r="N69" s="1858"/>
      <c r="O69" s="1858"/>
      <c r="P69" s="1840"/>
      <c r="Q69" s="1840"/>
      <c r="R69" s="1840"/>
      <c r="S69" s="1840"/>
      <c r="V69" s="1840"/>
      <c r="W69" s="1840"/>
      <c r="X69" s="1840"/>
      <c r="Y69" s="1840"/>
      <c r="Z69" s="1840"/>
      <c r="AA69" s="1840"/>
      <c r="AB69" s="1840"/>
      <c r="AC69" s="1840"/>
      <c r="AD69" s="1840"/>
      <c r="AE69" s="1840"/>
      <c r="AF69" s="1840"/>
      <c r="AG69" s="1840"/>
      <c r="AH69" s="1840"/>
      <c r="AI69" s="1840"/>
      <c r="AJ69" s="1840"/>
      <c r="AK69" s="1840"/>
      <c r="AL69" s="1840"/>
      <c r="AM69" s="1840"/>
      <c r="AN69" s="1840"/>
      <c r="AO69" s="1840"/>
      <c r="AP69" s="1840"/>
      <c r="AQ69" s="1840"/>
      <c r="AR69" s="1840"/>
      <c r="AS69" s="1840"/>
      <c r="AT69" s="1840"/>
      <c r="AU69" s="1840"/>
      <c r="AV69" s="1840"/>
      <c r="AW69" s="1840"/>
      <c r="AX69" s="1840"/>
      <c r="AY69" s="1840"/>
      <c r="AZ69" s="1840"/>
      <c r="BA69" s="1840"/>
      <c r="BB69" s="1840"/>
      <c r="BC69" s="1840"/>
      <c r="BD69" s="1840"/>
      <c r="BE69" s="1840"/>
      <c r="BF69" s="1840"/>
      <c r="BG69" s="1840"/>
      <c r="BH69" s="1840"/>
      <c r="BI69" s="1840"/>
      <c r="BJ69" s="1840"/>
      <c r="BK69" s="1840"/>
      <c r="BL69" s="1840"/>
      <c r="BM69" s="1840"/>
      <c r="BN69" s="1840"/>
      <c r="BO69" s="1840"/>
      <c r="BP69" s="1840"/>
      <c r="BQ69" s="1840"/>
      <c r="BR69" s="1840"/>
      <c r="BS69" s="1840"/>
      <c r="BT69" s="1840"/>
      <c r="BU69" s="1840"/>
      <c r="BV69" s="1840"/>
      <c r="BW69" s="1840"/>
      <c r="BX69" s="1840"/>
      <c r="BY69" s="1840"/>
      <c r="BZ69" s="1840"/>
      <c r="CA69" s="1840"/>
      <c r="CB69" s="1840"/>
      <c r="CC69" s="1840"/>
      <c r="CD69" s="1840"/>
      <c r="CE69" s="1840"/>
      <c r="CF69" s="1840"/>
      <c r="CG69" s="1840"/>
      <c r="CH69" s="1840"/>
      <c r="CI69" s="1840"/>
      <c r="CJ69" s="1840"/>
      <c r="CK69" s="1840"/>
      <c r="CL69" s="1840"/>
      <c r="CM69" s="1840"/>
      <c r="CN69" s="1840"/>
      <c r="CO69" s="1840"/>
      <c r="CP69" s="1840"/>
      <c r="CQ69" s="1840"/>
      <c r="CR69" s="1840"/>
      <c r="CS69" s="1840"/>
      <c r="CT69" s="1840"/>
      <c r="CU69" s="1840"/>
      <c r="CV69" s="1840"/>
      <c r="CW69" s="1840"/>
      <c r="CX69" s="1840"/>
      <c r="CY69" s="1840"/>
      <c r="CZ69" s="1840"/>
      <c r="DA69" s="1840"/>
      <c r="DB69" s="1840"/>
      <c r="DC69" s="1840"/>
      <c r="DD69" s="1840"/>
      <c r="DE69" s="1840"/>
      <c r="DF69" s="1840"/>
      <c r="DG69" s="1840"/>
      <c r="DH69" s="1840"/>
      <c r="DI69" s="1840"/>
      <c r="DJ69" s="1840"/>
      <c r="DK69" s="1840"/>
      <c r="DL69" s="1840"/>
      <c r="DM69" s="1840"/>
      <c r="DN69" s="1840"/>
      <c r="DO69" s="1840"/>
      <c r="DP69" s="1840"/>
      <c r="DQ69" s="1840"/>
      <c r="DR69" s="1840"/>
      <c r="DS69" s="1840"/>
      <c r="DT69" s="1840"/>
      <c r="DU69" s="1840"/>
      <c r="DV69" s="1840"/>
      <c r="DW69" s="1840"/>
      <c r="DX69" s="1840"/>
      <c r="DY69" s="1840"/>
      <c r="DZ69" s="1840"/>
      <c r="EA69" s="1840"/>
      <c r="EB69" s="1840"/>
      <c r="EC69" s="1840"/>
      <c r="ED69" s="1840"/>
      <c r="EE69" s="1840"/>
      <c r="EF69" s="1840"/>
      <c r="EG69" s="1840"/>
      <c r="EH69" s="1840"/>
      <c r="EI69" s="1840"/>
      <c r="EJ69" s="1840"/>
      <c r="EK69" s="1840"/>
      <c r="EL69" s="1840"/>
      <c r="EM69" s="1840"/>
      <c r="EN69" s="1840"/>
      <c r="EO69" s="1840"/>
      <c r="EP69" s="1840"/>
      <c r="EQ69" s="1840"/>
      <c r="ER69" s="1840"/>
      <c r="ES69" s="1840"/>
      <c r="ET69" s="1840"/>
      <c r="EU69" s="1840"/>
      <c r="EV69" s="1840"/>
      <c r="EW69" s="1840"/>
      <c r="EX69" s="1840"/>
      <c r="EY69" s="1840"/>
      <c r="EZ69" s="1840"/>
      <c r="FA69" s="1840"/>
      <c r="FB69" s="1840"/>
      <c r="FC69" s="1840"/>
      <c r="FD69" s="1840"/>
      <c r="FE69" s="1840"/>
      <c r="FF69" s="1840"/>
      <c r="FG69" s="1840"/>
      <c r="FH69" s="1840"/>
      <c r="FI69" s="1840"/>
      <c r="FJ69" s="1840"/>
      <c r="FK69" s="1840"/>
      <c r="FL69" s="1840"/>
      <c r="FM69" s="1840"/>
      <c r="FN69" s="1840"/>
      <c r="FO69" s="1840"/>
      <c r="FP69" s="1840"/>
      <c r="FQ69" s="1840"/>
      <c r="FR69" s="1840"/>
      <c r="FS69" s="1840"/>
      <c r="FT69" s="1840"/>
      <c r="FU69" s="1840"/>
      <c r="FV69" s="1840"/>
      <c r="FW69" s="1840"/>
      <c r="FX69" s="1840"/>
      <c r="FY69" s="1840"/>
      <c r="FZ69" s="1840"/>
      <c r="GA69" s="1840"/>
      <c r="GB69" s="1840"/>
      <c r="GC69" s="1840"/>
      <c r="GD69" s="1840"/>
      <c r="GE69" s="1840"/>
      <c r="GF69" s="1840"/>
      <c r="GG69" s="1840"/>
      <c r="GH69" s="1840"/>
      <c r="GI69" s="1840"/>
      <c r="GJ69" s="1840"/>
      <c r="GK69" s="1840"/>
      <c r="GL69" s="1840"/>
      <c r="GM69" s="1840"/>
      <c r="GN69" s="1840"/>
      <c r="GO69" s="1840"/>
      <c r="GP69" s="1840"/>
      <c r="GQ69" s="1840"/>
      <c r="GR69" s="1840"/>
      <c r="GS69" s="1840"/>
      <c r="GT69" s="1840"/>
      <c r="GU69" s="1840"/>
      <c r="GV69" s="1840"/>
      <c r="GW69" s="1840"/>
      <c r="GX69" s="1840"/>
      <c r="GY69" s="1840"/>
      <c r="GZ69" s="1840"/>
      <c r="HA69" s="1840"/>
      <c r="HB69" s="1840"/>
      <c r="HC69" s="1840"/>
      <c r="HD69" s="1840"/>
      <c r="HE69" s="1840"/>
      <c r="HF69" s="1840"/>
      <c r="HG69" s="1840"/>
      <c r="HH69" s="1840"/>
      <c r="HI69" s="1840"/>
      <c r="HJ69" s="1840"/>
      <c r="HK69" s="1840"/>
      <c r="HL69" s="1840"/>
      <c r="HM69" s="1840"/>
      <c r="HN69" s="1840"/>
      <c r="HO69" s="1840"/>
      <c r="HP69" s="1840"/>
      <c r="HQ69" s="1840"/>
      <c r="HR69" s="1840"/>
      <c r="HS69" s="1840"/>
      <c r="HT69" s="1840"/>
      <c r="HU69" s="1840"/>
      <c r="HV69" s="1840"/>
      <c r="HW69" s="1840"/>
      <c r="HX69" s="1840"/>
      <c r="HY69" s="1840"/>
      <c r="HZ69" s="1840"/>
      <c r="IA69" s="1840"/>
      <c r="IB69" s="1840"/>
      <c r="IC69" s="1840"/>
      <c r="ID69" s="1840"/>
      <c r="IE69" s="1840"/>
      <c r="IF69" s="1840"/>
      <c r="IG69" s="1840"/>
      <c r="IH69" s="1840"/>
      <c r="II69" s="1840"/>
      <c r="IJ69" s="1840"/>
      <c r="IK69" s="1840"/>
      <c r="IL69" s="1840"/>
      <c r="IM69" s="1840"/>
      <c r="IN69" s="1840"/>
      <c r="IO69" s="1840"/>
      <c r="IP69" s="1840"/>
      <c r="IQ69" s="1840"/>
      <c r="IR69" s="1840"/>
      <c r="IS69" s="1840"/>
      <c r="IT69" s="1840"/>
      <c r="IU69" s="1840"/>
      <c r="IV69" s="1840"/>
    </row>
    <row r="70" spans="1:256" s="1839" customFormat="1" ht="13.5" customHeight="1">
      <c r="A70" s="1851"/>
      <c r="B70" s="1852"/>
      <c r="C70" s="1853"/>
      <c r="D70" s="1841" t="s">
        <v>2593</v>
      </c>
      <c r="E70" s="1841"/>
      <c r="F70" s="1854">
        <f>-(F56*0.4)</f>
        <v>-55.941599999999994</v>
      </c>
      <c r="G70" s="1836"/>
      <c r="H70" s="1836"/>
      <c r="I70" s="1855"/>
      <c r="J70" s="1861"/>
      <c r="K70" s="1856"/>
      <c r="L70" s="1858"/>
      <c r="M70" s="1858"/>
      <c r="N70" s="1858"/>
      <c r="O70" s="1858"/>
      <c r="P70" s="1840"/>
      <c r="Q70" s="1840"/>
      <c r="R70" s="1840"/>
      <c r="S70" s="1840"/>
      <c r="V70" s="1840"/>
      <c r="W70" s="1840"/>
      <c r="X70" s="1840"/>
      <c r="Y70" s="1840"/>
      <c r="Z70" s="1840"/>
      <c r="AA70" s="1840"/>
      <c r="AB70" s="1840"/>
      <c r="AC70" s="1840"/>
      <c r="AD70" s="1840"/>
      <c r="AE70" s="1840"/>
      <c r="AF70" s="1840"/>
      <c r="AG70" s="1840"/>
      <c r="AH70" s="1840"/>
      <c r="AI70" s="1840"/>
      <c r="AJ70" s="1840"/>
      <c r="AK70" s="1840"/>
      <c r="AL70" s="1840"/>
      <c r="AM70" s="1840"/>
      <c r="AN70" s="1840"/>
      <c r="AO70" s="1840"/>
      <c r="AP70" s="1840"/>
      <c r="AQ70" s="1840"/>
      <c r="AR70" s="1840"/>
      <c r="AS70" s="1840"/>
      <c r="AT70" s="1840"/>
      <c r="AU70" s="1840"/>
      <c r="AV70" s="1840"/>
      <c r="AW70" s="1840"/>
      <c r="AX70" s="1840"/>
      <c r="AY70" s="1840"/>
      <c r="AZ70" s="1840"/>
      <c r="BA70" s="1840"/>
      <c r="BB70" s="1840"/>
      <c r="BC70" s="1840"/>
      <c r="BD70" s="1840"/>
      <c r="BE70" s="1840"/>
      <c r="BF70" s="1840"/>
      <c r="BG70" s="1840"/>
      <c r="BH70" s="1840"/>
      <c r="BI70" s="1840"/>
      <c r="BJ70" s="1840"/>
      <c r="BK70" s="1840"/>
      <c r="BL70" s="1840"/>
      <c r="BM70" s="1840"/>
      <c r="BN70" s="1840"/>
      <c r="BO70" s="1840"/>
      <c r="BP70" s="1840"/>
      <c r="BQ70" s="1840"/>
      <c r="BR70" s="1840"/>
      <c r="BS70" s="1840"/>
      <c r="BT70" s="1840"/>
      <c r="BU70" s="1840"/>
      <c r="BV70" s="1840"/>
      <c r="BW70" s="1840"/>
      <c r="BX70" s="1840"/>
      <c r="BY70" s="1840"/>
      <c r="BZ70" s="1840"/>
      <c r="CA70" s="1840"/>
      <c r="CB70" s="1840"/>
      <c r="CC70" s="1840"/>
      <c r="CD70" s="1840"/>
      <c r="CE70" s="1840"/>
      <c r="CF70" s="1840"/>
      <c r="CG70" s="1840"/>
      <c r="CH70" s="1840"/>
      <c r="CI70" s="1840"/>
      <c r="CJ70" s="1840"/>
      <c r="CK70" s="1840"/>
      <c r="CL70" s="1840"/>
      <c r="CM70" s="1840"/>
      <c r="CN70" s="1840"/>
      <c r="CO70" s="1840"/>
      <c r="CP70" s="1840"/>
      <c r="CQ70" s="1840"/>
      <c r="CR70" s="1840"/>
      <c r="CS70" s="1840"/>
      <c r="CT70" s="1840"/>
      <c r="CU70" s="1840"/>
      <c r="CV70" s="1840"/>
      <c r="CW70" s="1840"/>
      <c r="CX70" s="1840"/>
      <c r="CY70" s="1840"/>
      <c r="CZ70" s="1840"/>
      <c r="DA70" s="1840"/>
      <c r="DB70" s="1840"/>
      <c r="DC70" s="1840"/>
      <c r="DD70" s="1840"/>
      <c r="DE70" s="1840"/>
      <c r="DF70" s="1840"/>
      <c r="DG70" s="1840"/>
      <c r="DH70" s="1840"/>
      <c r="DI70" s="1840"/>
      <c r="DJ70" s="1840"/>
      <c r="DK70" s="1840"/>
      <c r="DL70" s="1840"/>
      <c r="DM70" s="1840"/>
      <c r="DN70" s="1840"/>
      <c r="DO70" s="1840"/>
      <c r="DP70" s="1840"/>
      <c r="DQ70" s="1840"/>
      <c r="DR70" s="1840"/>
      <c r="DS70" s="1840"/>
      <c r="DT70" s="1840"/>
      <c r="DU70" s="1840"/>
      <c r="DV70" s="1840"/>
      <c r="DW70" s="1840"/>
      <c r="DX70" s="1840"/>
      <c r="DY70" s="1840"/>
      <c r="DZ70" s="1840"/>
      <c r="EA70" s="1840"/>
      <c r="EB70" s="1840"/>
      <c r="EC70" s="1840"/>
      <c r="ED70" s="1840"/>
      <c r="EE70" s="1840"/>
      <c r="EF70" s="1840"/>
      <c r="EG70" s="1840"/>
      <c r="EH70" s="1840"/>
      <c r="EI70" s="1840"/>
      <c r="EJ70" s="1840"/>
      <c r="EK70" s="1840"/>
      <c r="EL70" s="1840"/>
      <c r="EM70" s="1840"/>
      <c r="EN70" s="1840"/>
      <c r="EO70" s="1840"/>
      <c r="EP70" s="1840"/>
      <c r="EQ70" s="1840"/>
      <c r="ER70" s="1840"/>
      <c r="ES70" s="1840"/>
      <c r="ET70" s="1840"/>
      <c r="EU70" s="1840"/>
      <c r="EV70" s="1840"/>
      <c r="EW70" s="1840"/>
      <c r="EX70" s="1840"/>
      <c r="EY70" s="1840"/>
      <c r="EZ70" s="1840"/>
      <c r="FA70" s="1840"/>
      <c r="FB70" s="1840"/>
      <c r="FC70" s="1840"/>
      <c r="FD70" s="1840"/>
      <c r="FE70" s="1840"/>
      <c r="FF70" s="1840"/>
      <c r="FG70" s="1840"/>
      <c r="FH70" s="1840"/>
      <c r="FI70" s="1840"/>
      <c r="FJ70" s="1840"/>
      <c r="FK70" s="1840"/>
      <c r="FL70" s="1840"/>
      <c r="FM70" s="1840"/>
      <c r="FN70" s="1840"/>
      <c r="FO70" s="1840"/>
      <c r="FP70" s="1840"/>
      <c r="FQ70" s="1840"/>
      <c r="FR70" s="1840"/>
      <c r="FS70" s="1840"/>
      <c r="FT70" s="1840"/>
      <c r="FU70" s="1840"/>
      <c r="FV70" s="1840"/>
      <c r="FW70" s="1840"/>
      <c r="FX70" s="1840"/>
      <c r="FY70" s="1840"/>
      <c r="FZ70" s="1840"/>
      <c r="GA70" s="1840"/>
      <c r="GB70" s="1840"/>
      <c r="GC70" s="1840"/>
      <c r="GD70" s="1840"/>
      <c r="GE70" s="1840"/>
      <c r="GF70" s="1840"/>
      <c r="GG70" s="1840"/>
      <c r="GH70" s="1840"/>
      <c r="GI70" s="1840"/>
      <c r="GJ70" s="1840"/>
      <c r="GK70" s="1840"/>
      <c r="GL70" s="1840"/>
      <c r="GM70" s="1840"/>
      <c r="GN70" s="1840"/>
      <c r="GO70" s="1840"/>
      <c r="GP70" s="1840"/>
      <c r="GQ70" s="1840"/>
      <c r="GR70" s="1840"/>
      <c r="GS70" s="1840"/>
      <c r="GT70" s="1840"/>
      <c r="GU70" s="1840"/>
      <c r="GV70" s="1840"/>
      <c r="GW70" s="1840"/>
      <c r="GX70" s="1840"/>
      <c r="GY70" s="1840"/>
      <c r="GZ70" s="1840"/>
      <c r="HA70" s="1840"/>
      <c r="HB70" s="1840"/>
      <c r="HC70" s="1840"/>
      <c r="HD70" s="1840"/>
      <c r="HE70" s="1840"/>
      <c r="HF70" s="1840"/>
      <c r="HG70" s="1840"/>
      <c r="HH70" s="1840"/>
      <c r="HI70" s="1840"/>
      <c r="HJ70" s="1840"/>
      <c r="HK70" s="1840"/>
      <c r="HL70" s="1840"/>
      <c r="HM70" s="1840"/>
      <c r="HN70" s="1840"/>
      <c r="HO70" s="1840"/>
      <c r="HP70" s="1840"/>
      <c r="HQ70" s="1840"/>
      <c r="HR70" s="1840"/>
      <c r="HS70" s="1840"/>
      <c r="HT70" s="1840"/>
      <c r="HU70" s="1840"/>
      <c r="HV70" s="1840"/>
      <c r="HW70" s="1840"/>
      <c r="HX70" s="1840"/>
      <c r="HY70" s="1840"/>
      <c r="HZ70" s="1840"/>
      <c r="IA70" s="1840"/>
      <c r="IB70" s="1840"/>
      <c r="IC70" s="1840"/>
      <c r="ID70" s="1840"/>
      <c r="IE70" s="1840"/>
      <c r="IF70" s="1840"/>
      <c r="IG70" s="1840"/>
      <c r="IH70" s="1840"/>
      <c r="II70" s="1840"/>
      <c r="IJ70" s="1840"/>
      <c r="IK70" s="1840"/>
      <c r="IL70" s="1840"/>
      <c r="IM70" s="1840"/>
      <c r="IN70" s="1840"/>
      <c r="IO70" s="1840"/>
      <c r="IP70" s="1840"/>
      <c r="IQ70" s="1840"/>
      <c r="IR70" s="1840"/>
      <c r="IS70" s="1840"/>
      <c r="IT70" s="1840"/>
      <c r="IU70" s="1840"/>
      <c r="IV70" s="1840"/>
    </row>
    <row r="71" spans="1:256" s="1291" customFormat="1" ht="13.5" customHeight="1">
      <c r="A71" s="1862"/>
      <c r="B71" s="1337"/>
      <c r="C71" s="220">
        <v>167151101</v>
      </c>
      <c r="D71" s="1343" t="s">
        <v>2594</v>
      </c>
      <c r="E71" s="1719" t="s">
        <v>147</v>
      </c>
      <c r="F71" s="1390">
        <f>F65</f>
        <v>37.567600000000013</v>
      </c>
      <c r="G71" s="2053"/>
      <c r="H71" s="933">
        <f t="shared" ref="H71:H76" si="1">F71*G71</f>
        <v>0</v>
      </c>
      <c r="I71" s="225" t="s">
        <v>138</v>
      </c>
      <c r="J71" s="238"/>
      <c r="K71" s="238"/>
      <c r="L71" s="195"/>
      <c r="M71" s="195"/>
      <c r="N71" s="195"/>
      <c r="O71" s="195"/>
      <c r="P71" s="195"/>
      <c r="Q71" s="195"/>
      <c r="R71" s="195"/>
      <c r="S71" s="236"/>
      <c r="V71" s="195"/>
    </row>
    <row r="72" spans="1:256" s="1291" customFormat="1" ht="13.5" customHeight="1">
      <c r="A72" s="1862"/>
      <c r="B72" s="1337"/>
      <c r="C72" s="220">
        <v>167151102</v>
      </c>
      <c r="D72" s="1343" t="s">
        <v>2595</v>
      </c>
      <c r="E72" s="1719" t="s">
        <v>147</v>
      </c>
      <c r="F72" s="1390">
        <f>F68</f>
        <v>25.048400000000001</v>
      </c>
      <c r="G72" s="2053"/>
      <c r="H72" s="933">
        <f t="shared" si="1"/>
        <v>0</v>
      </c>
      <c r="I72" s="225" t="s">
        <v>138</v>
      </c>
      <c r="J72" s="226"/>
      <c r="K72" s="226"/>
      <c r="L72" s="1863"/>
      <c r="M72" s="1863"/>
      <c r="N72" s="1863"/>
      <c r="Q72" s="1863"/>
      <c r="V72" s="228"/>
    </row>
    <row r="73" spans="1:256" s="1839" customFormat="1" ht="27" customHeight="1">
      <c r="A73" s="1864"/>
      <c r="B73" s="1834"/>
      <c r="C73" s="220">
        <v>162751117</v>
      </c>
      <c r="D73" s="1841" t="s">
        <v>2596</v>
      </c>
      <c r="E73" s="1865" t="s">
        <v>147</v>
      </c>
      <c r="F73" s="1866">
        <f>F65</f>
        <v>37.567600000000013</v>
      </c>
      <c r="G73" s="2054"/>
      <c r="H73" s="232">
        <f t="shared" si="1"/>
        <v>0</v>
      </c>
      <c r="I73" s="225" t="s">
        <v>138</v>
      </c>
      <c r="J73" s="226"/>
      <c r="K73" s="226"/>
      <c r="L73" s="233"/>
      <c r="M73" s="233"/>
      <c r="N73" s="233"/>
      <c r="O73" s="233"/>
      <c r="P73" s="233"/>
      <c r="Q73" s="233"/>
      <c r="R73" s="233"/>
      <c r="S73" s="234"/>
      <c r="V73" s="235"/>
      <c r="W73" s="1840"/>
      <c r="X73" s="1840"/>
      <c r="Y73" s="1840"/>
      <c r="Z73" s="1840"/>
      <c r="AA73" s="1840"/>
      <c r="AB73" s="1840"/>
      <c r="AC73" s="1840"/>
      <c r="AD73" s="1840"/>
      <c r="AE73" s="1840"/>
      <c r="AF73" s="1840"/>
      <c r="AG73" s="1840"/>
      <c r="AH73" s="1840"/>
      <c r="AI73" s="1840"/>
      <c r="AJ73" s="1840"/>
      <c r="AK73" s="1840"/>
      <c r="AL73" s="1840"/>
      <c r="AM73" s="1840"/>
      <c r="AN73" s="1840"/>
      <c r="AO73" s="1840"/>
      <c r="AP73" s="1840"/>
      <c r="AQ73" s="1840"/>
      <c r="AR73" s="1840"/>
      <c r="AS73" s="1840"/>
      <c r="AT73" s="1840"/>
      <c r="AU73" s="1840"/>
      <c r="AV73" s="1840"/>
      <c r="AW73" s="1840"/>
      <c r="AX73" s="1840"/>
      <c r="AY73" s="1840"/>
      <c r="AZ73" s="1840"/>
      <c r="BA73" s="1840"/>
      <c r="BB73" s="1840"/>
      <c r="BC73" s="1840"/>
      <c r="BD73" s="1840"/>
      <c r="BE73" s="1840"/>
      <c r="BF73" s="1840"/>
      <c r="BG73" s="1840"/>
      <c r="BH73" s="1840"/>
      <c r="BI73" s="1840"/>
      <c r="BJ73" s="1840"/>
      <c r="BK73" s="1840"/>
      <c r="BL73" s="1840"/>
      <c r="BM73" s="1840"/>
      <c r="BN73" s="1840"/>
      <c r="BO73" s="1840"/>
      <c r="BP73" s="1840"/>
      <c r="BQ73" s="1840"/>
      <c r="BR73" s="1840"/>
      <c r="BS73" s="1840"/>
      <c r="BT73" s="1840"/>
      <c r="BU73" s="1840"/>
      <c r="BV73" s="1840"/>
      <c r="BW73" s="1840"/>
      <c r="BX73" s="1840"/>
      <c r="BY73" s="1840"/>
      <c r="BZ73" s="1840"/>
      <c r="CA73" s="1840"/>
      <c r="CB73" s="1840"/>
      <c r="CC73" s="1840"/>
      <c r="CD73" s="1840"/>
      <c r="CE73" s="1840"/>
      <c r="CF73" s="1840"/>
      <c r="CG73" s="1840"/>
      <c r="CH73" s="1840"/>
      <c r="CI73" s="1840"/>
      <c r="CJ73" s="1840"/>
      <c r="CK73" s="1840"/>
      <c r="CL73" s="1840"/>
      <c r="CM73" s="1840"/>
      <c r="CN73" s="1840"/>
      <c r="CO73" s="1840"/>
      <c r="CP73" s="1840"/>
      <c r="CQ73" s="1840"/>
      <c r="CR73" s="1840"/>
      <c r="CS73" s="1840"/>
      <c r="CT73" s="1840"/>
      <c r="CU73" s="1840"/>
      <c r="CV73" s="1840"/>
      <c r="CW73" s="1840"/>
      <c r="CX73" s="1840"/>
      <c r="CY73" s="1840"/>
      <c r="CZ73" s="1840"/>
      <c r="DA73" s="1840"/>
      <c r="DB73" s="1840"/>
      <c r="DC73" s="1840"/>
      <c r="DD73" s="1840"/>
      <c r="DE73" s="1840"/>
      <c r="DF73" s="1840"/>
      <c r="DG73" s="1840"/>
      <c r="DH73" s="1840"/>
      <c r="DI73" s="1840"/>
      <c r="DJ73" s="1840"/>
      <c r="DK73" s="1840"/>
      <c r="DL73" s="1840"/>
      <c r="DM73" s="1840"/>
      <c r="DN73" s="1840"/>
      <c r="DO73" s="1840"/>
      <c r="DP73" s="1840"/>
      <c r="DQ73" s="1840"/>
      <c r="DR73" s="1840"/>
      <c r="DS73" s="1840"/>
      <c r="DT73" s="1840"/>
      <c r="DU73" s="1840"/>
      <c r="DV73" s="1840"/>
      <c r="DW73" s="1840"/>
      <c r="DX73" s="1840"/>
      <c r="DY73" s="1840"/>
      <c r="DZ73" s="1840"/>
      <c r="EA73" s="1840"/>
      <c r="EB73" s="1840"/>
      <c r="EC73" s="1840"/>
      <c r="ED73" s="1840"/>
      <c r="EE73" s="1840"/>
      <c r="EF73" s="1840"/>
      <c r="EG73" s="1840"/>
      <c r="EH73" s="1840"/>
      <c r="EI73" s="1840"/>
      <c r="EJ73" s="1840"/>
      <c r="EK73" s="1840"/>
      <c r="EL73" s="1840"/>
      <c r="EM73" s="1840"/>
      <c r="EN73" s="1840"/>
      <c r="EO73" s="1840"/>
      <c r="EP73" s="1840"/>
      <c r="EQ73" s="1840"/>
      <c r="ER73" s="1840"/>
      <c r="ES73" s="1840"/>
      <c r="ET73" s="1840"/>
      <c r="EU73" s="1840"/>
      <c r="EV73" s="1840"/>
      <c r="EW73" s="1840"/>
      <c r="EX73" s="1840"/>
      <c r="EY73" s="1840"/>
      <c r="EZ73" s="1840"/>
      <c r="FA73" s="1840"/>
      <c r="FB73" s="1840"/>
      <c r="FC73" s="1840"/>
      <c r="FD73" s="1840"/>
      <c r="FE73" s="1840"/>
      <c r="FF73" s="1840"/>
      <c r="FG73" s="1840"/>
      <c r="FH73" s="1840"/>
      <c r="FI73" s="1840"/>
      <c r="FJ73" s="1840"/>
      <c r="FK73" s="1840"/>
      <c r="FL73" s="1840"/>
      <c r="FM73" s="1840"/>
      <c r="FN73" s="1840"/>
      <c r="FO73" s="1840"/>
      <c r="FP73" s="1840"/>
      <c r="FQ73" s="1840"/>
      <c r="FR73" s="1840"/>
      <c r="FS73" s="1840"/>
      <c r="FT73" s="1840"/>
      <c r="FU73" s="1840"/>
      <c r="FV73" s="1840"/>
      <c r="FW73" s="1840"/>
      <c r="FX73" s="1840"/>
      <c r="FY73" s="1840"/>
      <c r="FZ73" s="1840"/>
      <c r="GA73" s="1840"/>
      <c r="GB73" s="1840"/>
      <c r="GC73" s="1840"/>
      <c r="GD73" s="1840"/>
      <c r="GE73" s="1840"/>
      <c r="GF73" s="1840"/>
      <c r="GG73" s="1840"/>
      <c r="GH73" s="1840"/>
      <c r="GI73" s="1840"/>
      <c r="GJ73" s="1840"/>
      <c r="GK73" s="1840"/>
      <c r="GL73" s="1840"/>
      <c r="GM73" s="1840"/>
      <c r="GN73" s="1840"/>
      <c r="GO73" s="1840"/>
      <c r="GP73" s="1840"/>
      <c r="GQ73" s="1840"/>
      <c r="GR73" s="1840"/>
      <c r="GS73" s="1840"/>
      <c r="GT73" s="1840"/>
      <c r="GU73" s="1840"/>
      <c r="GV73" s="1840"/>
      <c r="GW73" s="1840"/>
      <c r="GX73" s="1840"/>
      <c r="GY73" s="1840"/>
      <c r="GZ73" s="1840"/>
      <c r="HA73" s="1840"/>
      <c r="HB73" s="1840"/>
      <c r="HC73" s="1840"/>
      <c r="HD73" s="1840"/>
      <c r="HE73" s="1840"/>
      <c r="HF73" s="1840"/>
      <c r="HG73" s="1840"/>
      <c r="HH73" s="1840"/>
      <c r="HI73" s="1840"/>
      <c r="HJ73" s="1840"/>
      <c r="HK73" s="1840"/>
      <c r="HL73" s="1840"/>
      <c r="HM73" s="1840"/>
      <c r="HN73" s="1840"/>
      <c r="HO73" s="1840"/>
      <c r="HP73" s="1840"/>
      <c r="HQ73" s="1840"/>
      <c r="HR73" s="1840"/>
      <c r="HS73" s="1840"/>
      <c r="HT73" s="1840"/>
      <c r="HU73" s="1840"/>
      <c r="HV73" s="1840"/>
      <c r="HW73" s="1840"/>
      <c r="HX73" s="1840"/>
      <c r="HY73" s="1840"/>
      <c r="HZ73" s="1840"/>
      <c r="IA73" s="1840"/>
      <c r="IB73" s="1840"/>
      <c r="IC73" s="1840"/>
      <c r="ID73" s="1840"/>
      <c r="IE73" s="1840"/>
      <c r="IF73" s="1840"/>
      <c r="IG73" s="1840"/>
      <c r="IH73" s="1840"/>
      <c r="II73" s="1840"/>
      <c r="IJ73" s="1840"/>
      <c r="IK73" s="1840"/>
      <c r="IL73" s="1840"/>
      <c r="IM73" s="1840"/>
      <c r="IN73" s="1840"/>
      <c r="IO73" s="1840"/>
      <c r="IP73" s="1840"/>
      <c r="IQ73" s="1840"/>
      <c r="IR73" s="1840"/>
      <c r="IS73" s="1840"/>
      <c r="IT73" s="1840"/>
      <c r="IU73" s="1840"/>
      <c r="IV73" s="1840"/>
    </row>
    <row r="74" spans="1:256" s="1839" customFormat="1" ht="27" customHeight="1">
      <c r="A74" s="1864"/>
      <c r="B74" s="1834"/>
      <c r="C74" s="220">
        <v>162751137</v>
      </c>
      <c r="D74" s="1841" t="s">
        <v>195</v>
      </c>
      <c r="E74" s="1865" t="s">
        <v>147</v>
      </c>
      <c r="F74" s="1866">
        <v>352</v>
      </c>
      <c r="G74" s="2054"/>
      <c r="H74" s="232">
        <f t="shared" si="1"/>
        <v>0</v>
      </c>
      <c r="I74" s="225" t="s">
        <v>138</v>
      </c>
      <c r="J74" s="226"/>
      <c r="K74" s="226"/>
      <c r="L74" s="233"/>
      <c r="M74" s="233"/>
      <c r="N74" s="233"/>
      <c r="O74" s="233"/>
      <c r="P74" s="233"/>
      <c r="Q74" s="233"/>
      <c r="R74" s="233"/>
      <c r="S74" s="234"/>
      <c r="V74" s="235"/>
      <c r="W74" s="1840"/>
      <c r="X74" s="1840"/>
      <c r="Y74" s="1840"/>
      <c r="Z74" s="1840"/>
      <c r="AA74" s="1840"/>
      <c r="AB74" s="1840"/>
      <c r="AC74" s="1840"/>
      <c r="AD74" s="1840"/>
      <c r="AE74" s="1840"/>
      <c r="AF74" s="1840"/>
      <c r="AG74" s="1840"/>
      <c r="AH74" s="1840"/>
      <c r="AI74" s="1840"/>
      <c r="AJ74" s="1840"/>
      <c r="AK74" s="1840"/>
      <c r="AL74" s="1840"/>
      <c r="AM74" s="1840"/>
      <c r="AN74" s="1840"/>
      <c r="AO74" s="1840"/>
      <c r="AP74" s="1840"/>
      <c r="AQ74" s="1840"/>
      <c r="AR74" s="1840"/>
      <c r="AS74" s="1840"/>
      <c r="AT74" s="1840"/>
      <c r="AU74" s="1840"/>
      <c r="AV74" s="1840"/>
      <c r="AW74" s="1840"/>
      <c r="AX74" s="1840"/>
      <c r="AY74" s="1840"/>
      <c r="AZ74" s="1840"/>
      <c r="BA74" s="1840"/>
      <c r="BB74" s="1840"/>
      <c r="BC74" s="1840"/>
      <c r="BD74" s="1840"/>
      <c r="BE74" s="1840"/>
      <c r="BF74" s="1840"/>
      <c r="BG74" s="1840"/>
      <c r="BH74" s="1840"/>
      <c r="BI74" s="1840"/>
      <c r="BJ74" s="1840"/>
      <c r="BK74" s="1840"/>
      <c r="BL74" s="1840"/>
      <c r="BM74" s="1840"/>
      <c r="BN74" s="1840"/>
      <c r="BO74" s="1840"/>
      <c r="BP74" s="1840"/>
      <c r="BQ74" s="1840"/>
      <c r="BR74" s="1840"/>
      <c r="BS74" s="1840"/>
      <c r="BT74" s="1840"/>
      <c r="BU74" s="1840"/>
      <c r="BV74" s="1840"/>
      <c r="BW74" s="1840"/>
      <c r="BX74" s="1840"/>
      <c r="BY74" s="1840"/>
      <c r="BZ74" s="1840"/>
      <c r="CA74" s="1840"/>
      <c r="CB74" s="1840"/>
      <c r="CC74" s="1840"/>
      <c r="CD74" s="1840"/>
      <c r="CE74" s="1840"/>
      <c r="CF74" s="1840"/>
      <c r="CG74" s="1840"/>
      <c r="CH74" s="1840"/>
      <c r="CI74" s="1840"/>
      <c r="CJ74" s="1840"/>
      <c r="CK74" s="1840"/>
      <c r="CL74" s="1840"/>
      <c r="CM74" s="1840"/>
      <c r="CN74" s="1840"/>
      <c r="CO74" s="1840"/>
      <c r="CP74" s="1840"/>
      <c r="CQ74" s="1840"/>
      <c r="CR74" s="1840"/>
      <c r="CS74" s="1840"/>
      <c r="CT74" s="1840"/>
      <c r="CU74" s="1840"/>
      <c r="CV74" s="1840"/>
      <c r="CW74" s="1840"/>
      <c r="CX74" s="1840"/>
      <c r="CY74" s="1840"/>
      <c r="CZ74" s="1840"/>
      <c r="DA74" s="1840"/>
      <c r="DB74" s="1840"/>
      <c r="DC74" s="1840"/>
      <c r="DD74" s="1840"/>
      <c r="DE74" s="1840"/>
      <c r="DF74" s="1840"/>
      <c r="DG74" s="1840"/>
      <c r="DH74" s="1840"/>
      <c r="DI74" s="1840"/>
      <c r="DJ74" s="1840"/>
      <c r="DK74" s="1840"/>
      <c r="DL74" s="1840"/>
      <c r="DM74" s="1840"/>
      <c r="DN74" s="1840"/>
      <c r="DO74" s="1840"/>
      <c r="DP74" s="1840"/>
      <c r="DQ74" s="1840"/>
      <c r="DR74" s="1840"/>
      <c r="DS74" s="1840"/>
      <c r="DT74" s="1840"/>
      <c r="DU74" s="1840"/>
      <c r="DV74" s="1840"/>
      <c r="DW74" s="1840"/>
      <c r="DX74" s="1840"/>
      <c r="DY74" s="1840"/>
      <c r="DZ74" s="1840"/>
      <c r="EA74" s="1840"/>
      <c r="EB74" s="1840"/>
      <c r="EC74" s="1840"/>
      <c r="ED74" s="1840"/>
      <c r="EE74" s="1840"/>
      <c r="EF74" s="1840"/>
      <c r="EG74" s="1840"/>
      <c r="EH74" s="1840"/>
      <c r="EI74" s="1840"/>
      <c r="EJ74" s="1840"/>
      <c r="EK74" s="1840"/>
      <c r="EL74" s="1840"/>
      <c r="EM74" s="1840"/>
      <c r="EN74" s="1840"/>
      <c r="EO74" s="1840"/>
      <c r="EP74" s="1840"/>
      <c r="EQ74" s="1840"/>
      <c r="ER74" s="1840"/>
      <c r="ES74" s="1840"/>
      <c r="ET74" s="1840"/>
      <c r="EU74" s="1840"/>
      <c r="EV74" s="1840"/>
      <c r="EW74" s="1840"/>
      <c r="EX74" s="1840"/>
      <c r="EY74" s="1840"/>
      <c r="EZ74" s="1840"/>
      <c r="FA74" s="1840"/>
      <c r="FB74" s="1840"/>
      <c r="FC74" s="1840"/>
      <c r="FD74" s="1840"/>
      <c r="FE74" s="1840"/>
      <c r="FF74" s="1840"/>
      <c r="FG74" s="1840"/>
      <c r="FH74" s="1840"/>
      <c r="FI74" s="1840"/>
      <c r="FJ74" s="1840"/>
      <c r="FK74" s="1840"/>
      <c r="FL74" s="1840"/>
      <c r="FM74" s="1840"/>
      <c r="FN74" s="1840"/>
      <c r="FO74" s="1840"/>
      <c r="FP74" s="1840"/>
      <c r="FQ74" s="1840"/>
      <c r="FR74" s="1840"/>
      <c r="FS74" s="1840"/>
      <c r="FT74" s="1840"/>
      <c r="FU74" s="1840"/>
      <c r="FV74" s="1840"/>
      <c r="FW74" s="1840"/>
      <c r="FX74" s="1840"/>
      <c r="FY74" s="1840"/>
      <c r="FZ74" s="1840"/>
      <c r="GA74" s="1840"/>
      <c r="GB74" s="1840"/>
      <c r="GC74" s="1840"/>
      <c r="GD74" s="1840"/>
      <c r="GE74" s="1840"/>
      <c r="GF74" s="1840"/>
      <c r="GG74" s="1840"/>
      <c r="GH74" s="1840"/>
      <c r="GI74" s="1840"/>
      <c r="GJ74" s="1840"/>
      <c r="GK74" s="1840"/>
      <c r="GL74" s="1840"/>
      <c r="GM74" s="1840"/>
      <c r="GN74" s="1840"/>
      <c r="GO74" s="1840"/>
      <c r="GP74" s="1840"/>
      <c r="GQ74" s="1840"/>
      <c r="GR74" s="1840"/>
      <c r="GS74" s="1840"/>
      <c r="GT74" s="1840"/>
      <c r="GU74" s="1840"/>
      <c r="GV74" s="1840"/>
      <c r="GW74" s="1840"/>
      <c r="GX74" s="1840"/>
      <c r="GY74" s="1840"/>
      <c r="GZ74" s="1840"/>
      <c r="HA74" s="1840"/>
      <c r="HB74" s="1840"/>
      <c r="HC74" s="1840"/>
      <c r="HD74" s="1840"/>
      <c r="HE74" s="1840"/>
      <c r="HF74" s="1840"/>
      <c r="HG74" s="1840"/>
      <c r="HH74" s="1840"/>
      <c r="HI74" s="1840"/>
      <c r="HJ74" s="1840"/>
      <c r="HK74" s="1840"/>
      <c r="HL74" s="1840"/>
      <c r="HM74" s="1840"/>
      <c r="HN74" s="1840"/>
      <c r="HO74" s="1840"/>
      <c r="HP74" s="1840"/>
      <c r="HQ74" s="1840"/>
      <c r="HR74" s="1840"/>
      <c r="HS74" s="1840"/>
      <c r="HT74" s="1840"/>
      <c r="HU74" s="1840"/>
      <c r="HV74" s="1840"/>
      <c r="HW74" s="1840"/>
      <c r="HX74" s="1840"/>
      <c r="HY74" s="1840"/>
      <c r="HZ74" s="1840"/>
      <c r="IA74" s="1840"/>
      <c r="IB74" s="1840"/>
      <c r="IC74" s="1840"/>
      <c r="ID74" s="1840"/>
      <c r="IE74" s="1840"/>
      <c r="IF74" s="1840"/>
      <c r="IG74" s="1840"/>
      <c r="IH74" s="1840"/>
      <c r="II74" s="1840"/>
      <c r="IJ74" s="1840"/>
      <c r="IK74" s="1840"/>
      <c r="IL74" s="1840"/>
      <c r="IM74" s="1840"/>
      <c r="IN74" s="1840"/>
      <c r="IO74" s="1840"/>
      <c r="IP74" s="1840"/>
      <c r="IQ74" s="1840"/>
      <c r="IR74" s="1840"/>
      <c r="IS74" s="1840"/>
      <c r="IT74" s="1840"/>
      <c r="IU74" s="1840"/>
      <c r="IV74" s="1840"/>
    </row>
    <row r="75" spans="1:256" s="1291" customFormat="1" ht="27" customHeight="1">
      <c r="A75" s="1862"/>
      <c r="B75" s="1337"/>
      <c r="C75" s="220">
        <v>171251101</v>
      </c>
      <c r="D75" s="1841" t="s">
        <v>196</v>
      </c>
      <c r="E75" s="1719" t="s">
        <v>147</v>
      </c>
      <c r="F75" s="1390">
        <f>F63</f>
        <v>62.616000000000014</v>
      </c>
      <c r="G75" s="2054"/>
      <c r="H75" s="933">
        <f t="shared" si="1"/>
        <v>0</v>
      </c>
      <c r="I75" s="225" t="s">
        <v>138</v>
      </c>
      <c r="J75" s="226"/>
      <c r="K75" s="226"/>
      <c r="L75" s="195"/>
      <c r="M75" s="195"/>
      <c r="N75" s="195"/>
      <c r="O75" s="195"/>
      <c r="P75" s="195"/>
      <c r="Q75" s="195"/>
      <c r="R75" s="195"/>
      <c r="S75" s="236"/>
      <c r="U75" s="233"/>
      <c r="V75" s="195"/>
      <c r="W75" s="237"/>
    </row>
    <row r="76" spans="1:256" s="1291" customFormat="1" ht="13.5" customHeight="1">
      <c r="A76" s="1862"/>
      <c r="B76" s="1337"/>
      <c r="C76" s="220">
        <v>171201221</v>
      </c>
      <c r="D76" s="1343" t="s">
        <v>197</v>
      </c>
      <c r="E76" s="1719" t="s">
        <v>178</v>
      </c>
      <c r="F76" s="1390">
        <f>F63*2</f>
        <v>125.23200000000003</v>
      </c>
      <c r="G76" s="2053"/>
      <c r="H76" s="933">
        <f t="shared" si="1"/>
        <v>0</v>
      </c>
      <c r="I76" s="225" t="s">
        <v>138</v>
      </c>
      <c r="J76" s="238"/>
      <c r="K76" s="238"/>
      <c r="L76" s="195"/>
      <c r="M76" s="195"/>
      <c r="N76" s="195"/>
      <c r="O76" s="195"/>
      <c r="P76" s="195"/>
      <c r="Q76" s="195"/>
      <c r="R76" s="195"/>
      <c r="S76" s="236"/>
      <c r="V76" s="195"/>
    </row>
    <row r="77" spans="1:256" s="238" customFormat="1" ht="13.5" customHeight="1">
      <c r="A77" s="239"/>
      <c r="B77" s="240"/>
      <c r="C77" s="241"/>
      <c r="D77" s="242" t="s">
        <v>198</v>
      </c>
      <c r="E77" s="243"/>
      <c r="F77" s="1867"/>
      <c r="G77" s="244"/>
      <c r="H77" s="244"/>
      <c r="I77" s="245"/>
      <c r="J77" s="246"/>
      <c r="L77" s="195"/>
      <c r="M77" s="195"/>
      <c r="N77" s="195"/>
      <c r="O77" s="195"/>
      <c r="P77" s="195"/>
      <c r="Q77" s="195"/>
      <c r="R77" s="195"/>
      <c r="S77" s="236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  <c r="BW77" s="247"/>
      <c r="BX77" s="247"/>
      <c r="BY77" s="247"/>
      <c r="BZ77" s="247"/>
      <c r="CA77" s="247"/>
      <c r="CB77" s="247"/>
      <c r="CC77" s="247"/>
      <c r="CD77" s="247"/>
      <c r="CE77" s="247"/>
      <c r="CF77" s="247"/>
      <c r="CG77" s="247"/>
      <c r="CH77" s="247"/>
      <c r="CI77" s="247"/>
      <c r="CJ77" s="247"/>
      <c r="CK77" s="247"/>
      <c r="CL77" s="247"/>
      <c r="CM77" s="247"/>
      <c r="CN77" s="247"/>
      <c r="CO77" s="247"/>
      <c r="CP77" s="247"/>
      <c r="CQ77" s="247"/>
      <c r="CR77" s="247"/>
      <c r="CS77" s="247"/>
      <c r="CT77" s="247"/>
      <c r="CU77" s="247"/>
      <c r="CV77" s="247"/>
      <c r="CW77" s="247"/>
      <c r="CX77" s="247"/>
      <c r="CY77" s="247"/>
      <c r="CZ77" s="247"/>
      <c r="DA77" s="247"/>
      <c r="DB77" s="247"/>
      <c r="DC77" s="247"/>
      <c r="DD77" s="247"/>
      <c r="DE77" s="247"/>
      <c r="DF77" s="247"/>
      <c r="DG77" s="247"/>
      <c r="DH77" s="247"/>
      <c r="DI77" s="247"/>
      <c r="DJ77" s="247"/>
      <c r="DK77" s="247"/>
      <c r="DL77" s="247"/>
      <c r="DM77" s="247"/>
      <c r="DN77" s="247"/>
      <c r="DO77" s="247"/>
      <c r="DP77" s="247"/>
      <c r="DQ77" s="247"/>
      <c r="DR77" s="247"/>
      <c r="DS77" s="247"/>
      <c r="DT77" s="247"/>
      <c r="DU77" s="247"/>
      <c r="DV77" s="247"/>
      <c r="DW77" s="247"/>
      <c r="DX77" s="247"/>
      <c r="DY77" s="247"/>
      <c r="DZ77" s="247"/>
      <c r="EA77" s="247"/>
      <c r="EB77" s="247"/>
      <c r="EC77" s="247"/>
      <c r="ED77" s="247"/>
      <c r="EE77" s="247"/>
      <c r="EF77" s="247"/>
      <c r="EG77" s="247"/>
      <c r="EH77" s="247"/>
      <c r="EI77" s="247"/>
      <c r="EJ77" s="247"/>
      <c r="EK77" s="247"/>
      <c r="EL77" s="247"/>
      <c r="EM77" s="247"/>
      <c r="EN77" s="247"/>
      <c r="EO77" s="247"/>
      <c r="EP77" s="247"/>
      <c r="EQ77" s="247"/>
      <c r="ER77" s="247"/>
      <c r="ES77" s="247"/>
      <c r="ET77" s="247"/>
      <c r="EU77" s="247"/>
      <c r="EV77" s="247"/>
      <c r="EW77" s="247"/>
      <c r="EX77" s="247"/>
      <c r="EY77" s="247"/>
      <c r="EZ77" s="247"/>
      <c r="FA77" s="247"/>
      <c r="FB77" s="247"/>
      <c r="FC77" s="247"/>
      <c r="FD77" s="247"/>
      <c r="FE77" s="247"/>
      <c r="FF77" s="247"/>
      <c r="FG77" s="247"/>
      <c r="FH77" s="247"/>
      <c r="FI77" s="247"/>
      <c r="FJ77" s="247"/>
      <c r="FK77" s="247"/>
      <c r="FL77" s="247"/>
      <c r="FM77" s="247"/>
      <c r="FN77" s="247"/>
      <c r="FO77" s="247"/>
      <c r="FP77" s="247"/>
      <c r="FQ77" s="247"/>
      <c r="FR77" s="247"/>
      <c r="FS77" s="247"/>
      <c r="FT77" s="247"/>
      <c r="FU77" s="247"/>
      <c r="FV77" s="247"/>
      <c r="FW77" s="247"/>
      <c r="FX77" s="247"/>
      <c r="FY77" s="247"/>
      <c r="FZ77" s="247"/>
      <c r="GA77" s="247"/>
      <c r="GB77" s="247"/>
      <c r="GC77" s="247"/>
      <c r="GD77" s="247"/>
      <c r="GE77" s="247"/>
      <c r="GF77" s="247"/>
      <c r="GG77" s="247"/>
      <c r="GH77" s="247"/>
      <c r="GI77" s="247"/>
      <c r="GJ77" s="247"/>
      <c r="GK77" s="247"/>
      <c r="GL77" s="247"/>
      <c r="GM77" s="247"/>
      <c r="GN77" s="247"/>
      <c r="GO77" s="247"/>
      <c r="GP77" s="247"/>
      <c r="GQ77" s="247"/>
      <c r="GR77" s="247"/>
      <c r="GS77" s="247"/>
      <c r="GT77" s="247"/>
      <c r="GU77" s="247"/>
      <c r="GV77" s="247"/>
      <c r="GW77" s="247"/>
      <c r="GX77" s="247"/>
      <c r="GY77" s="247"/>
      <c r="GZ77" s="247"/>
      <c r="HA77" s="247"/>
      <c r="HB77" s="247"/>
      <c r="HC77" s="247"/>
      <c r="HD77" s="247"/>
      <c r="HE77" s="247"/>
      <c r="HF77" s="247"/>
      <c r="HG77" s="247"/>
      <c r="HH77" s="247"/>
      <c r="HI77" s="247"/>
      <c r="HJ77" s="247"/>
      <c r="HK77" s="247"/>
      <c r="HL77" s="247"/>
      <c r="HM77" s="247"/>
      <c r="HN77" s="247"/>
      <c r="HO77" s="247"/>
      <c r="HP77" s="247"/>
      <c r="HQ77" s="247"/>
      <c r="HR77" s="247"/>
      <c r="HS77" s="247"/>
      <c r="HT77" s="247"/>
      <c r="HU77" s="247"/>
      <c r="HV77" s="247"/>
      <c r="HW77" s="247"/>
      <c r="HX77" s="247"/>
      <c r="HY77" s="247"/>
      <c r="HZ77" s="247"/>
      <c r="IA77" s="247"/>
      <c r="IB77" s="247"/>
      <c r="IC77" s="247"/>
      <c r="ID77" s="247"/>
      <c r="IE77" s="247"/>
      <c r="IF77" s="247"/>
      <c r="IG77" s="247"/>
      <c r="IH77" s="247"/>
      <c r="II77" s="247"/>
      <c r="IJ77" s="247"/>
      <c r="IK77" s="247"/>
      <c r="IL77" s="247"/>
      <c r="IM77" s="247"/>
      <c r="IN77" s="247"/>
      <c r="IO77" s="247"/>
      <c r="IP77" s="247"/>
      <c r="IQ77" s="247"/>
      <c r="IR77" s="247"/>
      <c r="IS77" s="247"/>
      <c r="IT77" s="247"/>
      <c r="IU77" s="247"/>
      <c r="IV77" s="247"/>
    </row>
    <row r="78" spans="1:256" s="1291" customFormat="1" ht="27" customHeight="1">
      <c r="A78" s="1862"/>
      <c r="B78" s="1337"/>
      <c r="C78" s="1337"/>
      <c r="D78" s="1343" t="s">
        <v>2597</v>
      </c>
      <c r="E78" s="1719"/>
      <c r="F78" s="1390"/>
      <c r="G78" s="1390"/>
      <c r="H78" s="933"/>
      <c r="I78" s="1345"/>
      <c r="J78" s="1658"/>
    </row>
    <row r="79" spans="1:256" s="1839" customFormat="1" ht="81" customHeight="1">
      <c r="A79" s="1851"/>
      <c r="B79" s="1852"/>
      <c r="C79" s="1853"/>
      <c r="D79" s="251" t="s">
        <v>2598</v>
      </c>
      <c r="E79" s="1841"/>
      <c r="F79" s="1866"/>
      <c r="G79" s="1836"/>
      <c r="H79" s="1836"/>
      <c r="I79" s="1868"/>
      <c r="L79" s="1840"/>
      <c r="M79" s="1840"/>
      <c r="N79" s="1840"/>
      <c r="O79" s="1840"/>
      <c r="P79" s="1840"/>
      <c r="Q79" s="1840"/>
      <c r="R79" s="1840"/>
      <c r="S79" s="1840"/>
      <c r="T79" s="1840"/>
      <c r="U79" s="1840"/>
      <c r="V79" s="1840"/>
      <c r="W79" s="1840"/>
      <c r="X79" s="1840"/>
      <c r="Y79" s="1840"/>
      <c r="Z79" s="1840"/>
      <c r="AA79" s="1840"/>
      <c r="AB79" s="1840"/>
      <c r="AC79" s="1840"/>
      <c r="AD79" s="1840"/>
      <c r="AE79" s="1840"/>
      <c r="AF79" s="1840"/>
      <c r="AG79" s="1840"/>
      <c r="AH79" s="1840"/>
      <c r="AI79" s="1840"/>
      <c r="AJ79" s="1840"/>
      <c r="AK79" s="1840"/>
      <c r="AL79" s="1840"/>
      <c r="AM79" s="1840"/>
      <c r="AN79" s="1840"/>
      <c r="AO79" s="1840"/>
      <c r="AP79" s="1840"/>
      <c r="AQ79" s="1840"/>
      <c r="AR79" s="1840"/>
      <c r="AS79" s="1840"/>
      <c r="AT79" s="1840"/>
      <c r="AU79" s="1840"/>
      <c r="AV79" s="1840"/>
      <c r="AW79" s="1840"/>
      <c r="AX79" s="1840"/>
      <c r="AY79" s="1840"/>
      <c r="AZ79" s="1840"/>
      <c r="BA79" s="1840"/>
      <c r="BB79" s="1840"/>
      <c r="BC79" s="1840"/>
      <c r="BD79" s="1840"/>
      <c r="BE79" s="1840"/>
      <c r="BF79" s="1840"/>
      <c r="BG79" s="1840"/>
      <c r="BH79" s="1840"/>
      <c r="BI79" s="1840"/>
      <c r="BJ79" s="1840"/>
      <c r="BK79" s="1840"/>
      <c r="BL79" s="1840"/>
      <c r="BM79" s="1840"/>
      <c r="BN79" s="1840"/>
      <c r="BO79" s="1840"/>
      <c r="BP79" s="1840"/>
      <c r="BQ79" s="1840"/>
      <c r="BR79" s="1840"/>
      <c r="BS79" s="1840"/>
      <c r="BT79" s="1840"/>
      <c r="BU79" s="1840"/>
      <c r="BV79" s="1840"/>
      <c r="BW79" s="1840"/>
      <c r="BX79" s="1840"/>
      <c r="BY79" s="1840"/>
      <c r="BZ79" s="1840"/>
      <c r="CA79" s="1840"/>
      <c r="CB79" s="1840"/>
      <c r="CC79" s="1840"/>
      <c r="CD79" s="1840"/>
      <c r="CE79" s="1840"/>
      <c r="CF79" s="1840"/>
      <c r="CG79" s="1840"/>
      <c r="CH79" s="1840"/>
      <c r="CI79" s="1840"/>
      <c r="CJ79" s="1840"/>
      <c r="CK79" s="1840"/>
      <c r="CL79" s="1840"/>
      <c r="CM79" s="1840"/>
      <c r="CN79" s="1840"/>
      <c r="CO79" s="1840"/>
      <c r="CP79" s="1840"/>
      <c r="CQ79" s="1840"/>
      <c r="CR79" s="1840"/>
      <c r="CS79" s="1840"/>
      <c r="CT79" s="1840"/>
      <c r="CU79" s="1840"/>
      <c r="CV79" s="1840"/>
      <c r="CW79" s="1840"/>
      <c r="CX79" s="1840"/>
      <c r="CY79" s="1840"/>
      <c r="CZ79" s="1840"/>
      <c r="DA79" s="1840"/>
      <c r="DB79" s="1840"/>
      <c r="DC79" s="1840"/>
      <c r="DD79" s="1840"/>
      <c r="DE79" s="1840"/>
      <c r="DF79" s="1840"/>
      <c r="DG79" s="1840"/>
      <c r="DH79" s="1840"/>
      <c r="DI79" s="1840"/>
      <c r="DJ79" s="1840"/>
      <c r="DK79" s="1840"/>
      <c r="DL79" s="1840"/>
      <c r="DM79" s="1840"/>
      <c r="DN79" s="1840"/>
      <c r="DO79" s="1840"/>
      <c r="DP79" s="1840"/>
      <c r="DQ79" s="1840"/>
      <c r="DR79" s="1840"/>
      <c r="DS79" s="1840"/>
      <c r="DT79" s="1840"/>
      <c r="DU79" s="1840"/>
      <c r="DV79" s="1840"/>
      <c r="DW79" s="1840"/>
      <c r="DX79" s="1840"/>
      <c r="DY79" s="1840"/>
      <c r="DZ79" s="1840"/>
      <c r="EA79" s="1840"/>
      <c r="EB79" s="1840"/>
      <c r="EC79" s="1840"/>
      <c r="ED79" s="1840"/>
      <c r="EE79" s="1840"/>
      <c r="EF79" s="1840"/>
      <c r="EG79" s="1840"/>
      <c r="EH79" s="1840"/>
      <c r="EI79" s="1840"/>
      <c r="EJ79" s="1840"/>
      <c r="EK79" s="1840"/>
      <c r="EL79" s="1840"/>
      <c r="EM79" s="1840"/>
      <c r="EN79" s="1840"/>
      <c r="EO79" s="1840"/>
      <c r="EP79" s="1840"/>
      <c r="EQ79" s="1840"/>
      <c r="ER79" s="1840"/>
      <c r="ES79" s="1840"/>
      <c r="ET79" s="1840"/>
      <c r="EU79" s="1840"/>
      <c r="EV79" s="1840"/>
      <c r="EW79" s="1840"/>
      <c r="EX79" s="1840"/>
      <c r="EY79" s="1840"/>
      <c r="EZ79" s="1840"/>
      <c r="FA79" s="1840"/>
      <c r="FB79" s="1840"/>
      <c r="FC79" s="1840"/>
      <c r="FD79" s="1840"/>
      <c r="FE79" s="1840"/>
      <c r="FF79" s="1840"/>
      <c r="FG79" s="1840"/>
      <c r="FH79" s="1840"/>
      <c r="FI79" s="1840"/>
      <c r="FJ79" s="1840"/>
      <c r="FK79" s="1840"/>
      <c r="FL79" s="1840"/>
      <c r="FM79" s="1840"/>
      <c r="FN79" s="1840"/>
      <c r="FO79" s="1840"/>
      <c r="FP79" s="1840"/>
      <c r="FQ79" s="1840"/>
      <c r="FR79" s="1840"/>
      <c r="FS79" s="1840"/>
      <c r="FT79" s="1840"/>
      <c r="FU79" s="1840"/>
      <c r="FV79" s="1840"/>
      <c r="FW79" s="1840"/>
      <c r="FX79" s="1840"/>
      <c r="FY79" s="1840"/>
      <c r="FZ79" s="1840"/>
      <c r="GA79" s="1840"/>
      <c r="GB79" s="1840"/>
      <c r="GC79" s="1840"/>
      <c r="GD79" s="1840"/>
      <c r="GE79" s="1840"/>
      <c r="GF79" s="1840"/>
      <c r="GG79" s="1840"/>
      <c r="GH79" s="1840"/>
      <c r="GI79" s="1840"/>
      <c r="GJ79" s="1840"/>
      <c r="GK79" s="1840"/>
      <c r="GL79" s="1840"/>
      <c r="GM79" s="1840"/>
      <c r="GN79" s="1840"/>
      <c r="GO79" s="1840"/>
      <c r="GP79" s="1840"/>
      <c r="GQ79" s="1840"/>
      <c r="GR79" s="1840"/>
      <c r="GS79" s="1840"/>
      <c r="GT79" s="1840"/>
      <c r="GU79" s="1840"/>
      <c r="GV79" s="1840"/>
      <c r="GW79" s="1840"/>
      <c r="GX79" s="1840"/>
      <c r="GY79" s="1840"/>
      <c r="GZ79" s="1840"/>
      <c r="HA79" s="1840"/>
      <c r="HB79" s="1840"/>
      <c r="HC79" s="1840"/>
      <c r="HD79" s="1840"/>
      <c r="HE79" s="1840"/>
      <c r="HF79" s="1840"/>
      <c r="HG79" s="1840"/>
      <c r="HH79" s="1840"/>
      <c r="HI79" s="1840"/>
      <c r="HJ79" s="1840"/>
      <c r="HK79" s="1840"/>
      <c r="HL79" s="1840"/>
      <c r="HM79" s="1840"/>
      <c r="HN79" s="1840"/>
      <c r="HO79" s="1840"/>
      <c r="HP79" s="1840"/>
      <c r="HQ79" s="1840"/>
      <c r="HR79" s="1840"/>
      <c r="HS79" s="1840"/>
      <c r="HT79" s="1840"/>
      <c r="HU79" s="1840"/>
      <c r="HV79" s="1840"/>
      <c r="HW79" s="1840"/>
      <c r="HX79" s="1840"/>
      <c r="HY79" s="1840"/>
      <c r="HZ79" s="1840"/>
      <c r="IA79" s="1840"/>
      <c r="IB79" s="1840"/>
      <c r="IC79" s="1840"/>
      <c r="ID79" s="1840"/>
      <c r="IE79" s="1840"/>
      <c r="IF79" s="1840"/>
      <c r="IG79" s="1840"/>
      <c r="IH79" s="1840"/>
      <c r="II79" s="1840"/>
      <c r="IJ79" s="1840"/>
      <c r="IK79" s="1840"/>
      <c r="IL79" s="1840"/>
      <c r="IM79" s="1840"/>
      <c r="IN79" s="1840"/>
      <c r="IO79" s="1840"/>
      <c r="IP79" s="1840"/>
      <c r="IQ79" s="1840"/>
      <c r="IR79" s="1840"/>
      <c r="IS79" s="1840"/>
      <c r="IT79" s="1840"/>
      <c r="IU79" s="1840"/>
      <c r="IV79" s="1840"/>
    </row>
    <row r="80" spans="1:256" s="1291" customFormat="1" ht="13.5" customHeight="1">
      <c r="A80" s="1335"/>
      <c r="B80" s="1337"/>
      <c r="C80" s="1364">
        <v>4</v>
      </c>
      <c r="D80" s="1364" t="s">
        <v>286</v>
      </c>
      <c r="E80" s="1364"/>
      <c r="F80" s="1869"/>
      <c r="G80" s="1597"/>
      <c r="H80" s="1597">
        <f>SUM(H81:H82)</f>
        <v>0</v>
      </c>
      <c r="I80" s="1345"/>
      <c r="L80" s="1870"/>
    </row>
    <row r="81" spans="1:23" s="1291" customFormat="1" ht="13.5" customHeight="1">
      <c r="A81" s="1810">
        <v>22</v>
      </c>
      <c r="B81" s="1811">
        <v>271</v>
      </c>
      <c r="C81" s="460">
        <v>451573111</v>
      </c>
      <c r="D81" s="460" t="s">
        <v>2599</v>
      </c>
      <c r="E81" s="1811" t="s">
        <v>147</v>
      </c>
      <c r="F81" s="1812">
        <f>SUM(F82:F82)</f>
        <v>17.0808</v>
      </c>
      <c r="G81" s="1011"/>
      <c r="H81" s="1011">
        <f>F81*G81</f>
        <v>0</v>
      </c>
      <c r="I81" s="153" t="s">
        <v>138</v>
      </c>
      <c r="J81" s="1813"/>
    </row>
    <row r="82" spans="1:23" s="174" customFormat="1" ht="27" customHeight="1">
      <c r="A82" s="168"/>
      <c r="B82" s="169"/>
      <c r="C82" s="170"/>
      <c r="D82" s="342" t="s">
        <v>2600</v>
      </c>
      <c r="E82" s="466"/>
      <c r="F82" s="1027">
        <f>(28.44+22.72+10.26+80.92)*0.8*0.15</f>
        <v>17.0808</v>
      </c>
      <c r="G82" s="171"/>
      <c r="H82" s="172"/>
      <c r="I82" s="173"/>
      <c r="J82" s="1315"/>
      <c r="U82" s="175"/>
      <c r="W82" s="175"/>
    </row>
    <row r="83" spans="1:23" s="1291" customFormat="1" ht="13.5" customHeight="1">
      <c r="A83" s="1335"/>
      <c r="B83" s="1337"/>
      <c r="C83" s="1364" t="s">
        <v>1184</v>
      </c>
      <c r="D83" s="1364" t="s">
        <v>1750</v>
      </c>
      <c r="E83" s="1364"/>
      <c r="F83" s="1869"/>
      <c r="G83" s="1597"/>
      <c r="H83" s="1597">
        <f>SUM(H84:H90)</f>
        <v>0</v>
      </c>
      <c r="I83" s="1345"/>
      <c r="L83" s="1870"/>
    </row>
    <row r="84" spans="1:23" s="195" customFormat="1" ht="13.5" customHeight="1">
      <c r="A84" s="1005">
        <v>23</v>
      </c>
      <c r="B84" s="460">
        <v>271</v>
      </c>
      <c r="C84" s="460" t="s">
        <v>2601</v>
      </c>
      <c r="D84" s="460" t="s">
        <v>2602</v>
      </c>
      <c r="E84" s="460" t="s">
        <v>210</v>
      </c>
      <c r="F84" s="1010">
        <f>F85</f>
        <v>9</v>
      </c>
      <c r="G84" s="1011"/>
      <c r="H84" s="1011">
        <f>F84*G84</f>
        <v>0</v>
      </c>
      <c r="I84" s="153" t="s">
        <v>111</v>
      </c>
      <c r="J84" s="1871"/>
    </row>
    <row r="85" spans="1:23" s="174" customFormat="1" ht="13.5" customHeight="1">
      <c r="A85" s="168"/>
      <c r="B85" s="169"/>
      <c r="C85" s="170"/>
      <c r="D85" s="342" t="s">
        <v>2603</v>
      </c>
      <c r="E85" s="466"/>
      <c r="F85" s="1027">
        <v>9</v>
      </c>
      <c r="G85" s="171"/>
      <c r="H85" s="172"/>
      <c r="I85" s="173"/>
      <c r="J85" s="1315"/>
      <c r="U85" s="175"/>
      <c r="W85" s="175"/>
    </row>
    <row r="86" spans="1:23" s="174" customFormat="1" ht="27" customHeight="1">
      <c r="A86" s="168"/>
      <c r="B86" s="169"/>
      <c r="C86" s="170"/>
      <c r="D86" s="342" t="s">
        <v>2604</v>
      </c>
      <c r="E86" s="466"/>
      <c r="F86" s="1027"/>
      <c r="G86" s="171"/>
      <c r="H86" s="172"/>
      <c r="I86" s="173"/>
      <c r="J86" s="1315"/>
      <c r="U86" s="175"/>
      <c r="W86" s="175"/>
    </row>
    <row r="87" spans="1:23" s="195" customFormat="1" ht="13.5" customHeight="1">
      <c r="A87" s="1005">
        <v>24</v>
      </c>
      <c r="B87" s="460">
        <v>271</v>
      </c>
      <c r="C87" s="460" t="s">
        <v>2605</v>
      </c>
      <c r="D87" s="460" t="s">
        <v>2606</v>
      </c>
      <c r="E87" s="460" t="s">
        <v>49</v>
      </c>
      <c r="F87" s="1010">
        <f>F88</f>
        <v>1</v>
      </c>
      <c r="G87" s="1011"/>
      <c r="H87" s="1011">
        <f>F87*G87</f>
        <v>0</v>
      </c>
      <c r="I87" s="153" t="s">
        <v>112</v>
      </c>
      <c r="J87" s="1871"/>
    </row>
    <row r="88" spans="1:23" s="174" customFormat="1" ht="27" customHeight="1">
      <c r="A88" s="168"/>
      <c r="B88" s="169"/>
      <c r="C88" s="170"/>
      <c r="D88" s="342" t="s">
        <v>2607</v>
      </c>
      <c r="E88" s="466"/>
      <c r="F88" s="1027">
        <v>1</v>
      </c>
      <c r="G88" s="171"/>
      <c r="H88" s="172"/>
      <c r="I88" s="173"/>
      <c r="J88" s="1315"/>
      <c r="U88" s="175"/>
      <c r="W88" s="175"/>
    </row>
    <row r="89" spans="1:23" s="174" customFormat="1" ht="13.5" customHeight="1">
      <c r="A89" s="168"/>
      <c r="B89" s="169"/>
      <c r="C89" s="170"/>
      <c r="D89" s="342" t="s">
        <v>2608</v>
      </c>
      <c r="E89" s="466"/>
      <c r="F89" s="1027"/>
      <c r="G89" s="171"/>
      <c r="H89" s="172"/>
      <c r="I89" s="173"/>
      <c r="J89" s="1315"/>
      <c r="U89" s="175"/>
      <c r="W89" s="175"/>
    </row>
    <row r="90" spans="1:23" s="174" customFormat="1" ht="27" customHeight="1">
      <c r="A90" s="168"/>
      <c r="B90" s="169"/>
      <c r="C90" s="170"/>
      <c r="D90" s="342" t="s">
        <v>2609</v>
      </c>
      <c r="E90" s="466"/>
      <c r="F90" s="1027"/>
      <c r="G90" s="171"/>
      <c r="H90" s="172"/>
      <c r="I90" s="173"/>
      <c r="J90" s="1315"/>
      <c r="U90" s="175"/>
      <c r="W90" s="175"/>
    </row>
    <row r="91" spans="1:23" s="1291" customFormat="1" ht="13.5" customHeight="1">
      <c r="A91" s="1335"/>
      <c r="B91" s="1337"/>
      <c r="C91" s="1364" t="s">
        <v>363</v>
      </c>
      <c r="D91" s="1364" t="s">
        <v>364</v>
      </c>
      <c r="E91" s="1364"/>
      <c r="F91" s="1869"/>
      <c r="G91" s="1597"/>
      <c r="H91" s="1597">
        <f>SUM(H92:H97)</f>
        <v>0</v>
      </c>
      <c r="I91" s="1345"/>
      <c r="L91" s="1870"/>
    </row>
    <row r="92" spans="1:23" s="1291" customFormat="1" ht="13.5" customHeight="1">
      <c r="A92" s="1810">
        <v>25</v>
      </c>
      <c r="B92" s="1811" t="s">
        <v>2610</v>
      </c>
      <c r="C92" s="1811" t="s">
        <v>2611</v>
      </c>
      <c r="D92" s="1811" t="s">
        <v>2612</v>
      </c>
      <c r="E92" s="1811" t="s">
        <v>49</v>
      </c>
      <c r="F92" s="1812">
        <f>SUM(F93:F93)</f>
        <v>1</v>
      </c>
      <c r="G92" s="1011"/>
      <c r="H92" s="1011">
        <f>F92*G92</f>
        <v>0</v>
      </c>
      <c r="I92" s="153" t="s">
        <v>112</v>
      </c>
      <c r="J92" s="1815"/>
      <c r="M92" s="1603"/>
    </row>
    <row r="93" spans="1:23" s="195" customFormat="1" ht="13.5" customHeight="1">
      <c r="A93" s="1005"/>
      <c r="B93" s="460"/>
      <c r="C93" s="466"/>
      <c r="D93" s="466" t="s">
        <v>2613</v>
      </c>
      <c r="E93" s="466"/>
      <c r="F93" s="1027">
        <v>1</v>
      </c>
      <c r="G93" s="1671"/>
      <c r="H93" s="1671"/>
      <c r="I93" s="153"/>
    </row>
    <row r="94" spans="1:23" s="195" customFormat="1" ht="27" customHeight="1">
      <c r="A94" s="1030" t="s">
        <v>2614</v>
      </c>
      <c r="B94" s="471" t="s">
        <v>2610</v>
      </c>
      <c r="C94" s="1337" t="s">
        <v>2615</v>
      </c>
      <c r="D94" s="460" t="s">
        <v>2616</v>
      </c>
      <c r="E94" s="460" t="s">
        <v>49</v>
      </c>
      <c r="F94" s="1010">
        <f>F95</f>
        <v>1</v>
      </c>
      <c r="G94" s="1011"/>
      <c r="H94" s="1011">
        <f>F94*G94</f>
        <v>0</v>
      </c>
      <c r="I94" s="153" t="s">
        <v>112</v>
      </c>
      <c r="J94" s="1683"/>
    </row>
    <row r="95" spans="1:23" s="195" customFormat="1" ht="27" customHeight="1">
      <c r="A95" s="1030"/>
      <c r="B95" s="471"/>
      <c r="C95" s="1337"/>
      <c r="D95" s="466" t="s">
        <v>2617</v>
      </c>
      <c r="E95" s="460"/>
      <c r="F95" s="1872">
        <v>1</v>
      </c>
      <c r="G95" s="1011"/>
      <c r="H95" s="1011"/>
      <c r="I95" s="153"/>
      <c r="J95" s="1683"/>
    </row>
    <row r="96" spans="1:23" s="1291" customFormat="1" ht="13.5" customHeight="1">
      <c r="A96" s="1810">
        <v>27</v>
      </c>
      <c r="B96" s="1811" t="s">
        <v>369</v>
      </c>
      <c r="C96" s="1811" t="s">
        <v>2618</v>
      </c>
      <c r="D96" s="1811" t="s">
        <v>2619</v>
      </c>
      <c r="E96" s="1811" t="s">
        <v>69</v>
      </c>
      <c r="F96" s="1812">
        <f>F97</f>
        <v>15</v>
      </c>
      <c r="G96" s="1011"/>
      <c r="H96" s="1011">
        <f>F96*G96</f>
        <v>0</v>
      </c>
      <c r="I96" s="153" t="s">
        <v>138</v>
      </c>
      <c r="J96" s="1683"/>
      <c r="K96" s="195"/>
      <c r="L96" s="195"/>
      <c r="M96" s="195"/>
      <c r="N96" s="195"/>
      <c r="O96" s="195"/>
      <c r="P96" s="195"/>
      <c r="Q96" s="195"/>
    </row>
    <row r="97" spans="1:23" s="174" customFormat="1" ht="27" customHeight="1">
      <c r="A97" s="168"/>
      <c r="B97" s="169"/>
      <c r="C97" s="170"/>
      <c r="D97" s="342" t="s">
        <v>372</v>
      </c>
      <c r="E97" s="466"/>
      <c r="F97" s="1027">
        <v>15</v>
      </c>
      <c r="G97" s="171"/>
      <c r="H97" s="172"/>
      <c r="I97" s="173"/>
      <c r="J97" s="1315"/>
      <c r="U97" s="175"/>
      <c r="W97" s="175"/>
    </row>
    <row r="98" spans="1:23" ht="21" customHeight="1">
      <c r="A98" s="1298"/>
      <c r="B98" s="1299"/>
      <c r="C98" s="1299" t="s">
        <v>373</v>
      </c>
      <c r="D98" s="1299" t="s">
        <v>374</v>
      </c>
      <c r="E98" s="1299"/>
      <c r="F98" s="1300"/>
      <c r="G98" s="1301"/>
      <c r="H98" s="1301">
        <f>H99+H219+H384</f>
        <v>0</v>
      </c>
      <c r="I98" s="1302"/>
      <c r="J98" s="1303"/>
    </row>
    <row r="99" spans="1:23" s="1291" customFormat="1" ht="13.5" customHeight="1">
      <c r="A99" s="1363"/>
      <c r="B99" s="1364"/>
      <c r="C99" s="1364">
        <v>721</v>
      </c>
      <c r="D99" s="1364" t="s">
        <v>2620</v>
      </c>
      <c r="E99" s="1364"/>
      <c r="F99" s="1869"/>
      <c r="G99" s="1597"/>
      <c r="H99" s="1597">
        <f>SUM(H100:H218)</f>
        <v>0</v>
      </c>
      <c r="I99" s="1598"/>
    </row>
    <row r="100" spans="1:23" s="1291" customFormat="1" ht="13.5" customHeight="1">
      <c r="A100" s="1873">
        <v>28</v>
      </c>
      <c r="B100" s="1337">
        <v>721</v>
      </c>
      <c r="C100" s="1337">
        <v>721173401</v>
      </c>
      <c r="D100" s="1337" t="s">
        <v>2621</v>
      </c>
      <c r="E100" s="1337" t="s">
        <v>142</v>
      </c>
      <c r="F100" s="1666">
        <f>F102</f>
        <v>65.12</v>
      </c>
      <c r="G100" s="1339"/>
      <c r="H100" s="1339">
        <f>F100*G100</f>
        <v>0</v>
      </c>
      <c r="I100" s="1345" t="s">
        <v>1927</v>
      </c>
      <c r="J100" s="1874"/>
      <c r="O100" s="1361"/>
      <c r="P100" s="1361"/>
    </row>
    <row r="101" spans="1:23" s="1357" customFormat="1" ht="13.5" customHeight="1">
      <c r="A101" s="1359"/>
      <c r="B101" s="1352"/>
      <c r="C101" s="1352"/>
      <c r="D101" s="1343" t="s">
        <v>2622</v>
      </c>
      <c r="E101" s="1352"/>
      <c r="F101" s="1390"/>
      <c r="G101" s="1360"/>
      <c r="H101" s="1339"/>
      <c r="I101" s="1356"/>
    </row>
    <row r="102" spans="1:23" s="1357" customFormat="1" ht="13.5" customHeight="1">
      <c r="A102" s="1359"/>
      <c r="B102" s="1352"/>
      <c r="C102" s="1352"/>
      <c r="D102" s="1343" t="s">
        <v>2623</v>
      </c>
      <c r="E102" s="1352"/>
      <c r="F102" s="1390">
        <f>(59.2)*1.1</f>
        <v>65.12</v>
      </c>
      <c r="G102" s="1360"/>
      <c r="H102" s="1339"/>
      <c r="I102" s="1345"/>
    </row>
    <row r="103" spans="1:23" s="195" customFormat="1" ht="13.5" customHeight="1">
      <c r="A103" s="1005"/>
      <c r="B103" s="460"/>
      <c r="C103" s="1875"/>
      <c r="D103" s="466" t="s">
        <v>2624</v>
      </c>
      <c r="E103" s="1875"/>
      <c r="F103" s="1872"/>
      <c r="G103" s="1876"/>
      <c r="H103" s="1876"/>
      <c r="I103" s="1877"/>
      <c r="J103" s="1878"/>
      <c r="K103" s="1312"/>
      <c r="L103" s="1312"/>
    </row>
    <row r="104" spans="1:23" s="1291" customFormat="1" ht="13.5" customHeight="1">
      <c r="A104" s="1873">
        <v>29</v>
      </c>
      <c r="B104" s="1337">
        <v>721</v>
      </c>
      <c r="C104" s="1337">
        <v>721173402</v>
      </c>
      <c r="D104" s="1337" t="s">
        <v>2625</v>
      </c>
      <c r="E104" s="1337" t="s">
        <v>142</v>
      </c>
      <c r="F104" s="1666">
        <f>F106</f>
        <v>95.39200000000001</v>
      </c>
      <c r="G104" s="1339"/>
      <c r="H104" s="1339">
        <f>F104*G104</f>
        <v>0</v>
      </c>
      <c r="I104" s="1345" t="s">
        <v>1927</v>
      </c>
      <c r="J104" s="1874"/>
      <c r="O104" s="1361"/>
      <c r="P104" s="1361"/>
    </row>
    <row r="105" spans="1:23" s="1357" customFormat="1" ht="13.5" customHeight="1">
      <c r="A105" s="1359"/>
      <c r="B105" s="1352"/>
      <c r="C105" s="1352"/>
      <c r="D105" s="1343" t="s">
        <v>2622</v>
      </c>
      <c r="E105" s="1352"/>
      <c r="F105" s="1390"/>
      <c r="G105" s="1360"/>
      <c r="H105" s="1339"/>
      <c r="I105" s="1356"/>
    </row>
    <row r="106" spans="1:23" s="1357" customFormat="1" ht="13.5" customHeight="1">
      <c r="A106" s="1359"/>
      <c r="B106" s="1352"/>
      <c r="C106" s="1352"/>
      <c r="D106" s="1343" t="s">
        <v>2626</v>
      </c>
      <c r="E106" s="1352"/>
      <c r="F106" s="1390">
        <f>(86.72)*1.1</f>
        <v>95.39200000000001</v>
      </c>
      <c r="G106" s="1360"/>
      <c r="H106" s="1339"/>
      <c r="I106" s="1345"/>
    </row>
    <row r="107" spans="1:23" s="195" customFormat="1" ht="13.5" customHeight="1">
      <c r="A107" s="1005"/>
      <c r="B107" s="460"/>
      <c r="C107" s="1875"/>
      <c r="D107" s="466" t="s">
        <v>2624</v>
      </c>
      <c r="E107" s="1875"/>
      <c r="F107" s="1872"/>
      <c r="G107" s="1876"/>
      <c r="H107" s="1876"/>
      <c r="I107" s="1877"/>
      <c r="J107" s="1878"/>
      <c r="K107" s="1312"/>
      <c r="L107" s="1312"/>
    </row>
    <row r="108" spans="1:23" s="1291" customFormat="1" ht="13.5" customHeight="1">
      <c r="A108" s="1873">
        <v>30</v>
      </c>
      <c r="B108" s="1337">
        <v>721</v>
      </c>
      <c r="C108" s="1337">
        <v>721173403</v>
      </c>
      <c r="D108" s="1337" t="s">
        <v>2627</v>
      </c>
      <c r="E108" s="1337" t="s">
        <v>142</v>
      </c>
      <c r="F108" s="1666">
        <f>F110</f>
        <v>13.97</v>
      </c>
      <c r="G108" s="1339"/>
      <c r="H108" s="1339">
        <f>F108*G108</f>
        <v>0</v>
      </c>
      <c r="I108" s="1345" t="s">
        <v>1927</v>
      </c>
      <c r="J108" s="1874"/>
      <c r="O108" s="1361"/>
      <c r="P108" s="1361"/>
    </row>
    <row r="109" spans="1:23" s="1357" customFormat="1" ht="13.5" customHeight="1">
      <c r="A109" s="1359"/>
      <c r="B109" s="1352"/>
      <c r="C109" s="1352"/>
      <c r="D109" s="1343" t="s">
        <v>2622</v>
      </c>
      <c r="E109" s="1352"/>
      <c r="F109" s="1390"/>
      <c r="G109" s="1360"/>
      <c r="H109" s="1339"/>
      <c r="I109" s="1356"/>
    </row>
    <row r="110" spans="1:23" s="1357" customFormat="1" ht="13.5" customHeight="1">
      <c r="A110" s="1359"/>
      <c r="B110" s="1352"/>
      <c r="C110" s="1352"/>
      <c r="D110" s="1343" t="s">
        <v>2628</v>
      </c>
      <c r="E110" s="1352"/>
      <c r="F110" s="1390">
        <f>(12.7)*1.1</f>
        <v>13.97</v>
      </c>
      <c r="G110" s="1360"/>
      <c r="H110" s="1339"/>
      <c r="I110" s="1345"/>
    </row>
    <row r="111" spans="1:23" s="195" customFormat="1" ht="13.5" customHeight="1">
      <c r="A111" s="1005"/>
      <c r="B111" s="460"/>
      <c r="C111" s="1875"/>
      <c r="D111" s="466" t="s">
        <v>2624</v>
      </c>
      <c r="E111" s="1875"/>
      <c r="F111" s="1872"/>
      <c r="G111" s="1876"/>
      <c r="H111" s="1876"/>
      <c r="I111" s="1877"/>
      <c r="J111" s="1878"/>
      <c r="K111" s="1312"/>
      <c r="L111" s="1312"/>
    </row>
    <row r="112" spans="1:23" s="1291" customFormat="1" ht="13.5" customHeight="1">
      <c r="A112" s="1335">
        <v>31</v>
      </c>
      <c r="B112" s="1337">
        <v>721</v>
      </c>
      <c r="C112" s="1337">
        <v>721174042</v>
      </c>
      <c r="D112" s="1337" t="s">
        <v>2629</v>
      </c>
      <c r="E112" s="1337" t="s">
        <v>142</v>
      </c>
      <c r="F112" s="1666">
        <f>SUM(F114:F114)</f>
        <v>18.700000000000003</v>
      </c>
      <c r="G112" s="1339"/>
      <c r="H112" s="1339">
        <f>F112*G112</f>
        <v>0</v>
      </c>
      <c r="I112" s="1345" t="s">
        <v>1927</v>
      </c>
      <c r="J112" s="1874"/>
      <c r="O112" s="1361"/>
    </row>
    <row r="113" spans="1:18" s="1291" customFormat="1" ht="13.5" customHeight="1">
      <c r="A113" s="1711"/>
      <c r="B113" s="1343"/>
      <c r="C113" s="1343"/>
      <c r="D113" s="1343" t="s">
        <v>2630</v>
      </c>
      <c r="E113" s="1343"/>
      <c r="F113" s="1879"/>
      <c r="G113" s="1712"/>
      <c r="H113" s="1712"/>
      <c r="I113" s="1670"/>
      <c r="O113" s="1602"/>
      <c r="R113" s="1340"/>
    </row>
    <row r="114" spans="1:18" s="1291" customFormat="1" ht="13.5" customHeight="1">
      <c r="A114" s="1335"/>
      <c r="B114" s="1337"/>
      <c r="C114" s="1343"/>
      <c r="D114" s="1343" t="s">
        <v>2631</v>
      </c>
      <c r="E114" s="1343"/>
      <c r="F114" s="1390">
        <f>(17)*1.1</f>
        <v>18.700000000000003</v>
      </c>
      <c r="G114" s="1712"/>
      <c r="H114" s="1712"/>
      <c r="I114" s="1345"/>
      <c r="O114" s="1602"/>
    </row>
    <row r="115" spans="1:18" s="1291" customFormat="1" ht="13.5" customHeight="1">
      <c r="A115" s="1711"/>
      <c r="B115" s="1343"/>
      <c r="C115" s="1343"/>
      <c r="D115" s="466" t="s">
        <v>2624</v>
      </c>
      <c r="E115" s="1343"/>
      <c r="F115" s="1383"/>
      <c r="G115" s="1712"/>
      <c r="H115" s="1712"/>
      <c r="I115" s="1880"/>
      <c r="J115" s="1881"/>
      <c r="O115" s="1602"/>
      <c r="R115" s="1340"/>
    </row>
    <row r="116" spans="1:18" s="1291" customFormat="1" ht="13.5" customHeight="1">
      <c r="A116" s="1335">
        <v>32</v>
      </c>
      <c r="B116" s="1337">
        <v>721</v>
      </c>
      <c r="C116" s="1337">
        <v>721174043</v>
      </c>
      <c r="D116" s="1337" t="s">
        <v>2632</v>
      </c>
      <c r="E116" s="1337" t="s">
        <v>142</v>
      </c>
      <c r="F116" s="1666">
        <f>SUM(F118:F118)</f>
        <v>54.670000000000009</v>
      </c>
      <c r="G116" s="1339"/>
      <c r="H116" s="1339">
        <f>F116*G116</f>
        <v>0</v>
      </c>
      <c r="I116" s="1345" t="s">
        <v>1927</v>
      </c>
      <c r="J116" s="1874"/>
      <c r="O116" s="1361"/>
    </row>
    <row r="117" spans="1:18" s="1291" customFormat="1" ht="13.5" customHeight="1">
      <c r="A117" s="1711"/>
      <c r="B117" s="1343"/>
      <c r="C117" s="1343"/>
      <c r="D117" s="1343" t="s">
        <v>2630</v>
      </c>
      <c r="E117" s="1343"/>
      <c r="F117" s="1879"/>
      <c r="G117" s="1712"/>
      <c r="H117" s="1712"/>
      <c r="I117" s="1670"/>
      <c r="O117" s="1602"/>
      <c r="R117" s="1340"/>
    </row>
    <row r="118" spans="1:18" s="1291" customFormat="1" ht="13.5" customHeight="1">
      <c r="A118" s="1335"/>
      <c r="B118" s="1337"/>
      <c r="C118" s="1343"/>
      <c r="D118" s="1343" t="s">
        <v>2633</v>
      </c>
      <c r="E118" s="1343"/>
      <c r="F118" s="1390">
        <f>(49.7)*1.1</f>
        <v>54.670000000000009</v>
      </c>
      <c r="G118" s="1712"/>
      <c r="H118" s="1712"/>
      <c r="I118" s="1345"/>
      <c r="O118" s="1602"/>
    </row>
    <row r="119" spans="1:18" s="1291" customFormat="1" ht="13.5" customHeight="1">
      <c r="A119" s="1711"/>
      <c r="B119" s="1343"/>
      <c r="C119" s="1343"/>
      <c r="D119" s="466" t="s">
        <v>2624</v>
      </c>
      <c r="E119" s="1343"/>
      <c r="F119" s="1383"/>
      <c r="G119" s="1712"/>
      <c r="H119" s="1712"/>
      <c r="I119" s="1880"/>
      <c r="J119" s="1881"/>
      <c r="O119" s="1602"/>
      <c r="R119" s="1340"/>
    </row>
    <row r="120" spans="1:18" s="1291" customFormat="1" ht="13.5" customHeight="1">
      <c r="A120" s="1335">
        <v>33</v>
      </c>
      <c r="B120" s="1337">
        <v>721</v>
      </c>
      <c r="C120" s="1337">
        <v>721174044</v>
      </c>
      <c r="D120" s="1337" t="s">
        <v>2634</v>
      </c>
      <c r="E120" s="1337" t="s">
        <v>142</v>
      </c>
      <c r="F120" s="1666">
        <f>SUM(F122:F122)</f>
        <v>4.7300000000000004</v>
      </c>
      <c r="G120" s="1339"/>
      <c r="H120" s="1339">
        <f>F120*G120</f>
        <v>0</v>
      </c>
      <c r="I120" s="1345" t="s">
        <v>1927</v>
      </c>
      <c r="J120" s="1874"/>
      <c r="O120" s="1361"/>
    </row>
    <row r="121" spans="1:18" s="1291" customFormat="1" ht="13.5" customHeight="1">
      <c r="A121" s="1711"/>
      <c r="B121" s="1343"/>
      <c r="C121" s="1343"/>
      <c r="D121" s="1343" t="s">
        <v>2630</v>
      </c>
      <c r="E121" s="1343"/>
      <c r="F121" s="1879"/>
      <c r="G121" s="1712"/>
      <c r="H121" s="1712"/>
      <c r="I121" s="1670"/>
      <c r="O121" s="1602"/>
      <c r="R121" s="1340"/>
    </row>
    <row r="122" spans="1:18" s="1291" customFormat="1" ht="13.5" customHeight="1">
      <c r="A122" s="1335"/>
      <c r="B122" s="1337"/>
      <c r="C122" s="1343"/>
      <c r="D122" s="1343" t="s">
        <v>2635</v>
      </c>
      <c r="E122" s="1343"/>
      <c r="F122" s="1390">
        <f>(4.3)*1.1</f>
        <v>4.7300000000000004</v>
      </c>
      <c r="G122" s="1712"/>
      <c r="H122" s="1712"/>
      <c r="I122" s="1345"/>
      <c r="O122" s="1602"/>
    </row>
    <row r="123" spans="1:18" s="1291" customFormat="1" ht="13.5" customHeight="1">
      <c r="A123" s="1711"/>
      <c r="B123" s="1343"/>
      <c r="C123" s="1343"/>
      <c r="D123" s="466" t="s">
        <v>2624</v>
      </c>
      <c r="E123" s="1343"/>
      <c r="F123" s="1383"/>
      <c r="G123" s="1712"/>
      <c r="H123" s="1712"/>
      <c r="I123" s="1880"/>
      <c r="J123" s="1881"/>
      <c r="O123" s="1602"/>
      <c r="R123" s="1340"/>
    </row>
    <row r="124" spans="1:18" s="1291" customFormat="1" ht="13.5" customHeight="1">
      <c r="A124" s="1335">
        <v>34</v>
      </c>
      <c r="B124" s="1337">
        <v>721</v>
      </c>
      <c r="C124" s="1337">
        <v>721174045</v>
      </c>
      <c r="D124" s="1337" t="s">
        <v>2636</v>
      </c>
      <c r="E124" s="1337" t="s">
        <v>142</v>
      </c>
      <c r="F124" s="1666">
        <f>SUM(F126:F126)</f>
        <v>14.190000000000001</v>
      </c>
      <c r="G124" s="1339"/>
      <c r="H124" s="1339">
        <f>F124*G124</f>
        <v>0</v>
      </c>
      <c r="I124" s="1345" t="s">
        <v>1927</v>
      </c>
      <c r="J124" s="1874"/>
      <c r="O124" s="1361"/>
    </row>
    <row r="125" spans="1:18" s="1291" customFormat="1" ht="13.5" customHeight="1">
      <c r="A125" s="1711"/>
      <c r="B125" s="1343"/>
      <c r="C125" s="1343"/>
      <c r="D125" s="1343" t="s">
        <v>2630</v>
      </c>
      <c r="E125" s="1343"/>
      <c r="F125" s="1879"/>
      <c r="G125" s="1712"/>
      <c r="H125" s="1712"/>
      <c r="I125" s="1670"/>
      <c r="O125" s="1602"/>
      <c r="R125" s="1340"/>
    </row>
    <row r="126" spans="1:18" s="1291" customFormat="1" ht="13.5" customHeight="1">
      <c r="A126" s="1335"/>
      <c r="B126" s="1337"/>
      <c r="C126" s="1343"/>
      <c r="D126" s="1343" t="s">
        <v>2637</v>
      </c>
      <c r="E126" s="1343"/>
      <c r="F126" s="1390">
        <f>(12.9)*1.1</f>
        <v>14.190000000000001</v>
      </c>
      <c r="G126" s="1712"/>
      <c r="H126" s="1712"/>
      <c r="I126" s="1345"/>
      <c r="O126" s="1602"/>
    </row>
    <row r="127" spans="1:18" s="1291" customFormat="1" ht="13.5" customHeight="1">
      <c r="A127" s="1711"/>
      <c r="B127" s="1343"/>
      <c r="C127" s="1343"/>
      <c r="D127" s="466" t="s">
        <v>2624</v>
      </c>
      <c r="E127" s="1343"/>
      <c r="F127" s="1383"/>
      <c r="G127" s="1712"/>
      <c r="H127" s="1712"/>
      <c r="I127" s="1880"/>
      <c r="J127" s="1881"/>
      <c r="O127" s="1602"/>
      <c r="R127" s="1340"/>
    </row>
    <row r="128" spans="1:18" s="1291" customFormat="1" ht="13.5" customHeight="1">
      <c r="A128" s="1873">
        <v>35</v>
      </c>
      <c r="B128" s="1337">
        <v>721</v>
      </c>
      <c r="C128" s="1337">
        <v>721175211</v>
      </c>
      <c r="D128" s="1337" t="s">
        <v>2638</v>
      </c>
      <c r="E128" s="1337" t="s">
        <v>142</v>
      </c>
      <c r="F128" s="1666">
        <f>SUM(F130:F130)</f>
        <v>63.470000000000006</v>
      </c>
      <c r="G128" s="1339"/>
      <c r="H128" s="1339">
        <f>F128*G128</f>
        <v>0</v>
      </c>
      <c r="I128" s="1345" t="s">
        <v>1927</v>
      </c>
      <c r="J128" s="1881"/>
      <c r="O128" s="1340"/>
      <c r="P128" s="1361"/>
    </row>
    <row r="129" spans="1:20" s="1291" customFormat="1" ht="13.5" customHeight="1">
      <c r="A129" s="1711"/>
      <c r="B129" s="1343"/>
      <c r="C129" s="1343"/>
      <c r="D129" s="1343" t="s">
        <v>2639</v>
      </c>
      <c r="E129" s="1343"/>
      <c r="F129" s="1879"/>
      <c r="G129" s="1712"/>
      <c r="H129" s="1712"/>
      <c r="I129" s="1670"/>
      <c r="J129" s="1665"/>
      <c r="R129" s="1340"/>
    </row>
    <row r="130" spans="1:20" s="1291" customFormat="1" ht="13.5" customHeight="1">
      <c r="A130" s="1711"/>
      <c r="B130" s="1343"/>
      <c r="C130" s="1343"/>
      <c r="D130" s="1343" t="s">
        <v>2640</v>
      </c>
      <c r="E130" s="1343"/>
      <c r="F130" s="1390">
        <f>(57.7)*1.1</f>
        <v>63.470000000000006</v>
      </c>
      <c r="G130" s="1712"/>
      <c r="H130" s="1712"/>
      <c r="I130" s="1345"/>
      <c r="J130" s="1882"/>
      <c r="R130" s="1340"/>
    </row>
    <row r="131" spans="1:20" s="1291" customFormat="1" ht="13.5" customHeight="1">
      <c r="A131" s="1711"/>
      <c r="B131" s="1343"/>
      <c r="C131" s="1343"/>
      <c r="D131" s="466" t="s">
        <v>2624</v>
      </c>
      <c r="E131" s="1343"/>
      <c r="F131" s="1383"/>
      <c r="G131" s="1712"/>
      <c r="H131" s="1712"/>
      <c r="I131" s="1880"/>
      <c r="J131" s="1881"/>
      <c r="R131" s="1340"/>
    </row>
    <row r="132" spans="1:20" s="1291" customFormat="1" ht="13.5" customHeight="1">
      <c r="A132" s="1873">
        <v>36</v>
      </c>
      <c r="B132" s="1337">
        <v>721</v>
      </c>
      <c r="C132" s="1337">
        <v>721175212</v>
      </c>
      <c r="D132" s="1337" t="s">
        <v>2641</v>
      </c>
      <c r="E132" s="1337" t="s">
        <v>142</v>
      </c>
      <c r="F132" s="1666">
        <f>SUM(F134:F134)</f>
        <v>48.620000000000005</v>
      </c>
      <c r="G132" s="1339"/>
      <c r="H132" s="1339">
        <f>F132*G132</f>
        <v>0</v>
      </c>
      <c r="I132" s="1345" t="s">
        <v>1927</v>
      </c>
      <c r="J132" s="1881"/>
      <c r="O132" s="1340"/>
      <c r="P132" s="1361"/>
    </row>
    <row r="133" spans="1:20" s="1291" customFormat="1" ht="13.5" customHeight="1">
      <c r="A133" s="1711"/>
      <c r="B133" s="1343"/>
      <c r="C133" s="1343"/>
      <c r="D133" s="1343" t="s">
        <v>2639</v>
      </c>
      <c r="E133" s="1343"/>
      <c r="F133" s="1879"/>
      <c r="G133" s="1712"/>
      <c r="H133" s="1712"/>
      <c r="I133" s="1670"/>
      <c r="J133" s="1665"/>
      <c r="R133" s="1340"/>
    </row>
    <row r="134" spans="1:20" s="1291" customFormat="1" ht="13.5" customHeight="1">
      <c r="A134" s="1711"/>
      <c r="B134" s="1343"/>
      <c r="C134" s="1343"/>
      <c r="D134" s="1343" t="s">
        <v>2642</v>
      </c>
      <c r="E134" s="1343"/>
      <c r="F134" s="1390">
        <f>(44.2)*1.1</f>
        <v>48.620000000000005</v>
      </c>
      <c r="G134" s="1712"/>
      <c r="H134" s="1712"/>
      <c r="I134" s="1345"/>
      <c r="J134" s="1882"/>
      <c r="R134" s="1340"/>
    </row>
    <row r="135" spans="1:20" s="1291" customFormat="1" ht="13.5" customHeight="1">
      <c r="A135" s="1711"/>
      <c r="B135" s="1343"/>
      <c r="C135" s="1343"/>
      <c r="D135" s="466" t="s">
        <v>2624</v>
      </c>
      <c r="E135" s="1343"/>
      <c r="F135" s="1383"/>
      <c r="G135" s="1712"/>
      <c r="H135" s="1712"/>
      <c r="I135" s="1880"/>
      <c r="J135" s="1881"/>
      <c r="R135" s="1340"/>
    </row>
    <row r="136" spans="1:20" s="1368" customFormat="1" ht="13.5" customHeight="1">
      <c r="A136" s="1335">
        <v>37</v>
      </c>
      <c r="B136" s="1337">
        <v>721</v>
      </c>
      <c r="C136" s="1337" t="s">
        <v>2643</v>
      </c>
      <c r="D136" s="1337" t="s">
        <v>2644</v>
      </c>
      <c r="E136" s="1337" t="s">
        <v>142</v>
      </c>
      <c r="F136" s="1666">
        <f>SUM(F138:F138)</f>
        <v>21.12</v>
      </c>
      <c r="G136" s="1339"/>
      <c r="H136" s="1339">
        <f>F136*G136</f>
        <v>0</v>
      </c>
      <c r="I136" s="1345" t="s">
        <v>112</v>
      </c>
      <c r="J136" s="1883"/>
      <c r="K136" s="1884"/>
      <c r="L136" s="1884"/>
      <c r="M136" s="1884"/>
      <c r="N136" s="1884"/>
      <c r="O136" s="1884"/>
      <c r="P136" s="1448"/>
      <c r="Q136" s="1291"/>
      <c r="R136" s="1883"/>
      <c r="S136" s="1883"/>
      <c r="T136" s="1883"/>
    </row>
    <row r="137" spans="1:20" s="1368" customFormat="1" ht="13.5" customHeight="1">
      <c r="A137" s="1673"/>
      <c r="B137" s="1659"/>
      <c r="C137" s="1659"/>
      <c r="D137" s="1343" t="s">
        <v>2645</v>
      </c>
      <c r="E137" s="1659"/>
      <c r="F137" s="1879"/>
      <c r="G137" s="1712"/>
      <c r="H137" s="1712"/>
      <c r="I137" s="1670"/>
      <c r="J137" s="1883"/>
      <c r="K137" s="1884"/>
      <c r="L137" s="1884"/>
      <c r="M137" s="1884"/>
      <c r="N137" s="1884"/>
      <c r="O137" s="1884"/>
      <c r="P137" s="1448"/>
      <c r="Q137" s="1291"/>
      <c r="R137" s="1883"/>
      <c r="T137" s="1885"/>
    </row>
    <row r="138" spans="1:20" s="1368" customFormat="1" ht="13.5" customHeight="1">
      <c r="A138" s="1673"/>
      <c r="B138" s="1659"/>
      <c r="C138" s="1659"/>
      <c r="D138" s="1343" t="s">
        <v>2646</v>
      </c>
      <c r="E138" s="1659"/>
      <c r="F138" s="1879">
        <f>(19.2)*1.1</f>
        <v>21.12</v>
      </c>
      <c r="G138" s="1649"/>
      <c r="H138" s="1649"/>
      <c r="I138" s="1345"/>
      <c r="J138" s="1886"/>
    </row>
    <row r="139" spans="1:20" s="1368" customFormat="1" ht="13.5" customHeight="1">
      <c r="A139" s="1673"/>
      <c r="B139" s="1659"/>
      <c r="C139" s="1659"/>
      <c r="D139" s="1343" t="s">
        <v>2647</v>
      </c>
      <c r="E139" s="1659"/>
      <c r="F139" s="1598"/>
      <c r="G139" s="1649"/>
      <c r="H139" s="1649"/>
      <c r="I139" s="1670"/>
    </row>
    <row r="140" spans="1:20" s="1368" customFormat="1" ht="13.5" customHeight="1">
      <c r="A140" s="1335">
        <v>38</v>
      </c>
      <c r="B140" s="1337">
        <v>721</v>
      </c>
      <c r="C140" s="1337" t="s">
        <v>2648</v>
      </c>
      <c r="D140" s="1337" t="s">
        <v>2649</v>
      </c>
      <c r="E140" s="1337" t="s">
        <v>142</v>
      </c>
      <c r="F140" s="1666">
        <f>SUM(F142:F142)</f>
        <v>35.64</v>
      </c>
      <c r="G140" s="1339"/>
      <c r="H140" s="1339">
        <f>F140*G140</f>
        <v>0</v>
      </c>
      <c r="I140" s="1345" t="s">
        <v>112</v>
      </c>
      <c r="J140" s="1883"/>
      <c r="K140" s="1884"/>
      <c r="L140" s="1884"/>
      <c r="M140" s="1884"/>
      <c r="N140" s="1884"/>
      <c r="O140" s="1884"/>
      <c r="P140" s="1448"/>
      <c r="Q140" s="1291"/>
      <c r="R140" s="1883"/>
      <c r="S140" s="1883"/>
      <c r="T140" s="1883"/>
    </row>
    <row r="141" spans="1:20" s="1368" customFormat="1" ht="13.5" customHeight="1">
      <c r="A141" s="1673"/>
      <c r="B141" s="1659"/>
      <c r="C141" s="1659"/>
      <c r="D141" s="1343" t="s">
        <v>2645</v>
      </c>
      <c r="E141" s="1659"/>
      <c r="F141" s="1879"/>
      <c r="G141" s="1712"/>
      <c r="H141" s="1712"/>
      <c r="I141" s="1670"/>
      <c r="J141" s="1883"/>
      <c r="K141" s="1884"/>
      <c r="L141" s="1884"/>
      <c r="M141" s="1884"/>
      <c r="N141" s="1884"/>
      <c r="O141" s="1884"/>
      <c r="P141" s="1448"/>
      <c r="Q141" s="1291"/>
      <c r="R141" s="1883"/>
      <c r="T141" s="1885"/>
    </row>
    <row r="142" spans="1:20" s="1368" customFormat="1" ht="13.5" customHeight="1">
      <c r="A142" s="1673"/>
      <c r="B142" s="1659"/>
      <c r="C142" s="1659"/>
      <c r="D142" s="1343" t="s">
        <v>2650</v>
      </c>
      <c r="E142" s="1659"/>
      <c r="F142" s="1879">
        <f>(32.4)*1.1</f>
        <v>35.64</v>
      </c>
      <c r="G142" s="1649"/>
      <c r="H142" s="1649"/>
      <c r="I142" s="1598"/>
      <c r="J142" s="1886"/>
      <c r="K142" s="1885"/>
      <c r="L142" s="1885"/>
      <c r="M142" s="1885"/>
      <c r="N142" s="1885"/>
      <c r="O142" s="1885"/>
      <c r="P142" s="1885"/>
      <c r="Q142" s="1885"/>
      <c r="R142" s="1885"/>
      <c r="S142" s="1885"/>
      <c r="T142" s="1885"/>
    </row>
    <row r="143" spans="1:20" s="1368" customFormat="1" ht="13.5" customHeight="1">
      <c r="A143" s="1673"/>
      <c r="B143" s="1659"/>
      <c r="C143" s="1659"/>
      <c r="D143" s="1343" t="s">
        <v>2647</v>
      </c>
      <c r="E143" s="1659"/>
      <c r="F143" s="1598"/>
      <c r="G143" s="1649"/>
      <c r="H143" s="1649"/>
      <c r="I143" s="1345"/>
      <c r="J143" s="1885"/>
      <c r="K143" s="1885"/>
      <c r="L143" s="1885"/>
      <c r="M143" s="1885"/>
      <c r="N143" s="1885"/>
      <c r="O143" s="1885"/>
      <c r="P143" s="1885"/>
      <c r="Q143" s="1885"/>
      <c r="R143" s="1885"/>
      <c r="S143" s="1885"/>
      <c r="T143" s="1885"/>
    </row>
    <row r="144" spans="1:20" s="1368" customFormat="1" ht="13.5" customHeight="1">
      <c r="A144" s="1335">
        <v>39</v>
      </c>
      <c r="B144" s="1337">
        <v>721</v>
      </c>
      <c r="C144" s="1337" t="s">
        <v>2651</v>
      </c>
      <c r="D144" s="1337" t="s">
        <v>2652</v>
      </c>
      <c r="E144" s="1337" t="s">
        <v>142</v>
      </c>
      <c r="F144" s="1666">
        <f>SUM(F146:F146)</f>
        <v>4.7300000000000004</v>
      </c>
      <c r="G144" s="1339"/>
      <c r="H144" s="1339">
        <f>F144*G144</f>
        <v>0</v>
      </c>
      <c r="I144" s="1345" t="s">
        <v>112</v>
      </c>
      <c r="J144" s="1883"/>
      <c r="K144" s="1884"/>
      <c r="L144" s="1884"/>
      <c r="M144" s="1884"/>
      <c r="N144" s="1884"/>
      <c r="O144" s="1884"/>
      <c r="P144" s="1448"/>
      <c r="Q144" s="1291"/>
      <c r="R144" s="1883"/>
      <c r="S144" s="1883"/>
      <c r="T144" s="1883"/>
    </row>
    <row r="145" spans="1:256" s="1368" customFormat="1" ht="13.5" customHeight="1">
      <c r="A145" s="1673"/>
      <c r="B145" s="1659"/>
      <c r="C145" s="1659"/>
      <c r="D145" s="1343" t="s">
        <v>2645</v>
      </c>
      <c r="E145" s="1659"/>
      <c r="F145" s="1879"/>
      <c r="G145" s="1712"/>
      <c r="H145" s="1712"/>
      <c r="I145" s="1670"/>
      <c r="J145" s="1883"/>
      <c r="K145" s="1884"/>
      <c r="L145" s="1884"/>
      <c r="M145" s="1884"/>
      <c r="N145" s="1884"/>
      <c r="O145" s="1884"/>
      <c r="P145" s="1448"/>
      <c r="Q145" s="1291"/>
      <c r="R145" s="1883"/>
      <c r="T145" s="1885"/>
    </row>
    <row r="146" spans="1:256" s="1368" customFormat="1" ht="13.5" customHeight="1">
      <c r="A146" s="1673"/>
      <c r="B146" s="1659"/>
      <c r="C146" s="1659"/>
      <c r="D146" s="1343" t="s">
        <v>2635</v>
      </c>
      <c r="E146" s="1659"/>
      <c r="F146" s="1879">
        <f>(4.3)*1.1</f>
        <v>4.7300000000000004</v>
      </c>
      <c r="G146" s="1649"/>
      <c r="H146" s="1649"/>
      <c r="I146" s="1345"/>
      <c r="J146" s="1886"/>
    </row>
    <row r="147" spans="1:256" s="1368" customFormat="1" ht="13.5" customHeight="1">
      <c r="A147" s="1673"/>
      <c r="B147" s="1659"/>
      <c r="C147" s="1659"/>
      <c r="D147" s="1343" t="s">
        <v>2647</v>
      </c>
      <c r="E147" s="1659"/>
      <c r="F147" s="1598"/>
      <c r="G147" s="1649"/>
      <c r="H147" s="1649"/>
      <c r="I147" s="1670"/>
    </row>
    <row r="148" spans="1:256" s="1368" customFormat="1" ht="13.5" customHeight="1">
      <c r="A148" s="1335">
        <v>40</v>
      </c>
      <c r="B148" s="1336" t="s">
        <v>2048</v>
      </c>
      <c r="C148" s="1337" t="s">
        <v>2653</v>
      </c>
      <c r="D148" s="1337" t="s">
        <v>2654</v>
      </c>
      <c r="E148" s="1337" t="s">
        <v>210</v>
      </c>
      <c r="F148" s="1666">
        <f>SUM(F151:F153)</f>
        <v>6</v>
      </c>
      <c r="G148" s="1339"/>
      <c r="H148" s="1339">
        <f>F148*G148</f>
        <v>0</v>
      </c>
      <c r="I148" s="1345" t="s">
        <v>112</v>
      </c>
      <c r="J148" s="1887"/>
      <c r="K148" s="1602"/>
      <c r="L148" s="1602"/>
      <c r="M148" s="1602"/>
      <c r="N148" s="1602"/>
      <c r="O148" s="1602"/>
      <c r="P148" s="1885"/>
      <c r="Q148" s="1885"/>
      <c r="R148" s="1888"/>
      <c r="S148" s="1885"/>
      <c r="T148" s="1885"/>
      <c r="U148" s="1889"/>
      <c r="V148" s="1885"/>
      <c r="W148" s="1885"/>
      <c r="X148" s="1885"/>
      <c r="Y148" s="1885"/>
      <c r="Z148" s="1885"/>
      <c r="AA148" s="1885"/>
      <c r="AB148" s="1885"/>
      <c r="AC148" s="1885"/>
      <c r="AD148" s="1885"/>
      <c r="AE148" s="1885"/>
      <c r="AF148" s="1885"/>
      <c r="AG148" s="1885"/>
      <c r="AH148" s="1885"/>
      <c r="AI148" s="1885"/>
      <c r="AJ148" s="1885"/>
      <c r="AK148" s="1885"/>
      <c r="AL148" s="1885"/>
      <c r="AM148" s="1885"/>
      <c r="AN148" s="1885"/>
    </row>
    <row r="149" spans="1:256" s="1897" customFormat="1" ht="40.5" customHeight="1">
      <c r="A149" s="1890"/>
      <c r="B149" s="1891"/>
      <c r="C149" s="342"/>
      <c r="D149" s="342" t="s">
        <v>2655</v>
      </c>
      <c r="E149" s="342"/>
      <c r="F149" s="1892"/>
      <c r="G149" s="1893"/>
      <c r="H149" s="1893"/>
      <c r="I149" s="1894"/>
      <c r="J149" s="1895"/>
      <c r="K149" s="1896"/>
      <c r="L149" s="1896"/>
      <c r="P149" s="633"/>
      <c r="W149" s="1896"/>
    </row>
    <row r="150" spans="1:256" s="1904" customFormat="1" ht="13.5" customHeight="1">
      <c r="A150" s="1898"/>
      <c r="B150" s="1899"/>
      <c r="C150" s="1899"/>
      <c r="D150" s="1899" t="s">
        <v>2656</v>
      </c>
      <c r="E150" s="1899"/>
      <c r="F150" s="1900"/>
      <c r="G150" s="1901"/>
      <c r="H150" s="1901"/>
      <c r="I150" s="1894"/>
      <c r="J150" s="1902"/>
      <c r="K150" s="1291"/>
      <c r="L150" s="1291"/>
      <c r="M150" s="1291"/>
      <c r="N150" s="1291"/>
      <c r="O150" s="1291"/>
      <c r="P150" s="1291"/>
      <c r="Q150" s="1291"/>
      <c r="R150" s="1291"/>
      <c r="S150" s="1291"/>
      <c r="T150" s="1291"/>
      <c r="U150" s="1291"/>
      <c r="V150" s="1291"/>
      <c r="W150" s="1291"/>
      <c r="X150" s="1291"/>
      <c r="Y150" s="1291"/>
      <c r="Z150" s="1291"/>
      <c r="AA150" s="1291"/>
      <c r="AB150" s="1291"/>
      <c r="AC150" s="1291"/>
      <c r="AD150" s="1291"/>
      <c r="AE150" s="1291"/>
      <c r="AF150" s="1291"/>
      <c r="AG150" s="1291"/>
      <c r="AH150" s="1291"/>
      <c r="AI150" s="1291"/>
      <c r="AJ150" s="1291"/>
      <c r="AK150" s="1291"/>
      <c r="AL150" s="1291"/>
      <c r="AM150" s="1291"/>
      <c r="AN150" s="1291"/>
      <c r="AO150" s="1291"/>
      <c r="AP150" s="1291"/>
      <c r="AQ150" s="1291"/>
      <c r="AR150" s="1903"/>
      <c r="AS150" s="1903"/>
      <c r="AT150" s="1903"/>
      <c r="AU150" s="1903"/>
      <c r="AV150" s="1903"/>
      <c r="AW150" s="1903"/>
      <c r="AX150" s="1903"/>
      <c r="AY150" s="1903"/>
      <c r="AZ150" s="1903"/>
      <c r="BA150" s="1903"/>
      <c r="BB150" s="1903"/>
      <c r="BC150" s="1903"/>
      <c r="BD150" s="1903"/>
      <c r="BE150" s="1903"/>
      <c r="BF150" s="1903"/>
      <c r="BG150" s="1903"/>
      <c r="BH150" s="1903"/>
      <c r="BI150" s="1903"/>
      <c r="BJ150" s="1903"/>
      <c r="BK150" s="1903"/>
      <c r="BL150" s="1903"/>
      <c r="BM150" s="1903"/>
      <c r="BN150" s="1903"/>
      <c r="BO150" s="1903"/>
      <c r="BP150" s="1903"/>
      <c r="BQ150" s="1903"/>
      <c r="BR150" s="1903"/>
      <c r="BS150" s="1903"/>
      <c r="BT150" s="1903"/>
      <c r="BU150" s="1903"/>
      <c r="BV150" s="1903"/>
      <c r="BW150" s="1903"/>
      <c r="BX150" s="1903"/>
      <c r="BY150" s="1903"/>
      <c r="BZ150" s="1903"/>
      <c r="CA150" s="1903"/>
      <c r="CB150" s="1903"/>
      <c r="CC150" s="1903"/>
      <c r="CD150" s="1903"/>
      <c r="CE150" s="1903"/>
      <c r="CF150" s="1903"/>
      <c r="CG150" s="1903"/>
      <c r="CH150" s="1903"/>
      <c r="CI150" s="1903"/>
      <c r="CJ150" s="1903"/>
      <c r="CK150" s="1903"/>
      <c r="CL150" s="1903"/>
      <c r="CM150" s="1903"/>
      <c r="CN150" s="1903"/>
      <c r="CO150" s="1903"/>
      <c r="CP150" s="1903"/>
      <c r="CQ150" s="1903"/>
      <c r="CR150" s="1903"/>
      <c r="CS150" s="1903"/>
      <c r="CT150" s="1903"/>
      <c r="CU150" s="1903"/>
      <c r="CV150" s="1903"/>
      <c r="CW150" s="1903"/>
      <c r="CX150" s="1903"/>
      <c r="CY150" s="1903"/>
      <c r="CZ150" s="1903"/>
      <c r="DA150" s="1903"/>
      <c r="DB150" s="1903"/>
      <c r="DC150" s="1903"/>
      <c r="DD150" s="1903"/>
      <c r="DE150" s="1903"/>
      <c r="DF150" s="1903"/>
      <c r="DG150" s="1903"/>
      <c r="DH150" s="1903"/>
      <c r="DI150" s="1903"/>
      <c r="DJ150" s="1903"/>
      <c r="DK150" s="1903"/>
      <c r="DL150" s="1903"/>
      <c r="DM150" s="1903"/>
      <c r="DN150" s="1903"/>
      <c r="DO150" s="1903"/>
      <c r="DP150" s="1903"/>
      <c r="DQ150" s="1903"/>
      <c r="DR150" s="1903"/>
      <c r="DS150" s="1903"/>
      <c r="DT150" s="1903"/>
      <c r="DU150" s="1903"/>
      <c r="DV150" s="1903"/>
      <c r="DW150" s="1903"/>
      <c r="DX150" s="1903"/>
      <c r="DY150" s="1903"/>
      <c r="DZ150" s="1903"/>
      <c r="EA150" s="1903"/>
      <c r="EB150" s="1903"/>
      <c r="EC150" s="1903"/>
      <c r="ED150" s="1903"/>
      <c r="EE150" s="1903"/>
      <c r="EF150" s="1903"/>
      <c r="EG150" s="1903"/>
      <c r="EH150" s="1903"/>
      <c r="EI150" s="1903"/>
      <c r="EJ150" s="1903"/>
      <c r="EK150" s="1903"/>
      <c r="EL150" s="1903"/>
      <c r="EM150" s="1903"/>
      <c r="EN150" s="1903"/>
      <c r="EO150" s="1903"/>
      <c r="EP150" s="1903"/>
      <c r="EQ150" s="1903"/>
      <c r="ER150" s="1903"/>
      <c r="ES150" s="1903"/>
      <c r="ET150" s="1903"/>
      <c r="EU150" s="1903"/>
      <c r="EV150" s="1903"/>
      <c r="EW150" s="1903"/>
      <c r="EX150" s="1903"/>
      <c r="EY150" s="1903"/>
      <c r="EZ150" s="1903"/>
      <c r="FA150" s="1903"/>
      <c r="FB150" s="1903"/>
      <c r="FC150" s="1903"/>
      <c r="FD150" s="1903"/>
      <c r="FE150" s="1903"/>
      <c r="FF150" s="1903"/>
      <c r="FG150" s="1903"/>
      <c r="FH150" s="1903"/>
      <c r="FI150" s="1903"/>
      <c r="FJ150" s="1903"/>
      <c r="FK150" s="1903"/>
      <c r="FL150" s="1903"/>
      <c r="FM150" s="1903"/>
      <c r="FN150" s="1903"/>
      <c r="FO150" s="1903"/>
      <c r="FP150" s="1903"/>
      <c r="FQ150" s="1903"/>
      <c r="FR150" s="1903"/>
      <c r="FS150" s="1903"/>
      <c r="FT150" s="1903"/>
      <c r="FU150" s="1903"/>
      <c r="FV150" s="1903"/>
      <c r="FW150" s="1903"/>
      <c r="FX150" s="1903"/>
      <c r="FY150" s="1903"/>
      <c r="FZ150" s="1903"/>
      <c r="GA150" s="1903"/>
      <c r="GB150" s="1903"/>
      <c r="GC150" s="1903"/>
      <c r="GD150" s="1903"/>
      <c r="GE150" s="1903"/>
      <c r="GF150" s="1903"/>
      <c r="GG150" s="1903"/>
      <c r="GH150" s="1903"/>
      <c r="GI150" s="1903"/>
      <c r="GJ150" s="1903"/>
      <c r="GK150" s="1903"/>
      <c r="GL150" s="1903"/>
      <c r="GM150" s="1903"/>
      <c r="GN150" s="1903"/>
      <c r="GO150" s="1903"/>
      <c r="GP150" s="1903"/>
      <c r="GQ150" s="1903"/>
      <c r="GR150" s="1903"/>
      <c r="GS150" s="1903"/>
      <c r="GT150" s="1903"/>
      <c r="GU150" s="1903"/>
      <c r="GV150" s="1903"/>
      <c r="GW150" s="1903"/>
      <c r="GX150" s="1903"/>
      <c r="GY150" s="1903"/>
      <c r="GZ150" s="1903"/>
      <c r="HA150" s="1903"/>
      <c r="HB150" s="1903"/>
      <c r="HC150" s="1903"/>
      <c r="HD150" s="1903"/>
      <c r="HE150" s="1903"/>
      <c r="HF150" s="1903"/>
      <c r="HG150" s="1903"/>
      <c r="HH150" s="1903"/>
      <c r="HI150" s="1903"/>
      <c r="HJ150" s="1903"/>
      <c r="HK150" s="1903"/>
      <c r="HL150" s="1903"/>
      <c r="HM150" s="1903"/>
      <c r="HN150" s="1903"/>
      <c r="HO150" s="1903"/>
      <c r="HP150" s="1903"/>
      <c r="HQ150" s="1903"/>
      <c r="HR150" s="1903"/>
      <c r="HS150" s="1903"/>
      <c r="HT150" s="1903"/>
      <c r="HU150" s="1903"/>
      <c r="HV150" s="1903"/>
      <c r="HW150" s="1903"/>
      <c r="HX150" s="1903"/>
      <c r="HY150" s="1903"/>
      <c r="HZ150" s="1903"/>
      <c r="IA150" s="1903"/>
      <c r="IB150" s="1903"/>
      <c r="IC150" s="1903"/>
      <c r="ID150" s="1903"/>
      <c r="IE150" s="1903"/>
      <c r="IF150" s="1903"/>
      <c r="IG150" s="1903"/>
      <c r="IH150" s="1903"/>
      <c r="II150" s="1903"/>
      <c r="IJ150" s="1903"/>
      <c r="IK150" s="1903"/>
      <c r="IL150" s="1903"/>
      <c r="IM150" s="1903"/>
      <c r="IN150" s="1903"/>
      <c r="IO150" s="1903"/>
      <c r="IP150" s="1903"/>
      <c r="IQ150" s="1903"/>
      <c r="IR150" s="1903"/>
      <c r="IS150" s="1903"/>
      <c r="IT150" s="1903"/>
      <c r="IU150" s="1903"/>
      <c r="IV150" s="1903"/>
    </row>
    <row r="151" spans="1:256" s="1904" customFormat="1" ht="13.5" customHeight="1">
      <c r="A151" s="1898"/>
      <c r="B151" s="1899"/>
      <c r="C151" s="1899"/>
      <c r="D151" s="1899" t="s">
        <v>2657</v>
      </c>
      <c r="E151" s="1899"/>
      <c r="F151" s="1900">
        <v>3</v>
      </c>
      <c r="G151" s="1901"/>
      <c r="H151" s="1901"/>
      <c r="I151" s="1905"/>
      <c r="J151" s="1902"/>
      <c r="K151" s="1291"/>
      <c r="L151" s="1291"/>
      <c r="M151" s="1291"/>
      <c r="N151" s="1291"/>
      <c r="O151" s="1291"/>
      <c r="P151" s="1291"/>
      <c r="Q151" s="1291"/>
      <c r="R151" s="1291"/>
      <c r="S151" s="1291"/>
      <c r="T151" s="1291"/>
      <c r="U151" s="1291"/>
      <c r="V151" s="1291"/>
      <c r="W151" s="1291"/>
      <c r="X151" s="1291"/>
      <c r="Y151" s="1291"/>
      <c r="Z151" s="1291"/>
      <c r="AA151" s="1291"/>
      <c r="AB151" s="1291"/>
      <c r="AC151" s="1291"/>
      <c r="AD151" s="1291"/>
      <c r="AE151" s="1291"/>
      <c r="AF151" s="1291"/>
      <c r="AG151" s="1291"/>
      <c r="AH151" s="1291"/>
      <c r="AI151" s="1291"/>
      <c r="AJ151" s="1291"/>
      <c r="AK151" s="1291"/>
      <c r="AL151" s="1291"/>
      <c r="AM151" s="1291"/>
      <c r="AN151" s="1291"/>
      <c r="AO151" s="1291"/>
      <c r="AP151" s="1291"/>
      <c r="AQ151" s="1291"/>
      <c r="AR151" s="1903"/>
      <c r="AS151" s="1903"/>
      <c r="AT151" s="1903"/>
      <c r="AU151" s="1903"/>
      <c r="AV151" s="1903"/>
      <c r="AW151" s="1903"/>
      <c r="AX151" s="1903"/>
      <c r="AY151" s="1903"/>
      <c r="AZ151" s="1903"/>
      <c r="BA151" s="1903"/>
      <c r="BB151" s="1903"/>
      <c r="BC151" s="1903"/>
      <c r="BD151" s="1903"/>
      <c r="BE151" s="1903"/>
      <c r="BF151" s="1903"/>
      <c r="BG151" s="1903"/>
      <c r="BH151" s="1903"/>
      <c r="BI151" s="1903"/>
      <c r="BJ151" s="1903"/>
      <c r="BK151" s="1903"/>
      <c r="BL151" s="1903"/>
      <c r="BM151" s="1903"/>
      <c r="BN151" s="1903"/>
      <c r="BO151" s="1903"/>
      <c r="BP151" s="1903"/>
      <c r="BQ151" s="1903"/>
      <c r="BR151" s="1903"/>
      <c r="BS151" s="1903"/>
      <c r="BT151" s="1903"/>
      <c r="BU151" s="1903"/>
      <c r="BV151" s="1903"/>
      <c r="BW151" s="1903"/>
      <c r="BX151" s="1903"/>
      <c r="BY151" s="1903"/>
      <c r="BZ151" s="1903"/>
      <c r="CA151" s="1903"/>
      <c r="CB151" s="1903"/>
      <c r="CC151" s="1903"/>
      <c r="CD151" s="1903"/>
      <c r="CE151" s="1903"/>
      <c r="CF151" s="1903"/>
      <c r="CG151" s="1903"/>
      <c r="CH151" s="1903"/>
      <c r="CI151" s="1903"/>
      <c r="CJ151" s="1903"/>
      <c r="CK151" s="1903"/>
      <c r="CL151" s="1903"/>
      <c r="CM151" s="1903"/>
      <c r="CN151" s="1903"/>
      <c r="CO151" s="1903"/>
      <c r="CP151" s="1903"/>
      <c r="CQ151" s="1903"/>
      <c r="CR151" s="1903"/>
      <c r="CS151" s="1903"/>
      <c r="CT151" s="1903"/>
      <c r="CU151" s="1903"/>
      <c r="CV151" s="1903"/>
      <c r="CW151" s="1903"/>
      <c r="CX151" s="1903"/>
      <c r="CY151" s="1903"/>
      <c r="CZ151" s="1903"/>
      <c r="DA151" s="1903"/>
      <c r="DB151" s="1903"/>
      <c r="DC151" s="1903"/>
      <c r="DD151" s="1903"/>
      <c r="DE151" s="1903"/>
      <c r="DF151" s="1903"/>
      <c r="DG151" s="1903"/>
      <c r="DH151" s="1903"/>
      <c r="DI151" s="1903"/>
      <c r="DJ151" s="1903"/>
      <c r="DK151" s="1903"/>
      <c r="DL151" s="1903"/>
      <c r="DM151" s="1903"/>
      <c r="DN151" s="1903"/>
      <c r="DO151" s="1903"/>
      <c r="DP151" s="1903"/>
      <c r="DQ151" s="1903"/>
      <c r="DR151" s="1903"/>
      <c r="DS151" s="1903"/>
      <c r="DT151" s="1903"/>
      <c r="DU151" s="1903"/>
      <c r="DV151" s="1903"/>
      <c r="DW151" s="1903"/>
      <c r="DX151" s="1903"/>
      <c r="DY151" s="1903"/>
      <c r="DZ151" s="1903"/>
      <c r="EA151" s="1903"/>
      <c r="EB151" s="1903"/>
      <c r="EC151" s="1903"/>
      <c r="ED151" s="1903"/>
      <c r="EE151" s="1903"/>
      <c r="EF151" s="1903"/>
      <c r="EG151" s="1903"/>
      <c r="EH151" s="1903"/>
      <c r="EI151" s="1903"/>
      <c r="EJ151" s="1903"/>
      <c r="EK151" s="1903"/>
      <c r="EL151" s="1903"/>
      <c r="EM151" s="1903"/>
      <c r="EN151" s="1903"/>
      <c r="EO151" s="1903"/>
      <c r="EP151" s="1903"/>
      <c r="EQ151" s="1903"/>
      <c r="ER151" s="1903"/>
      <c r="ES151" s="1903"/>
      <c r="ET151" s="1903"/>
      <c r="EU151" s="1903"/>
      <c r="EV151" s="1903"/>
      <c r="EW151" s="1903"/>
      <c r="EX151" s="1903"/>
      <c r="EY151" s="1903"/>
      <c r="EZ151" s="1903"/>
      <c r="FA151" s="1903"/>
      <c r="FB151" s="1903"/>
      <c r="FC151" s="1903"/>
      <c r="FD151" s="1903"/>
      <c r="FE151" s="1903"/>
      <c r="FF151" s="1903"/>
      <c r="FG151" s="1903"/>
      <c r="FH151" s="1903"/>
      <c r="FI151" s="1903"/>
      <c r="FJ151" s="1903"/>
      <c r="FK151" s="1903"/>
      <c r="FL151" s="1903"/>
      <c r="FM151" s="1903"/>
      <c r="FN151" s="1903"/>
      <c r="FO151" s="1903"/>
      <c r="FP151" s="1903"/>
      <c r="FQ151" s="1903"/>
      <c r="FR151" s="1903"/>
      <c r="FS151" s="1903"/>
      <c r="FT151" s="1903"/>
      <c r="FU151" s="1903"/>
      <c r="FV151" s="1903"/>
      <c r="FW151" s="1903"/>
      <c r="FX151" s="1903"/>
      <c r="FY151" s="1903"/>
      <c r="FZ151" s="1903"/>
      <c r="GA151" s="1903"/>
      <c r="GB151" s="1903"/>
      <c r="GC151" s="1903"/>
      <c r="GD151" s="1903"/>
      <c r="GE151" s="1903"/>
      <c r="GF151" s="1903"/>
      <c r="GG151" s="1903"/>
      <c r="GH151" s="1903"/>
      <c r="GI151" s="1903"/>
      <c r="GJ151" s="1903"/>
      <c r="GK151" s="1903"/>
      <c r="GL151" s="1903"/>
      <c r="GM151" s="1903"/>
      <c r="GN151" s="1903"/>
      <c r="GO151" s="1903"/>
      <c r="GP151" s="1903"/>
      <c r="GQ151" s="1903"/>
      <c r="GR151" s="1903"/>
      <c r="GS151" s="1903"/>
      <c r="GT151" s="1903"/>
      <c r="GU151" s="1903"/>
      <c r="GV151" s="1903"/>
      <c r="GW151" s="1903"/>
      <c r="GX151" s="1903"/>
      <c r="GY151" s="1903"/>
      <c r="GZ151" s="1903"/>
      <c r="HA151" s="1903"/>
      <c r="HB151" s="1903"/>
      <c r="HC151" s="1903"/>
      <c r="HD151" s="1903"/>
      <c r="HE151" s="1903"/>
      <c r="HF151" s="1903"/>
      <c r="HG151" s="1903"/>
      <c r="HH151" s="1903"/>
      <c r="HI151" s="1903"/>
      <c r="HJ151" s="1903"/>
      <c r="HK151" s="1903"/>
      <c r="HL151" s="1903"/>
      <c r="HM151" s="1903"/>
      <c r="HN151" s="1903"/>
      <c r="HO151" s="1903"/>
      <c r="HP151" s="1903"/>
      <c r="HQ151" s="1903"/>
      <c r="HR151" s="1903"/>
      <c r="HS151" s="1903"/>
      <c r="HT151" s="1903"/>
      <c r="HU151" s="1903"/>
      <c r="HV151" s="1903"/>
      <c r="HW151" s="1903"/>
      <c r="HX151" s="1903"/>
      <c r="HY151" s="1903"/>
      <c r="HZ151" s="1903"/>
      <c r="IA151" s="1903"/>
      <c r="IB151" s="1903"/>
      <c r="IC151" s="1903"/>
      <c r="ID151" s="1903"/>
      <c r="IE151" s="1903"/>
      <c r="IF151" s="1903"/>
      <c r="IG151" s="1903"/>
      <c r="IH151" s="1903"/>
      <c r="II151" s="1903"/>
      <c r="IJ151" s="1903"/>
      <c r="IK151" s="1903"/>
      <c r="IL151" s="1903"/>
      <c r="IM151" s="1903"/>
      <c r="IN151" s="1903"/>
      <c r="IO151" s="1903"/>
      <c r="IP151" s="1903"/>
      <c r="IQ151" s="1903"/>
      <c r="IR151" s="1903"/>
      <c r="IS151" s="1903"/>
      <c r="IT151" s="1903"/>
      <c r="IU151" s="1903"/>
      <c r="IV151" s="1903"/>
    </row>
    <row r="152" spans="1:256" s="1904" customFormat="1" ht="13.5" customHeight="1">
      <c r="A152" s="1898"/>
      <c r="B152" s="1899"/>
      <c r="C152" s="1899"/>
      <c r="D152" s="1899" t="s">
        <v>2658</v>
      </c>
      <c r="E152" s="1899"/>
      <c r="F152" s="1900">
        <v>2</v>
      </c>
      <c r="G152" s="1901"/>
      <c r="H152" s="1901"/>
      <c r="I152" s="1906"/>
      <c r="J152" s="1902"/>
      <c r="K152" s="1291"/>
      <c r="L152" s="1291"/>
      <c r="M152" s="1291"/>
      <c r="N152" s="1291"/>
      <c r="O152" s="1291"/>
      <c r="P152" s="1291"/>
      <c r="Q152" s="1291"/>
      <c r="R152" s="1291"/>
      <c r="S152" s="1291"/>
      <c r="T152" s="1291"/>
      <c r="U152" s="1291"/>
      <c r="V152" s="1291"/>
      <c r="W152" s="1291"/>
      <c r="X152" s="1291"/>
      <c r="Y152" s="1291"/>
      <c r="Z152" s="1291"/>
      <c r="AA152" s="1291"/>
      <c r="AB152" s="1291"/>
      <c r="AC152" s="1291"/>
      <c r="AD152" s="1291"/>
      <c r="AE152" s="1291"/>
      <c r="AF152" s="1291"/>
      <c r="AG152" s="1291"/>
      <c r="AH152" s="1291"/>
      <c r="AI152" s="1291"/>
      <c r="AJ152" s="1291"/>
      <c r="AK152" s="1291"/>
      <c r="AL152" s="1291"/>
      <c r="AM152" s="1291"/>
      <c r="AN152" s="1291"/>
      <c r="AO152" s="1291"/>
      <c r="AP152" s="1291"/>
      <c r="AQ152" s="1291"/>
      <c r="AR152" s="1903"/>
      <c r="AS152" s="1903"/>
      <c r="AT152" s="1903"/>
      <c r="AU152" s="1903"/>
      <c r="AV152" s="1903"/>
      <c r="AW152" s="1903"/>
      <c r="AX152" s="1903"/>
      <c r="AY152" s="1903"/>
      <c r="AZ152" s="1903"/>
      <c r="BA152" s="1903"/>
      <c r="BB152" s="1903"/>
      <c r="BC152" s="1903"/>
      <c r="BD152" s="1903"/>
      <c r="BE152" s="1903"/>
      <c r="BF152" s="1903"/>
      <c r="BG152" s="1903"/>
      <c r="BH152" s="1903"/>
      <c r="BI152" s="1903"/>
      <c r="BJ152" s="1903"/>
      <c r="BK152" s="1903"/>
      <c r="BL152" s="1903"/>
      <c r="BM152" s="1903"/>
      <c r="BN152" s="1903"/>
      <c r="BO152" s="1903"/>
      <c r="BP152" s="1903"/>
      <c r="BQ152" s="1903"/>
      <c r="BR152" s="1903"/>
      <c r="BS152" s="1903"/>
      <c r="BT152" s="1903"/>
      <c r="BU152" s="1903"/>
      <c r="BV152" s="1903"/>
      <c r="BW152" s="1903"/>
      <c r="BX152" s="1903"/>
      <c r="BY152" s="1903"/>
      <c r="BZ152" s="1903"/>
      <c r="CA152" s="1903"/>
      <c r="CB152" s="1903"/>
      <c r="CC152" s="1903"/>
      <c r="CD152" s="1903"/>
      <c r="CE152" s="1903"/>
      <c r="CF152" s="1903"/>
      <c r="CG152" s="1903"/>
      <c r="CH152" s="1903"/>
      <c r="CI152" s="1903"/>
      <c r="CJ152" s="1903"/>
      <c r="CK152" s="1903"/>
      <c r="CL152" s="1903"/>
      <c r="CM152" s="1903"/>
      <c r="CN152" s="1903"/>
      <c r="CO152" s="1903"/>
      <c r="CP152" s="1903"/>
      <c r="CQ152" s="1903"/>
      <c r="CR152" s="1903"/>
      <c r="CS152" s="1903"/>
      <c r="CT152" s="1903"/>
      <c r="CU152" s="1903"/>
      <c r="CV152" s="1903"/>
      <c r="CW152" s="1903"/>
      <c r="CX152" s="1903"/>
      <c r="CY152" s="1903"/>
      <c r="CZ152" s="1903"/>
      <c r="DA152" s="1903"/>
      <c r="DB152" s="1903"/>
      <c r="DC152" s="1903"/>
      <c r="DD152" s="1903"/>
      <c r="DE152" s="1903"/>
      <c r="DF152" s="1903"/>
      <c r="DG152" s="1903"/>
      <c r="DH152" s="1903"/>
      <c r="DI152" s="1903"/>
      <c r="DJ152" s="1903"/>
      <c r="DK152" s="1903"/>
      <c r="DL152" s="1903"/>
      <c r="DM152" s="1903"/>
      <c r="DN152" s="1903"/>
      <c r="DO152" s="1903"/>
      <c r="DP152" s="1903"/>
      <c r="DQ152" s="1903"/>
      <c r="DR152" s="1903"/>
      <c r="DS152" s="1903"/>
      <c r="DT152" s="1903"/>
      <c r="DU152" s="1903"/>
      <c r="DV152" s="1903"/>
      <c r="DW152" s="1903"/>
      <c r="DX152" s="1903"/>
      <c r="DY152" s="1903"/>
      <c r="DZ152" s="1903"/>
      <c r="EA152" s="1903"/>
      <c r="EB152" s="1903"/>
      <c r="EC152" s="1903"/>
      <c r="ED152" s="1903"/>
      <c r="EE152" s="1903"/>
      <c r="EF152" s="1903"/>
      <c r="EG152" s="1903"/>
      <c r="EH152" s="1903"/>
      <c r="EI152" s="1903"/>
      <c r="EJ152" s="1903"/>
      <c r="EK152" s="1903"/>
      <c r="EL152" s="1903"/>
      <c r="EM152" s="1903"/>
      <c r="EN152" s="1903"/>
      <c r="EO152" s="1903"/>
      <c r="EP152" s="1903"/>
      <c r="EQ152" s="1903"/>
      <c r="ER152" s="1903"/>
      <c r="ES152" s="1903"/>
      <c r="ET152" s="1903"/>
      <c r="EU152" s="1903"/>
      <c r="EV152" s="1903"/>
      <c r="EW152" s="1903"/>
      <c r="EX152" s="1903"/>
      <c r="EY152" s="1903"/>
      <c r="EZ152" s="1903"/>
      <c r="FA152" s="1903"/>
      <c r="FB152" s="1903"/>
      <c r="FC152" s="1903"/>
      <c r="FD152" s="1903"/>
      <c r="FE152" s="1903"/>
      <c r="FF152" s="1903"/>
      <c r="FG152" s="1903"/>
      <c r="FH152" s="1903"/>
      <c r="FI152" s="1903"/>
      <c r="FJ152" s="1903"/>
      <c r="FK152" s="1903"/>
      <c r="FL152" s="1903"/>
      <c r="FM152" s="1903"/>
      <c r="FN152" s="1903"/>
      <c r="FO152" s="1903"/>
      <c r="FP152" s="1903"/>
      <c r="FQ152" s="1903"/>
      <c r="FR152" s="1903"/>
      <c r="FS152" s="1903"/>
      <c r="FT152" s="1903"/>
      <c r="FU152" s="1903"/>
      <c r="FV152" s="1903"/>
      <c r="FW152" s="1903"/>
      <c r="FX152" s="1903"/>
      <c r="FY152" s="1903"/>
      <c r="FZ152" s="1903"/>
      <c r="GA152" s="1903"/>
      <c r="GB152" s="1903"/>
      <c r="GC152" s="1903"/>
      <c r="GD152" s="1903"/>
      <c r="GE152" s="1903"/>
      <c r="GF152" s="1903"/>
      <c r="GG152" s="1903"/>
      <c r="GH152" s="1903"/>
      <c r="GI152" s="1903"/>
      <c r="GJ152" s="1903"/>
      <c r="GK152" s="1903"/>
      <c r="GL152" s="1903"/>
      <c r="GM152" s="1903"/>
      <c r="GN152" s="1903"/>
      <c r="GO152" s="1903"/>
      <c r="GP152" s="1903"/>
      <c r="GQ152" s="1903"/>
      <c r="GR152" s="1903"/>
      <c r="GS152" s="1903"/>
      <c r="GT152" s="1903"/>
      <c r="GU152" s="1903"/>
      <c r="GV152" s="1903"/>
      <c r="GW152" s="1903"/>
      <c r="GX152" s="1903"/>
      <c r="GY152" s="1903"/>
      <c r="GZ152" s="1903"/>
      <c r="HA152" s="1903"/>
      <c r="HB152" s="1903"/>
      <c r="HC152" s="1903"/>
      <c r="HD152" s="1903"/>
      <c r="HE152" s="1903"/>
      <c r="HF152" s="1903"/>
      <c r="HG152" s="1903"/>
      <c r="HH152" s="1903"/>
      <c r="HI152" s="1903"/>
      <c r="HJ152" s="1903"/>
      <c r="HK152" s="1903"/>
      <c r="HL152" s="1903"/>
      <c r="HM152" s="1903"/>
      <c r="HN152" s="1903"/>
      <c r="HO152" s="1903"/>
      <c r="HP152" s="1903"/>
      <c r="HQ152" s="1903"/>
      <c r="HR152" s="1903"/>
      <c r="HS152" s="1903"/>
      <c r="HT152" s="1903"/>
      <c r="HU152" s="1903"/>
      <c r="HV152" s="1903"/>
      <c r="HW152" s="1903"/>
      <c r="HX152" s="1903"/>
      <c r="HY152" s="1903"/>
      <c r="HZ152" s="1903"/>
      <c r="IA152" s="1903"/>
      <c r="IB152" s="1903"/>
      <c r="IC152" s="1903"/>
      <c r="ID152" s="1903"/>
      <c r="IE152" s="1903"/>
      <c r="IF152" s="1903"/>
      <c r="IG152" s="1903"/>
      <c r="IH152" s="1903"/>
      <c r="II152" s="1903"/>
      <c r="IJ152" s="1903"/>
      <c r="IK152" s="1903"/>
      <c r="IL152" s="1903"/>
      <c r="IM152" s="1903"/>
      <c r="IN152" s="1903"/>
      <c r="IO152" s="1903"/>
      <c r="IP152" s="1903"/>
      <c r="IQ152" s="1903"/>
      <c r="IR152" s="1903"/>
      <c r="IS152" s="1903"/>
      <c r="IT152" s="1903"/>
      <c r="IU152" s="1903"/>
      <c r="IV152" s="1903"/>
    </row>
    <row r="153" spans="1:256" s="1904" customFormat="1" ht="13.5" customHeight="1">
      <c r="A153" s="1898"/>
      <c r="B153" s="1899"/>
      <c r="C153" s="1899"/>
      <c r="D153" s="1899" t="s">
        <v>2659</v>
      </c>
      <c r="E153" s="1899"/>
      <c r="F153" s="1900">
        <v>1</v>
      </c>
      <c r="G153" s="1901"/>
      <c r="H153" s="1901"/>
      <c r="I153" s="1906"/>
      <c r="J153" s="1902"/>
      <c r="K153" s="1291"/>
      <c r="L153" s="1291"/>
      <c r="M153" s="1291"/>
      <c r="N153" s="1291"/>
      <c r="O153" s="1291"/>
      <c r="P153" s="1291"/>
      <c r="Q153" s="1291"/>
      <c r="R153" s="1291"/>
      <c r="S153" s="1291"/>
      <c r="T153" s="1291"/>
      <c r="U153" s="1291"/>
      <c r="V153" s="1291"/>
      <c r="W153" s="1291"/>
      <c r="X153" s="1291"/>
      <c r="Y153" s="1291"/>
      <c r="Z153" s="1291"/>
      <c r="AA153" s="1291"/>
      <c r="AB153" s="1291"/>
      <c r="AC153" s="1291"/>
      <c r="AD153" s="1291"/>
      <c r="AE153" s="1291"/>
      <c r="AF153" s="1291"/>
      <c r="AG153" s="1291"/>
      <c r="AH153" s="1291"/>
      <c r="AI153" s="1291"/>
      <c r="AJ153" s="1291"/>
      <c r="AK153" s="1291"/>
      <c r="AL153" s="1291"/>
      <c r="AM153" s="1291"/>
      <c r="AN153" s="1291"/>
      <c r="AO153" s="1291"/>
      <c r="AP153" s="1291"/>
      <c r="AQ153" s="1291"/>
      <c r="AR153" s="1903"/>
      <c r="AS153" s="1903"/>
      <c r="AT153" s="1903"/>
      <c r="AU153" s="1903"/>
      <c r="AV153" s="1903"/>
      <c r="AW153" s="1903"/>
      <c r="AX153" s="1903"/>
      <c r="AY153" s="1903"/>
      <c r="AZ153" s="1903"/>
      <c r="BA153" s="1903"/>
      <c r="BB153" s="1903"/>
      <c r="BC153" s="1903"/>
      <c r="BD153" s="1903"/>
      <c r="BE153" s="1903"/>
      <c r="BF153" s="1903"/>
      <c r="BG153" s="1903"/>
      <c r="BH153" s="1903"/>
      <c r="BI153" s="1903"/>
      <c r="BJ153" s="1903"/>
      <c r="BK153" s="1903"/>
      <c r="BL153" s="1903"/>
      <c r="BM153" s="1903"/>
      <c r="BN153" s="1903"/>
      <c r="BO153" s="1903"/>
      <c r="BP153" s="1903"/>
      <c r="BQ153" s="1903"/>
      <c r="BR153" s="1903"/>
      <c r="BS153" s="1903"/>
      <c r="BT153" s="1903"/>
      <c r="BU153" s="1903"/>
      <c r="BV153" s="1903"/>
      <c r="BW153" s="1903"/>
      <c r="BX153" s="1903"/>
      <c r="BY153" s="1903"/>
      <c r="BZ153" s="1903"/>
      <c r="CA153" s="1903"/>
      <c r="CB153" s="1903"/>
      <c r="CC153" s="1903"/>
      <c r="CD153" s="1903"/>
      <c r="CE153" s="1903"/>
      <c r="CF153" s="1903"/>
      <c r="CG153" s="1903"/>
      <c r="CH153" s="1903"/>
      <c r="CI153" s="1903"/>
      <c r="CJ153" s="1903"/>
      <c r="CK153" s="1903"/>
      <c r="CL153" s="1903"/>
      <c r="CM153" s="1903"/>
      <c r="CN153" s="1903"/>
      <c r="CO153" s="1903"/>
      <c r="CP153" s="1903"/>
      <c r="CQ153" s="1903"/>
      <c r="CR153" s="1903"/>
      <c r="CS153" s="1903"/>
      <c r="CT153" s="1903"/>
      <c r="CU153" s="1903"/>
      <c r="CV153" s="1903"/>
      <c r="CW153" s="1903"/>
      <c r="CX153" s="1903"/>
      <c r="CY153" s="1903"/>
      <c r="CZ153" s="1903"/>
      <c r="DA153" s="1903"/>
      <c r="DB153" s="1903"/>
      <c r="DC153" s="1903"/>
      <c r="DD153" s="1903"/>
      <c r="DE153" s="1903"/>
      <c r="DF153" s="1903"/>
      <c r="DG153" s="1903"/>
      <c r="DH153" s="1903"/>
      <c r="DI153" s="1903"/>
      <c r="DJ153" s="1903"/>
      <c r="DK153" s="1903"/>
      <c r="DL153" s="1903"/>
      <c r="DM153" s="1903"/>
      <c r="DN153" s="1903"/>
      <c r="DO153" s="1903"/>
      <c r="DP153" s="1903"/>
      <c r="DQ153" s="1903"/>
      <c r="DR153" s="1903"/>
      <c r="DS153" s="1903"/>
      <c r="DT153" s="1903"/>
      <c r="DU153" s="1903"/>
      <c r="DV153" s="1903"/>
      <c r="DW153" s="1903"/>
      <c r="DX153" s="1903"/>
      <c r="DY153" s="1903"/>
      <c r="DZ153" s="1903"/>
      <c r="EA153" s="1903"/>
      <c r="EB153" s="1903"/>
      <c r="EC153" s="1903"/>
      <c r="ED153" s="1903"/>
      <c r="EE153" s="1903"/>
      <c r="EF153" s="1903"/>
      <c r="EG153" s="1903"/>
      <c r="EH153" s="1903"/>
      <c r="EI153" s="1903"/>
      <c r="EJ153" s="1903"/>
      <c r="EK153" s="1903"/>
      <c r="EL153" s="1903"/>
      <c r="EM153" s="1903"/>
      <c r="EN153" s="1903"/>
      <c r="EO153" s="1903"/>
      <c r="EP153" s="1903"/>
      <c r="EQ153" s="1903"/>
      <c r="ER153" s="1903"/>
      <c r="ES153" s="1903"/>
      <c r="ET153" s="1903"/>
      <c r="EU153" s="1903"/>
      <c r="EV153" s="1903"/>
      <c r="EW153" s="1903"/>
      <c r="EX153" s="1903"/>
      <c r="EY153" s="1903"/>
      <c r="EZ153" s="1903"/>
      <c r="FA153" s="1903"/>
      <c r="FB153" s="1903"/>
      <c r="FC153" s="1903"/>
      <c r="FD153" s="1903"/>
      <c r="FE153" s="1903"/>
      <c r="FF153" s="1903"/>
      <c r="FG153" s="1903"/>
      <c r="FH153" s="1903"/>
      <c r="FI153" s="1903"/>
      <c r="FJ153" s="1903"/>
      <c r="FK153" s="1903"/>
      <c r="FL153" s="1903"/>
      <c r="FM153" s="1903"/>
      <c r="FN153" s="1903"/>
      <c r="FO153" s="1903"/>
      <c r="FP153" s="1903"/>
      <c r="FQ153" s="1903"/>
      <c r="FR153" s="1903"/>
      <c r="FS153" s="1903"/>
      <c r="FT153" s="1903"/>
      <c r="FU153" s="1903"/>
      <c r="FV153" s="1903"/>
      <c r="FW153" s="1903"/>
      <c r="FX153" s="1903"/>
      <c r="FY153" s="1903"/>
      <c r="FZ153" s="1903"/>
      <c r="GA153" s="1903"/>
      <c r="GB153" s="1903"/>
      <c r="GC153" s="1903"/>
      <c r="GD153" s="1903"/>
      <c r="GE153" s="1903"/>
      <c r="GF153" s="1903"/>
      <c r="GG153" s="1903"/>
      <c r="GH153" s="1903"/>
      <c r="GI153" s="1903"/>
      <c r="GJ153" s="1903"/>
      <c r="GK153" s="1903"/>
      <c r="GL153" s="1903"/>
      <c r="GM153" s="1903"/>
      <c r="GN153" s="1903"/>
      <c r="GO153" s="1903"/>
      <c r="GP153" s="1903"/>
      <c r="GQ153" s="1903"/>
      <c r="GR153" s="1903"/>
      <c r="GS153" s="1903"/>
      <c r="GT153" s="1903"/>
      <c r="GU153" s="1903"/>
      <c r="GV153" s="1903"/>
      <c r="GW153" s="1903"/>
      <c r="GX153" s="1903"/>
      <c r="GY153" s="1903"/>
      <c r="GZ153" s="1903"/>
      <c r="HA153" s="1903"/>
      <c r="HB153" s="1903"/>
      <c r="HC153" s="1903"/>
      <c r="HD153" s="1903"/>
      <c r="HE153" s="1903"/>
      <c r="HF153" s="1903"/>
      <c r="HG153" s="1903"/>
      <c r="HH153" s="1903"/>
      <c r="HI153" s="1903"/>
      <c r="HJ153" s="1903"/>
      <c r="HK153" s="1903"/>
      <c r="HL153" s="1903"/>
      <c r="HM153" s="1903"/>
      <c r="HN153" s="1903"/>
      <c r="HO153" s="1903"/>
      <c r="HP153" s="1903"/>
      <c r="HQ153" s="1903"/>
      <c r="HR153" s="1903"/>
      <c r="HS153" s="1903"/>
      <c r="HT153" s="1903"/>
      <c r="HU153" s="1903"/>
      <c r="HV153" s="1903"/>
      <c r="HW153" s="1903"/>
      <c r="HX153" s="1903"/>
      <c r="HY153" s="1903"/>
      <c r="HZ153" s="1903"/>
      <c r="IA153" s="1903"/>
      <c r="IB153" s="1903"/>
      <c r="IC153" s="1903"/>
      <c r="ID153" s="1903"/>
      <c r="IE153" s="1903"/>
      <c r="IF153" s="1903"/>
      <c r="IG153" s="1903"/>
      <c r="IH153" s="1903"/>
      <c r="II153" s="1903"/>
      <c r="IJ153" s="1903"/>
      <c r="IK153" s="1903"/>
      <c r="IL153" s="1903"/>
      <c r="IM153" s="1903"/>
      <c r="IN153" s="1903"/>
      <c r="IO153" s="1903"/>
      <c r="IP153" s="1903"/>
      <c r="IQ153" s="1903"/>
      <c r="IR153" s="1903"/>
      <c r="IS153" s="1903"/>
      <c r="IT153" s="1903"/>
      <c r="IU153" s="1903"/>
      <c r="IV153" s="1903"/>
    </row>
    <row r="154" spans="1:256" s="1897" customFormat="1" ht="27" customHeight="1">
      <c r="A154" s="1890"/>
      <c r="B154" s="1891"/>
      <c r="C154" s="342"/>
      <c r="D154" s="342" t="s">
        <v>2660</v>
      </c>
      <c r="E154" s="342"/>
      <c r="F154" s="1892"/>
      <c r="G154" s="1893"/>
      <c r="H154" s="1893"/>
      <c r="I154" s="1894"/>
      <c r="J154" s="1895"/>
      <c r="K154" s="1896"/>
      <c r="L154" s="1896"/>
    </row>
    <row r="155" spans="1:256" s="1885" customFormat="1" ht="13.5" customHeight="1">
      <c r="A155" s="1335">
        <v>41</v>
      </c>
      <c r="B155" s="1336" t="s">
        <v>2048</v>
      </c>
      <c r="C155" s="1337" t="s">
        <v>2661</v>
      </c>
      <c r="D155" s="1337" t="s">
        <v>2662</v>
      </c>
      <c r="E155" s="1337" t="s">
        <v>210</v>
      </c>
      <c r="F155" s="1666">
        <f>SUM(F157:F158)</f>
        <v>5</v>
      </c>
      <c r="G155" s="1339"/>
      <c r="H155" s="1339">
        <f t="shared" ref="H155" si="2">F155*G155</f>
        <v>0</v>
      </c>
      <c r="I155" s="1345" t="s">
        <v>112</v>
      </c>
      <c r="J155" s="1907"/>
      <c r="K155" s="1602"/>
      <c r="L155" s="1602"/>
      <c r="M155" s="1602"/>
      <c r="N155" s="1602"/>
      <c r="O155" s="1602"/>
      <c r="P155" s="1908"/>
    </row>
    <row r="156" spans="1:256" s="1885" customFormat="1" ht="13.5" customHeight="1">
      <c r="A156" s="1673"/>
      <c r="B156" s="1659"/>
      <c r="C156" s="1659"/>
      <c r="D156" s="1343" t="s">
        <v>2663</v>
      </c>
      <c r="E156" s="1659"/>
      <c r="F156" s="2057"/>
      <c r="G156" s="1649"/>
      <c r="H156" s="1649"/>
      <c r="I156" s="1670"/>
      <c r="J156" s="1909"/>
      <c r="K156" s="1602"/>
      <c r="P156" s="1908"/>
    </row>
    <row r="157" spans="1:256" s="1885" customFormat="1" ht="13.5" customHeight="1">
      <c r="A157" s="1673"/>
      <c r="B157" s="1659"/>
      <c r="C157" s="1659"/>
      <c r="D157" s="1343" t="s">
        <v>2664</v>
      </c>
      <c r="E157" s="1659"/>
      <c r="F157" s="1390">
        <v>4</v>
      </c>
      <c r="G157" s="1649"/>
      <c r="H157" s="1649"/>
      <c r="I157" s="1670"/>
      <c r="J157" s="1909"/>
      <c r="K157" s="1602"/>
      <c r="P157" s="1908"/>
    </row>
    <row r="158" spans="1:256" s="1885" customFormat="1" ht="13.5" customHeight="1">
      <c r="A158" s="1673"/>
      <c r="B158" s="1659"/>
      <c r="C158" s="1659"/>
      <c r="D158" s="1343" t="s">
        <v>2665</v>
      </c>
      <c r="E158" s="1659"/>
      <c r="F158" s="1390">
        <v>1</v>
      </c>
      <c r="G158" s="1649"/>
      <c r="H158" s="1649"/>
      <c r="I158" s="1670"/>
      <c r="J158" s="1909"/>
      <c r="K158" s="1602"/>
      <c r="P158" s="1908"/>
    </row>
    <row r="159" spans="1:256" s="1885" customFormat="1" ht="13.5" customHeight="1">
      <c r="A159" s="1673"/>
      <c r="B159" s="1659"/>
      <c r="C159" s="1659"/>
      <c r="D159" s="1343" t="s">
        <v>2666</v>
      </c>
      <c r="E159" s="1659"/>
      <c r="F159" s="1390"/>
      <c r="G159" s="1649"/>
      <c r="H159" s="1649"/>
      <c r="I159" s="1670"/>
      <c r="J159" s="1909"/>
      <c r="K159" s="1602"/>
      <c r="P159" s="1908"/>
    </row>
    <row r="160" spans="1:256" s="1357" customFormat="1" ht="13.5" customHeight="1">
      <c r="A160" s="1910">
        <v>42</v>
      </c>
      <c r="B160" s="1911" t="s">
        <v>2048</v>
      </c>
      <c r="C160" s="1337" t="s">
        <v>2667</v>
      </c>
      <c r="D160" s="1912" t="s">
        <v>2668</v>
      </c>
      <c r="E160" s="1912" t="s">
        <v>210</v>
      </c>
      <c r="F160" s="1913">
        <f>F161</f>
        <v>7</v>
      </c>
      <c r="G160" s="1914"/>
      <c r="H160" s="741">
        <f>ROUND(F160*G160,2)</f>
        <v>0</v>
      </c>
      <c r="I160" s="1807" t="s">
        <v>112</v>
      </c>
      <c r="J160" s="1915"/>
      <c r="K160" s="1916"/>
      <c r="L160" s="1916"/>
      <c r="M160" s="1916"/>
      <c r="N160" s="1916"/>
      <c r="O160" s="1916"/>
      <c r="P160" s="1916"/>
      <c r="Q160" s="1915"/>
    </row>
    <row r="161" spans="1:40" s="1357" customFormat="1" ht="13.5" customHeight="1">
      <c r="A161" s="1917"/>
      <c r="B161" s="1911"/>
      <c r="C161" s="1325"/>
      <c r="D161" s="1918" t="s">
        <v>2669</v>
      </c>
      <c r="E161" s="1912"/>
      <c r="F161" s="1919">
        <v>7</v>
      </c>
      <c r="G161" s="1914"/>
      <c r="H161" s="1914"/>
      <c r="I161" s="1920"/>
      <c r="J161" s="1921"/>
      <c r="Q161" s="1921"/>
    </row>
    <row r="162" spans="1:40" s="1357" customFormat="1" ht="13.5" customHeight="1">
      <c r="A162" s="1917"/>
      <c r="B162" s="1911"/>
      <c r="C162" s="1325"/>
      <c r="D162" s="1918" t="s">
        <v>2670</v>
      </c>
      <c r="E162" s="1912"/>
      <c r="F162" s="1327"/>
      <c r="G162" s="1914"/>
      <c r="H162" s="1914"/>
      <c r="I162" s="1920"/>
      <c r="J162" s="1922"/>
    </row>
    <row r="163" spans="1:40" s="1357" customFormat="1" ht="38.25" customHeight="1">
      <c r="A163" s="1923"/>
      <c r="B163" s="1923"/>
      <c r="C163" s="1918"/>
      <c r="D163" s="1918" t="s">
        <v>2671</v>
      </c>
      <c r="E163" s="1918"/>
      <c r="F163" s="1367"/>
      <c r="G163" s="1924"/>
      <c r="H163" s="1924"/>
      <c r="I163" s="1925"/>
      <c r="J163" s="1922"/>
    </row>
    <row r="164" spans="1:40" s="1291" customFormat="1" ht="13.5" customHeight="1">
      <c r="A164" s="1335">
        <v>43</v>
      </c>
      <c r="B164" s="1337">
        <v>721</v>
      </c>
      <c r="C164" s="1337">
        <v>721290111</v>
      </c>
      <c r="D164" s="1337" t="s">
        <v>2672</v>
      </c>
      <c r="E164" s="1337" t="s">
        <v>142</v>
      </c>
      <c r="F164" s="1666">
        <f>SUM(F166:F172)</f>
        <v>368.42000000000007</v>
      </c>
      <c r="G164" s="1339"/>
      <c r="H164" s="1339">
        <f>F164*G164</f>
        <v>0</v>
      </c>
      <c r="I164" s="1345" t="s">
        <v>1927</v>
      </c>
      <c r="J164" s="1926"/>
      <c r="R164" s="1340"/>
    </row>
    <row r="165" spans="1:40" s="1291" customFormat="1" ht="13.5" customHeight="1">
      <c r="A165" s="1335"/>
      <c r="B165" s="1337"/>
      <c r="C165" s="1337"/>
      <c r="D165" s="1343" t="s">
        <v>2673</v>
      </c>
      <c r="E165" s="1659"/>
      <c r="F165" s="1390">
        <v>19.2</v>
      </c>
      <c r="G165" s="1339"/>
      <c r="H165" s="1339"/>
      <c r="I165" s="1345"/>
      <c r="J165" s="1927"/>
      <c r="R165" s="1340"/>
    </row>
    <row r="166" spans="1:40" s="1291" customFormat="1" ht="13.5" customHeight="1">
      <c r="A166" s="1335"/>
      <c r="B166" s="1337"/>
      <c r="C166" s="1337"/>
      <c r="D166" s="1343" t="s">
        <v>2674</v>
      </c>
      <c r="E166" s="1659"/>
      <c r="F166" s="1390">
        <v>32.4</v>
      </c>
      <c r="G166" s="1339"/>
      <c r="H166" s="1339"/>
      <c r="I166" s="1345"/>
      <c r="J166" s="1927"/>
      <c r="L166" s="1928"/>
      <c r="R166" s="1340"/>
    </row>
    <row r="167" spans="1:40" s="1291" customFormat="1" ht="13.5" customHeight="1">
      <c r="A167" s="1335"/>
      <c r="B167" s="1337"/>
      <c r="C167" s="1337"/>
      <c r="D167" s="1343" t="s">
        <v>2675</v>
      </c>
      <c r="E167" s="1659"/>
      <c r="F167" s="1390">
        <v>4.3</v>
      </c>
      <c r="G167" s="1339"/>
      <c r="H167" s="1339"/>
      <c r="I167" s="1345"/>
      <c r="J167" s="1927"/>
      <c r="R167" s="1340"/>
    </row>
    <row r="168" spans="1:40" s="1291" customFormat="1" ht="13.5" customHeight="1">
      <c r="A168" s="1335"/>
      <c r="B168" s="1337"/>
      <c r="C168" s="1337"/>
      <c r="D168" s="1343" t="s">
        <v>2676</v>
      </c>
      <c r="E168" s="1659"/>
      <c r="F168" s="1390">
        <v>17</v>
      </c>
      <c r="G168" s="1339"/>
      <c r="H168" s="1339"/>
      <c r="I168" s="1345"/>
      <c r="J168" s="1927"/>
      <c r="K168" s="1927"/>
      <c r="R168" s="1340"/>
    </row>
    <row r="169" spans="1:40" s="1291" customFormat="1" ht="13.5" customHeight="1">
      <c r="A169" s="1335"/>
      <c r="B169" s="1337"/>
      <c r="C169" s="1337"/>
      <c r="D169" s="1343" t="s">
        <v>2677</v>
      </c>
      <c r="E169" s="1659"/>
      <c r="F169" s="1390">
        <v>49.7</v>
      </c>
      <c r="G169" s="1339"/>
      <c r="H169" s="1339"/>
      <c r="I169" s="1345"/>
      <c r="J169" s="1927"/>
      <c r="K169" s="1927"/>
      <c r="R169" s="1340"/>
    </row>
    <row r="170" spans="1:40" s="1291" customFormat="1" ht="13.5" customHeight="1">
      <c r="A170" s="1335"/>
      <c r="B170" s="1337"/>
      <c r="C170" s="1337"/>
      <c r="D170" s="1343" t="s">
        <v>2678</v>
      </c>
      <c r="E170" s="1659"/>
      <c r="F170" s="1390">
        <f>57.7+4.3</f>
        <v>62</v>
      </c>
      <c r="G170" s="1339"/>
      <c r="H170" s="1339"/>
      <c r="I170" s="1345"/>
      <c r="J170" s="1929"/>
      <c r="K170" s="1929"/>
      <c r="R170" s="1340"/>
    </row>
    <row r="171" spans="1:40" s="1291" customFormat="1" ht="13.5" customHeight="1">
      <c r="A171" s="1335"/>
      <c r="B171" s="1337"/>
      <c r="C171" s="1337"/>
      <c r="D171" s="1343" t="s">
        <v>2679</v>
      </c>
      <c r="E171" s="1659"/>
      <c r="F171" s="1390">
        <f>(44.2+12.9+59.2)</f>
        <v>116.30000000000001</v>
      </c>
      <c r="G171" s="1339"/>
      <c r="H171" s="1339"/>
      <c r="I171" s="1345"/>
      <c r="J171" s="1927"/>
      <c r="R171" s="1340"/>
    </row>
    <row r="172" spans="1:40" s="1291" customFormat="1" ht="13.5" customHeight="1">
      <c r="A172" s="1335"/>
      <c r="B172" s="1337"/>
      <c r="C172" s="1337"/>
      <c r="D172" s="1343" t="s">
        <v>2680</v>
      </c>
      <c r="E172" s="1659"/>
      <c r="F172" s="1390">
        <v>86.72</v>
      </c>
      <c r="G172" s="1339"/>
      <c r="H172" s="1339"/>
      <c r="I172" s="1345"/>
      <c r="J172" s="1927"/>
      <c r="R172" s="1340"/>
    </row>
    <row r="173" spans="1:40" s="1291" customFormat="1" ht="13.5" customHeight="1">
      <c r="A173" s="1335">
        <v>44</v>
      </c>
      <c r="B173" s="1337">
        <v>721</v>
      </c>
      <c r="C173" s="1337">
        <v>721290112</v>
      </c>
      <c r="D173" s="1337" t="s">
        <v>2681</v>
      </c>
      <c r="E173" s="1337" t="s">
        <v>142</v>
      </c>
      <c r="F173" s="1666">
        <f>SUM(F174:F174)</f>
        <v>12.7</v>
      </c>
      <c r="G173" s="1339"/>
      <c r="H173" s="1339">
        <f>F173*G173</f>
        <v>0</v>
      </c>
      <c r="I173" s="1345" t="s">
        <v>1927</v>
      </c>
      <c r="J173" s="1930"/>
      <c r="K173" s="1658"/>
      <c r="R173" s="1340"/>
    </row>
    <row r="174" spans="1:40" s="1291" customFormat="1" ht="13.5" customHeight="1">
      <c r="A174" s="1335"/>
      <c r="B174" s="1337"/>
      <c r="C174" s="1337"/>
      <c r="D174" s="1343" t="s">
        <v>2682</v>
      </c>
      <c r="E174" s="1659"/>
      <c r="F174" s="1390">
        <v>12.7</v>
      </c>
      <c r="G174" s="1339"/>
      <c r="H174" s="1339"/>
      <c r="I174" s="1345"/>
      <c r="J174" s="1665"/>
      <c r="K174" s="1658"/>
      <c r="R174" s="1340"/>
    </row>
    <row r="175" spans="1:40" s="1368" customFormat="1" ht="13.5" customHeight="1">
      <c r="A175" s="1335">
        <v>45</v>
      </c>
      <c r="B175" s="1336" t="s">
        <v>2048</v>
      </c>
      <c r="C175" s="1337" t="s">
        <v>2683</v>
      </c>
      <c r="D175" s="1337" t="s">
        <v>2684</v>
      </c>
      <c r="E175" s="1337" t="s">
        <v>210</v>
      </c>
      <c r="F175" s="1666">
        <f>F177</f>
        <v>2</v>
      </c>
      <c r="G175" s="1339"/>
      <c r="H175" s="1339">
        <f>F175*G175</f>
        <v>0</v>
      </c>
      <c r="I175" s="1345" t="s">
        <v>111</v>
      </c>
      <c r="J175" s="1886"/>
      <c r="K175" s="939"/>
      <c r="L175" s="1885"/>
      <c r="M175" s="1885"/>
      <c r="N175" s="1885"/>
      <c r="O175" s="1885"/>
      <c r="P175" s="1885"/>
      <c r="Q175" s="1885"/>
      <c r="R175" s="1885"/>
      <c r="S175" s="1885"/>
      <c r="T175" s="1885"/>
      <c r="U175" s="1885"/>
      <c r="V175" s="1885"/>
      <c r="W175" s="1885"/>
      <c r="X175" s="1885"/>
      <c r="Y175" s="1885"/>
      <c r="Z175" s="1885"/>
      <c r="AA175" s="1885"/>
      <c r="AB175" s="1885"/>
      <c r="AC175" s="1885"/>
      <c r="AD175" s="1885"/>
      <c r="AE175" s="1885"/>
      <c r="AF175" s="1885"/>
      <c r="AG175" s="1885"/>
      <c r="AH175" s="1885"/>
      <c r="AI175" s="1885"/>
      <c r="AJ175" s="1885"/>
      <c r="AK175" s="1885"/>
      <c r="AL175" s="1885"/>
      <c r="AM175" s="1885"/>
      <c r="AN175" s="1885"/>
    </row>
    <row r="176" spans="1:40" s="1368" customFormat="1" ht="13.5" customHeight="1">
      <c r="A176" s="1673"/>
      <c r="B176" s="1659"/>
      <c r="C176" s="1659"/>
      <c r="D176" s="1343" t="s">
        <v>2685</v>
      </c>
      <c r="E176" s="1659"/>
      <c r="F176" s="1598"/>
      <c r="G176" s="1649"/>
      <c r="H176" s="1649"/>
      <c r="I176" s="1670"/>
      <c r="J176" s="1887"/>
      <c r="K176" s="1602"/>
      <c r="L176" s="1885"/>
      <c r="M176" s="1885"/>
      <c r="N176" s="1885"/>
      <c r="O176" s="1885"/>
      <c r="Q176" s="1885"/>
      <c r="R176" s="1889"/>
      <c r="S176" s="1887"/>
      <c r="T176" s="1602"/>
      <c r="U176" s="1885"/>
      <c r="V176" s="1885"/>
      <c r="W176" s="1885"/>
      <c r="X176" s="1885"/>
      <c r="Z176" s="1885"/>
      <c r="AA176" s="1889"/>
      <c r="AB176" s="1885"/>
      <c r="AC176" s="1885"/>
      <c r="AD176" s="1885"/>
      <c r="AE176" s="1885"/>
      <c r="AF176" s="1885"/>
      <c r="AG176" s="1885"/>
      <c r="AH176" s="1885"/>
      <c r="AI176" s="1885"/>
      <c r="AJ176" s="1885"/>
      <c r="AK176" s="1885"/>
      <c r="AL176" s="1885"/>
      <c r="AM176" s="1885"/>
      <c r="AN176" s="1885"/>
    </row>
    <row r="177" spans="1:40" s="1368" customFormat="1" ht="13.5" customHeight="1">
      <c r="A177" s="1673"/>
      <c r="B177" s="1659"/>
      <c r="C177" s="1659"/>
      <c r="D177" s="1343" t="s">
        <v>2686</v>
      </c>
      <c r="E177" s="1659"/>
      <c r="F177" s="1390">
        <v>2</v>
      </c>
      <c r="G177" s="1649"/>
      <c r="H177" s="1649"/>
      <c r="I177" s="1670"/>
      <c r="J177" s="1887"/>
      <c r="K177" s="1602"/>
      <c r="L177" s="1885"/>
      <c r="M177" s="1885"/>
      <c r="N177" s="1885"/>
      <c r="O177" s="1885"/>
      <c r="Q177" s="1885"/>
      <c r="R177" s="1889"/>
      <c r="S177" s="1887"/>
      <c r="T177" s="1602"/>
      <c r="U177" s="1885"/>
      <c r="V177" s="1885"/>
      <c r="W177" s="1885"/>
      <c r="X177" s="1885"/>
      <c r="Z177" s="1885"/>
      <c r="AA177" s="1889"/>
      <c r="AB177" s="1885"/>
      <c r="AC177" s="1885"/>
      <c r="AD177" s="1885"/>
      <c r="AE177" s="1885"/>
      <c r="AF177" s="1885"/>
      <c r="AG177" s="1885"/>
      <c r="AH177" s="1885"/>
      <c r="AI177" s="1885"/>
      <c r="AJ177" s="1885"/>
      <c r="AK177" s="1885"/>
      <c r="AL177" s="1885"/>
      <c r="AM177" s="1885"/>
      <c r="AN177" s="1885"/>
    </row>
    <row r="178" spans="1:40" s="1368" customFormat="1" ht="13.5" customHeight="1">
      <c r="A178" s="1673"/>
      <c r="B178" s="1659"/>
      <c r="C178" s="1659"/>
      <c r="D178" s="1343" t="s">
        <v>2666</v>
      </c>
      <c r="E178" s="1659"/>
      <c r="F178" s="1390"/>
      <c r="G178" s="1649"/>
      <c r="H178" s="1649"/>
      <c r="I178" s="1670"/>
      <c r="J178" s="1887"/>
      <c r="K178" s="1602"/>
      <c r="L178" s="1885"/>
      <c r="M178" s="1885"/>
      <c r="N178" s="1885"/>
      <c r="O178" s="1885"/>
      <c r="Q178" s="1885"/>
      <c r="R178" s="1889"/>
      <c r="S178" s="458"/>
      <c r="T178" s="1885"/>
      <c r="U178" s="1885"/>
      <c r="V178" s="1885"/>
      <c r="W178" s="1885"/>
      <c r="X178" s="1885"/>
      <c r="Y178" s="1885"/>
      <c r="Z178" s="1885"/>
      <c r="AA178" s="1885"/>
      <c r="AB178" s="1885"/>
      <c r="AC178" s="1885"/>
      <c r="AD178" s="1885"/>
      <c r="AE178" s="1885"/>
      <c r="AF178" s="1885"/>
      <c r="AG178" s="1885"/>
      <c r="AH178" s="1885"/>
      <c r="AI178" s="1885"/>
      <c r="AJ178" s="1885"/>
      <c r="AK178" s="1885"/>
      <c r="AL178" s="1885"/>
      <c r="AM178" s="1885"/>
      <c r="AN178" s="1885"/>
    </row>
    <row r="179" spans="1:40" s="1368" customFormat="1" ht="13.5" customHeight="1">
      <c r="A179" s="1335">
        <v>46</v>
      </c>
      <c r="B179" s="1336" t="s">
        <v>2048</v>
      </c>
      <c r="C179" s="1337" t="s">
        <v>2687</v>
      </c>
      <c r="D179" s="1337" t="s">
        <v>2688</v>
      </c>
      <c r="E179" s="1337" t="s">
        <v>210</v>
      </c>
      <c r="F179" s="1666">
        <f>SUM(F181:F181)</f>
        <v>5</v>
      </c>
      <c r="G179" s="1339"/>
      <c r="H179" s="1339">
        <f>F179*G179</f>
        <v>0</v>
      </c>
      <c r="I179" s="1345" t="s">
        <v>111</v>
      </c>
      <c r="J179" s="1886"/>
      <c r="K179" s="939"/>
      <c r="L179" s="1885"/>
      <c r="M179" s="1885"/>
      <c r="N179" s="1885"/>
      <c r="O179" s="1885"/>
      <c r="P179" s="1885"/>
      <c r="Q179" s="1885"/>
      <c r="R179" s="1885"/>
      <c r="S179" s="1885"/>
      <c r="T179" s="1885"/>
      <c r="U179" s="1885"/>
      <c r="V179" s="1885"/>
      <c r="W179" s="1885"/>
      <c r="X179" s="1885"/>
      <c r="Y179" s="1885"/>
      <c r="Z179" s="1885"/>
      <c r="AA179" s="1885"/>
      <c r="AB179" s="1885"/>
      <c r="AC179" s="1885"/>
      <c r="AD179" s="1885"/>
      <c r="AE179" s="1885"/>
      <c r="AF179" s="1885"/>
      <c r="AG179" s="1885"/>
      <c r="AH179" s="1885"/>
      <c r="AI179" s="1885"/>
      <c r="AJ179" s="1885"/>
      <c r="AK179" s="1885"/>
      <c r="AL179" s="1885"/>
      <c r="AM179" s="1885"/>
      <c r="AN179" s="1885"/>
    </row>
    <row r="180" spans="1:40" s="1368" customFormat="1" ht="13.5" customHeight="1">
      <c r="A180" s="1673"/>
      <c r="B180" s="1659"/>
      <c r="C180" s="1659"/>
      <c r="D180" s="1343" t="s">
        <v>2685</v>
      </c>
      <c r="E180" s="1659"/>
      <c r="F180" s="1598"/>
      <c r="G180" s="1649"/>
      <c r="H180" s="1649"/>
      <c r="I180" s="1670"/>
      <c r="J180" s="1887"/>
      <c r="K180" s="1602"/>
      <c r="L180" s="1885"/>
      <c r="M180" s="1885"/>
      <c r="N180" s="1885"/>
      <c r="O180" s="1885"/>
      <c r="Q180" s="1885"/>
      <c r="R180" s="1889"/>
      <c r="S180" s="1887"/>
      <c r="T180" s="1602"/>
      <c r="U180" s="1885"/>
      <c r="V180" s="1885"/>
      <c r="W180" s="1885"/>
      <c r="X180" s="1885"/>
      <c r="Z180" s="1885"/>
      <c r="AA180" s="1889"/>
      <c r="AB180" s="1885"/>
      <c r="AC180" s="1885"/>
      <c r="AD180" s="1885"/>
      <c r="AE180" s="1885"/>
      <c r="AF180" s="1885"/>
      <c r="AG180" s="1885"/>
      <c r="AH180" s="1885"/>
      <c r="AI180" s="1885"/>
      <c r="AJ180" s="1885"/>
      <c r="AK180" s="1885"/>
      <c r="AL180" s="1885"/>
      <c r="AM180" s="1885"/>
      <c r="AN180" s="1885"/>
    </row>
    <row r="181" spans="1:40" s="1368" customFormat="1" ht="13.5" customHeight="1">
      <c r="A181" s="1673"/>
      <c r="B181" s="1659"/>
      <c r="C181" s="1659"/>
      <c r="D181" s="1343" t="s">
        <v>2686</v>
      </c>
      <c r="E181" s="1659"/>
      <c r="F181" s="1390">
        <v>5</v>
      </c>
      <c r="G181" s="1649"/>
      <c r="H181" s="1649"/>
      <c r="I181" s="1670"/>
      <c r="J181" s="1887"/>
      <c r="K181" s="1602"/>
      <c r="L181" s="1885"/>
      <c r="M181" s="1885"/>
      <c r="N181" s="1885"/>
      <c r="O181" s="1885"/>
      <c r="Q181" s="1885"/>
      <c r="R181" s="1889"/>
      <c r="S181" s="1887"/>
      <c r="T181" s="1602"/>
      <c r="U181" s="1885"/>
      <c r="V181" s="1885"/>
      <c r="W181" s="1885"/>
      <c r="X181" s="1885"/>
      <c r="Z181" s="1885"/>
      <c r="AA181" s="1889"/>
      <c r="AB181" s="1885"/>
      <c r="AC181" s="1885"/>
      <c r="AD181" s="1885"/>
      <c r="AE181" s="1885"/>
      <c r="AF181" s="1885"/>
      <c r="AG181" s="1885"/>
      <c r="AH181" s="1885"/>
      <c r="AI181" s="1885"/>
      <c r="AJ181" s="1885"/>
      <c r="AK181" s="1885"/>
      <c r="AL181" s="1885"/>
      <c r="AM181" s="1885"/>
      <c r="AN181" s="1885"/>
    </row>
    <row r="182" spans="1:40" s="1368" customFormat="1" ht="13.5" customHeight="1">
      <c r="A182" s="1673"/>
      <c r="B182" s="1659"/>
      <c r="C182" s="1659"/>
      <c r="D182" s="1343" t="s">
        <v>2666</v>
      </c>
      <c r="E182" s="1659"/>
      <c r="F182" s="1390"/>
      <c r="G182" s="1649"/>
      <c r="H182" s="1649"/>
      <c r="I182" s="1670"/>
      <c r="J182" s="1887"/>
      <c r="K182" s="1602"/>
      <c r="L182" s="1885"/>
      <c r="M182" s="1885"/>
      <c r="N182" s="1885"/>
      <c r="O182" s="1885"/>
      <c r="Q182" s="1885"/>
      <c r="R182" s="1889"/>
      <c r="S182" s="458"/>
      <c r="T182" s="1885"/>
      <c r="U182" s="1885"/>
      <c r="V182" s="1885"/>
      <c r="W182" s="1885"/>
      <c r="X182" s="1885"/>
      <c r="Y182" s="1885"/>
      <c r="Z182" s="1885"/>
      <c r="AA182" s="1885"/>
      <c r="AB182" s="1885"/>
      <c r="AC182" s="1885"/>
      <c r="AD182" s="1885"/>
      <c r="AE182" s="1885"/>
      <c r="AF182" s="1885"/>
      <c r="AG182" s="1885"/>
      <c r="AH182" s="1885"/>
      <c r="AI182" s="1885"/>
      <c r="AJ182" s="1885"/>
      <c r="AK182" s="1885"/>
      <c r="AL182" s="1885"/>
      <c r="AM182" s="1885"/>
      <c r="AN182" s="1885"/>
    </row>
    <row r="183" spans="1:40" s="1368" customFormat="1" ht="13.5" customHeight="1">
      <c r="A183" s="1335">
        <v>47</v>
      </c>
      <c r="B183" s="1336" t="s">
        <v>2048</v>
      </c>
      <c r="C183" s="1337" t="s">
        <v>2689</v>
      </c>
      <c r="D183" s="1337" t="s">
        <v>2690</v>
      </c>
      <c r="E183" s="1337" t="s">
        <v>210</v>
      </c>
      <c r="F183" s="1666">
        <f>F185</f>
        <v>1</v>
      </c>
      <c r="G183" s="1339"/>
      <c r="H183" s="1339">
        <f>F183*G183</f>
        <v>0</v>
      </c>
      <c r="I183" s="1345" t="s">
        <v>111</v>
      </c>
      <c r="J183" s="1886"/>
      <c r="K183" s="939"/>
      <c r="L183" s="1885"/>
      <c r="M183" s="1885"/>
      <c r="N183" s="1885"/>
      <c r="O183" s="1885"/>
      <c r="P183" s="1885"/>
      <c r="Q183" s="1885"/>
      <c r="R183" s="1885"/>
      <c r="S183" s="1885"/>
      <c r="T183" s="1885"/>
      <c r="U183" s="1885"/>
      <c r="V183" s="1885"/>
      <c r="W183" s="1885"/>
      <c r="X183" s="1885"/>
      <c r="Y183" s="1885"/>
      <c r="Z183" s="1885"/>
      <c r="AA183" s="1885"/>
      <c r="AB183" s="1885"/>
      <c r="AC183" s="1885"/>
      <c r="AD183" s="1885"/>
      <c r="AE183" s="1885"/>
      <c r="AF183" s="1885"/>
      <c r="AG183" s="1885"/>
      <c r="AH183" s="1885"/>
      <c r="AI183" s="1885"/>
      <c r="AJ183" s="1885"/>
      <c r="AK183" s="1885"/>
      <c r="AL183" s="1885"/>
      <c r="AM183" s="1885"/>
      <c r="AN183" s="1885"/>
    </row>
    <row r="184" spans="1:40" s="1368" customFormat="1" ht="13.5" customHeight="1">
      <c r="A184" s="1673"/>
      <c r="B184" s="1659"/>
      <c r="C184" s="1659"/>
      <c r="D184" s="1343" t="s">
        <v>2685</v>
      </c>
      <c r="E184" s="1659"/>
      <c r="F184" s="1598"/>
      <c r="G184" s="1649"/>
      <c r="H184" s="1649"/>
      <c r="I184" s="1670"/>
      <c r="J184" s="1887"/>
      <c r="K184" s="1602"/>
      <c r="L184" s="1885"/>
      <c r="M184" s="1885"/>
      <c r="N184" s="1885"/>
      <c r="O184" s="1885"/>
      <c r="Q184" s="1885"/>
      <c r="R184" s="1889"/>
      <c r="S184" s="1887"/>
      <c r="T184" s="1602"/>
      <c r="U184" s="1885"/>
      <c r="V184" s="1885"/>
      <c r="W184" s="1885"/>
      <c r="X184" s="1885"/>
      <c r="Z184" s="1885"/>
      <c r="AA184" s="1889"/>
      <c r="AB184" s="1885"/>
      <c r="AC184" s="1885"/>
      <c r="AD184" s="1885"/>
      <c r="AE184" s="1885"/>
      <c r="AF184" s="1885"/>
      <c r="AG184" s="1885"/>
      <c r="AH184" s="1885"/>
      <c r="AI184" s="1885"/>
      <c r="AJ184" s="1885"/>
      <c r="AK184" s="1885"/>
      <c r="AL184" s="1885"/>
      <c r="AM184" s="1885"/>
      <c r="AN184" s="1885"/>
    </row>
    <row r="185" spans="1:40" s="1368" customFormat="1" ht="13.5" customHeight="1">
      <c r="A185" s="1673"/>
      <c r="B185" s="1659"/>
      <c r="C185" s="1659"/>
      <c r="D185" s="1343" t="s">
        <v>2686</v>
      </c>
      <c r="E185" s="1659"/>
      <c r="F185" s="1390">
        <v>1</v>
      </c>
      <c r="G185" s="1649"/>
      <c r="H185" s="1649"/>
      <c r="I185" s="1670"/>
      <c r="J185" s="1887"/>
      <c r="K185" s="1602"/>
      <c r="L185" s="1885"/>
      <c r="M185" s="1885"/>
      <c r="N185" s="1885"/>
      <c r="O185" s="1885"/>
      <c r="Q185" s="1885"/>
      <c r="R185" s="1889"/>
      <c r="S185" s="1887"/>
      <c r="T185" s="1602"/>
      <c r="U185" s="1885"/>
      <c r="V185" s="1885"/>
      <c r="W185" s="1885"/>
      <c r="X185" s="1885"/>
      <c r="Z185" s="1885"/>
      <c r="AA185" s="1889"/>
      <c r="AB185" s="1885"/>
      <c r="AC185" s="1885"/>
      <c r="AD185" s="1885"/>
      <c r="AE185" s="1885"/>
      <c r="AF185" s="1885"/>
      <c r="AG185" s="1885"/>
      <c r="AH185" s="1885"/>
      <c r="AI185" s="1885"/>
      <c r="AJ185" s="1885"/>
      <c r="AK185" s="1885"/>
      <c r="AL185" s="1885"/>
      <c r="AM185" s="1885"/>
      <c r="AN185" s="1885"/>
    </row>
    <row r="186" spans="1:40" s="1368" customFormat="1" ht="13.5" customHeight="1">
      <c r="A186" s="1673"/>
      <c r="B186" s="1659"/>
      <c r="C186" s="1659"/>
      <c r="D186" s="1343" t="s">
        <v>2666</v>
      </c>
      <c r="E186" s="1659"/>
      <c r="F186" s="1390"/>
      <c r="G186" s="1649"/>
      <c r="H186" s="1649"/>
      <c r="I186" s="1670"/>
      <c r="J186" s="1887"/>
      <c r="K186" s="1602"/>
      <c r="L186" s="1885"/>
      <c r="M186" s="1885"/>
      <c r="N186" s="1885"/>
      <c r="O186" s="1885"/>
      <c r="Q186" s="1885"/>
      <c r="R186" s="1889"/>
      <c r="S186" s="458"/>
      <c r="T186" s="1885"/>
      <c r="U186" s="1885"/>
      <c r="V186" s="1885"/>
      <c r="W186" s="1885"/>
      <c r="X186" s="1885"/>
      <c r="Y186" s="1885"/>
      <c r="Z186" s="1885"/>
      <c r="AA186" s="1885"/>
      <c r="AB186" s="1885"/>
      <c r="AC186" s="1885"/>
      <c r="AD186" s="1885"/>
      <c r="AE186" s="1885"/>
      <c r="AF186" s="1885"/>
      <c r="AG186" s="1885"/>
      <c r="AH186" s="1885"/>
      <c r="AI186" s="1885"/>
      <c r="AJ186" s="1885"/>
      <c r="AK186" s="1885"/>
      <c r="AL186" s="1885"/>
      <c r="AM186" s="1885"/>
      <c r="AN186" s="1885"/>
    </row>
    <row r="187" spans="1:40" s="1368" customFormat="1" ht="13.5" customHeight="1">
      <c r="A187" s="1335">
        <v>48</v>
      </c>
      <c r="B187" s="1336" t="s">
        <v>2048</v>
      </c>
      <c r="C187" s="1337" t="s">
        <v>2691</v>
      </c>
      <c r="D187" s="1337" t="s">
        <v>2692</v>
      </c>
      <c r="E187" s="1337" t="s">
        <v>210</v>
      </c>
      <c r="F187" s="1666">
        <f>SUM(F189:F189)</f>
        <v>6</v>
      </c>
      <c r="G187" s="1339"/>
      <c r="H187" s="1339">
        <f>F187*G187</f>
        <v>0</v>
      </c>
      <c r="I187" s="1345" t="s">
        <v>111</v>
      </c>
      <c r="J187" s="1887"/>
      <c r="K187" s="1602"/>
      <c r="L187" s="1885"/>
      <c r="M187" s="1885"/>
      <c r="N187" s="1885"/>
      <c r="O187" s="1885"/>
      <c r="P187" s="1885"/>
      <c r="Q187" s="1885"/>
      <c r="R187" s="1889"/>
      <c r="S187" s="1885"/>
      <c r="T187" s="1885"/>
      <c r="U187" s="1885"/>
      <c r="V187" s="1885"/>
      <c r="W187" s="1885"/>
      <c r="X187" s="1885"/>
      <c r="Y187" s="1885"/>
      <c r="Z187" s="1885"/>
      <c r="AA187" s="1885"/>
      <c r="AB187" s="1885"/>
      <c r="AC187" s="1885"/>
      <c r="AD187" s="1885"/>
      <c r="AE187" s="1885"/>
      <c r="AF187" s="1885"/>
      <c r="AG187" s="1885"/>
      <c r="AH187" s="1885"/>
      <c r="AI187" s="1885"/>
      <c r="AJ187" s="1885"/>
      <c r="AK187" s="1885"/>
      <c r="AL187" s="1885"/>
      <c r="AM187" s="1885"/>
      <c r="AN187" s="1885"/>
    </row>
    <row r="188" spans="1:40" s="1368" customFormat="1" ht="13.5" customHeight="1">
      <c r="A188" s="1673"/>
      <c r="B188" s="1659"/>
      <c r="C188" s="1659"/>
      <c r="D188" s="1343" t="s">
        <v>2693</v>
      </c>
      <c r="E188" s="1659"/>
      <c r="F188" s="1598"/>
      <c r="G188" s="1649"/>
      <c r="H188" s="1649"/>
      <c r="I188" s="1670"/>
      <c r="J188" s="1887"/>
      <c r="K188" s="458"/>
      <c r="S188" s="1885"/>
      <c r="T188" s="1931"/>
      <c r="U188" s="458"/>
      <c r="V188" s="1885"/>
      <c r="W188" s="1885"/>
      <c r="X188" s="1885"/>
      <c r="Y188" s="1885"/>
      <c r="Z188" s="1885"/>
      <c r="AA188" s="1885"/>
      <c r="AB188" s="1885"/>
      <c r="AC188" s="1885"/>
      <c r="AD188" s="1885"/>
      <c r="AE188" s="1885"/>
      <c r="AF188" s="1885"/>
      <c r="AG188" s="1885"/>
      <c r="AH188" s="1885"/>
      <c r="AI188" s="1885"/>
      <c r="AJ188" s="1885"/>
      <c r="AK188" s="1885"/>
      <c r="AL188" s="1885"/>
      <c r="AM188" s="1885"/>
      <c r="AN188" s="1885"/>
    </row>
    <row r="189" spans="1:40" s="1368" customFormat="1" ht="13.5" customHeight="1">
      <c r="A189" s="1673"/>
      <c r="B189" s="1659"/>
      <c r="C189" s="1659"/>
      <c r="D189" s="1343" t="s">
        <v>2686</v>
      </c>
      <c r="E189" s="1659"/>
      <c r="F189" s="1390">
        <v>6</v>
      </c>
      <c r="G189" s="1649"/>
      <c r="H189" s="1649"/>
      <c r="I189" s="1670"/>
      <c r="J189" s="1887"/>
      <c r="K189" s="1885"/>
      <c r="S189" s="1885"/>
      <c r="T189" s="1931"/>
      <c r="U189" s="458"/>
      <c r="V189" s="1885"/>
      <c r="W189" s="1885"/>
      <c r="X189" s="1885"/>
      <c r="Y189" s="1885"/>
      <c r="Z189" s="1885"/>
      <c r="AA189" s="1885"/>
      <c r="AB189" s="1885"/>
      <c r="AC189" s="1885"/>
      <c r="AD189" s="1885"/>
      <c r="AE189" s="1885"/>
      <c r="AF189" s="1885"/>
      <c r="AG189" s="1885"/>
      <c r="AH189" s="1885"/>
      <c r="AI189" s="1885"/>
      <c r="AJ189" s="1885"/>
      <c r="AK189" s="1885"/>
      <c r="AL189" s="1885"/>
      <c r="AM189" s="1885"/>
      <c r="AN189" s="1885"/>
    </row>
    <row r="190" spans="1:40" s="1368" customFormat="1" ht="13.5" customHeight="1">
      <c r="A190" s="1673"/>
      <c r="B190" s="1659"/>
      <c r="C190" s="1659"/>
      <c r="D190" s="1343" t="s">
        <v>2694</v>
      </c>
      <c r="E190" s="1659"/>
      <c r="F190" s="1390"/>
      <c r="G190" s="1649"/>
      <c r="H190" s="1649"/>
      <c r="I190" s="1670"/>
      <c r="J190" s="1887"/>
      <c r="K190" s="1885"/>
      <c r="S190" s="1885"/>
      <c r="T190" s="1931"/>
      <c r="U190" s="458"/>
      <c r="V190" s="1885"/>
      <c r="W190" s="1885"/>
      <c r="X190" s="1885"/>
      <c r="Y190" s="1885"/>
      <c r="Z190" s="1885"/>
      <c r="AA190" s="1885"/>
      <c r="AB190" s="1885"/>
      <c r="AC190" s="1885"/>
      <c r="AD190" s="1885"/>
      <c r="AE190" s="1885"/>
      <c r="AF190" s="1885"/>
      <c r="AG190" s="1885"/>
      <c r="AH190" s="1885"/>
      <c r="AI190" s="1885"/>
      <c r="AJ190" s="1885"/>
      <c r="AK190" s="1885"/>
      <c r="AL190" s="1885"/>
      <c r="AM190" s="1885"/>
      <c r="AN190" s="1885"/>
    </row>
    <row r="191" spans="1:40" s="1368" customFormat="1" ht="13.5" customHeight="1">
      <c r="A191" s="1335">
        <v>49</v>
      </c>
      <c r="B191" s="1336" t="s">
        <v>2048</v>
      </c>
      <c r="C191" s="1337" t="s">
        <v>2695</v>
      </c>
      <c r="D191" s="1337" t="s">
        <v>2696</v>
      </c>
      <c r="E191" s="1337" t="s">
        <v>210</v>
      </c>
      <c r="F191" s="1666">
        <f>SUM(F193:F193)</f>
        <v>5</v>
      </c>
      <c r="G191" s="1339"/>
      <c r="H191" s="1339">
        <f>F191*G191</f>
        <v>0</v>
      </c>
      <c r="I191" s="1345" t="s">
        <v>111</v>
      </c>
      <c r="J191" s="1887"/>
      <c r="K191" s="1602"/>
      <c r="L191" s="1602"/>
      <c r="M191" s="1602"/>
      <c r="N191" s="1602"/>
      <c r="O191" s="1602"/>
      <c r="P191" s="1885"/>
      <c r="Q191" s="1885"/>
      <c r="R191" s="1885"/>
      <c r="S191" s="1885"/>
      <c r="T191" s="1885"/>
      <c r="U191" s="1889"/>
      <c r="V191" s="1885"/>
      <c r="W191" s="1885"/>
      <c r="X191" s="1885"/>
      <c r="Y191" s="1885"/>
      <c r="Z191" s="1885"/>
      <c r="AA191" s="1885"/>
      <c r="AB191" s="1885"/>
      <c r="AC191" s="1885"/>
      <c r="AD191" s="1885"/>
      <c r="AE191" s="1885"/>
      <c r="AF191" s="1885"/>
      <c r="AG191" s="1885"/>
      <c r="AH191" s="1885"/>
      <c r="AI191" s="1885"/>
      <c r="AJ191" s="1885"/>
      <c r="AK191" s="1885"/>
      <c r="AL191" s="1885"/>
      <c r="AM191" s="1885"/>
      <c r="AN191" s="1885"/>
    </row>
    <row r="192" spans="1:40" s="1368" customFormat="1" ht="13.5" customHeight="1">
      <c r="A192" s="1673"/>
      <c r="B192" s="1659"/>
      <c r="C192" s="1659"/>
      <c r="D192" s="1343" t="s">
        <v>2697</v>
      </c>
      <c r="E192" s="1659"/>
      <c r="F192" s="1598"/>
      <c r="G192" s="1649"/>
      <c r="H192" s="1649"/>
      <c r="I192" s="1670"/>
      <c r="J192" s="1932"/>
      <c r="K192" s="458"/>
      <c r="L192" s="1885"/>
      <c r="M192" s="1885"/>
      <c r="N192" s="1885"/>
      <c r="O192" s="1885"/>
      <c r="P192" s="1885"/>
      <c r="Q192" s="1357"/>
      <c r="R192" s="1885"/>
      <c r="S192" s="1885"/>
      <c r="T192" s="1885"/>
      <c r="U192" s="1889"/>
      <c r="V192" s="1885"/>
      <c r="W192" s="1885"/>
      <c r="X192" s="1885"/>
      <c r="Y192" s="1885"/>
      <c r="Z192" s="1885"/>
      <c r="AA192" s="1885"/>
      <c r="AB192" s="1885"/>
      <c r="AC192" s="1885"/>
      <c r="AD192" s="1885"/>
      <c r="AE192" s="1885"/>
      <c r="AF192" s="1885"/>
      <c r="AG192" s="1885"/>
      <c r="AH192" s="1885"/>
      <c r="AI192" s="1885"/>
      <c r="AJ192" s="1885"/>
      <c r="AK192" s="1885"/>
      <c r="AL192" s="1885"/>
      <c r="AM192" s="1885"/>
      <c r="AN192" s="1885"/>
    </row>
    <row r="193" spans="1:40" s="1368" customFormat="1" ht="13.5" customHeight="1">
      <c r="A193" s="1673"/>
      <c r="B193" s="1659"/>
      <c r="C193" s="1659"/>
      <c r="D193" s="1343" t="s">
        <v>2686</v>
      </c>
      <c r="E193" s="1659"/>
      <c r="F193" s="1390">
        <v>5</v>
      </c>
      <c r="G193" s="1649"/>
      <c r="H193" s="1649"/>
      <c r="I193" s="1670"/>
      <c r="J193" s="1932"/>
      <c r="K193" s="458"/>
      <c r="L193" s="1885"/>
      <c r="M193" s="1885"/>
      <c r="N193" s="1885"/>
      <c r="O193" s="1885"/>
      <c r="P193" s="1885"/>
      <c r="Q193" s="1357"/>
      <c r="R193" s="1885"/>
      <c r="S193" s="1885"/>
      <c r="T193" s="1885"/>
      <c r="U193" s="1889"/>
      <c r="V193" s="1885"/>
      <c r="W193" s="1885"/>
      <c r="X193" s="1885"/>
      <c r="Y193" s="1885"/>
      <c r="Z193" s="1885"/>
      <c r="AA193" s="1885"/>
      <c r="AB193" s="1885"/>
      <c r="AC193" s="1885"/>
      <c r="AD193" s="1885"/>
      <c r="AE193" s="1885"/>
      <c r="AF193" s="1885"/>
      <c r="AG193" s="1885"/>
      <c r="AH193" s="1885"/>
      <c r="AI193" s="1885"/>
      <c r="AJ193" s="1885"/>
      <c r="AK193" s="1885"/>
      <c r="AL193" s="1885"/>
      <c r="AM193" s="1885"/>
      <c r="AN193" s="1885"/>
    </row>
    <row r="194" spans="1:40" s="1368" customFormat="1" ht="13.5" customHeight="1">
      <c r="A194" s="1673"/>
      <c r="B194" s="1659"/>
      <c r="C194" s="1659"/>
      <c r="D194" s="1343" t="s">
        <v>2698</v>
      </c>
      <c r="E194" s="1659"/>
      <c r="F194" s="1390"/>
      <c r="G194" s="1649"/>
      <c r="H194" s="1649"/>
      <c r="I194" s="1670"/>
      <c r="J194" s="1933"/>
      <c r="K194" s="1885"/>
      <c r="L194" s="1885"/>
      <c r="M194" s="1885"/>
      <c r="N194" s="1885"/>
      <c r="O194" s="1885"/>
      <c r="P194" s="1885"/>
      <c r="Q194" s="1357"/>
      <c r="R194" s="1885"/>
      <c r="S194" s="1885"/>
      <c r="T194" s="1885"/>
      <c r="U194" s="1885"/>
      <c r="V194" s="1885"/>
      <c r="W194" s="1885"/>
      <c r="X194" s="1885"/>
      <c r="Y194" s="1885"/>
      <c r="Z194" s="1885"/>
      <c r="AA194" s="1885"/>
      <c r="AB194" s="1885"/>
      <c r="AC194" s="1885"/>
      <c r="AD194" s="1885"/>
      <c r="AE194" s="1885"/>
      <c r="AF194" s="1885"/>
      <c r="AG194" s="1885"/>
      <c r="AH194" s="1885"/>
      <c r="AI194" s="1885"/>
      <c r="AJ194" s="1885"/>
      <c r="AK194" s="1885"/>
      <c r="AL194" s="1885"/>
      <c r="AM194" s="1885"/>
      <c r="AN194" s="1885"/>
    </row>
    <row r="195" spans="1:40" s="1368" customFormat="1" ht="13.5" customHeight="1">
      <c r="A195" s="1335">
        <v>50</v>
      </c>
      <c r="B195" s="1336">
        <v>721</v>
      </c>
      <c r="C195" s="1337" t="s">
        <v>2699</v>
      </c>
      <c r="D195" s="1337" t="s">
        <v>2700</v>
      </c>
      <c r="E195" s="1337" t="s">
        <v>210</v>
      </c>
      <c r="F195" s="1666">
        <f>SUM(F197:F197)</f>
        <v>19</v>
      </c>
      <c r="G195" s="1339"/>
      <c r="H195" s="1339">
        <f>F195*G195</f>
        <v>0</v>
      </c>
      <c r="I195" s="1345" t="s">
        <v>111</v>
      </c>
      <c r="J195" s="1934"/>
      <c r="K195" s="1602"/>
      <c r="L195" s="1885"/>
      <c r="M195" s="1885"/>
      <c r="N195" s="1885"/>
      <c r="O195" s="1885"/>
      <c r="P195" s="1885"/>
      <c r="Q195" s="1885"/>
      <c r="R195" s="1889"/>
      <c r="S195" s="1885"/>
      <c r="T195" s="1885"/>
      <c r="U195" s="1885"/>
      <c r="V195" s="1885"/>
      <c r="W195" s="1885"/>
      <c r="X195" s="1885"/>
      <c r="Y195" s="1885"/>
      <c r="Z195" s="1885"/>
      <c r="AA195" s="1885"/>
      <c r="AB195" s="1885"/>
      <c r="AC195" s="1885"/>
      <c r="AD195" s="1885"/>
      <c r="AE195" s="1885"/>
      <c r="AF195" s="1885"/>
      <c r="AG195" s="1885"/>
      <c r="AH195" s="1885"/>
      <c r="AI195" s="1885"/>
      <c r="AJ195" s="1885"/>
      <c r="AK195" s="1885"/>
      <c r="AL195" s="1885"/>
      <c r="AM195" s="1885"/>
      <c r="AN195" s="1885"/>
    </row>
    <row r="196" spans="1:40" s="1368" customFormat="1" ht="13.5" customHeight="1">
      <c r="A196" s="1673"/>
      <c r="B196" s="1659"/>
      <c r="C196" s="1659"/>
      <c r="D196" s="1343" t="s">
        <v>2701</v>
      </c>
      <c r="E196" s="1659"/>
      <c r="F196" s="1390"/>
      <c r="G196" s="1649"/>
      <c r="H196" s="1649"/>
      <c r="I196" s="1670"/>
      <c r="J196" s="1887"/>
      <c r="K196" s="458"/>
      <c r="S196" s="1885"/>
      <c r="T196" s="1931"/>
      <c r="U196" s="458"/>
      <c r="V196" s="1885"/>
      <c r="W196" s="1885"/>
      <c r="X196" s="1885"/>
      <c r="Y196" s="1885"/>
      <c r="Z196" s="1885"/>
      <c r="AA196" s="1885"/>
      <c r="AB196" s="1885"/>
      <c r="AC196" s="1885"/>
      <c r="AD196" s="1885"/>
      <c r="AE196" s="1885"/>
      <c r="AF196" s="1885"/>
      <c r="AG196" s="1885"/>
      <c r="AH196" s="1885"/>
      <c r="AI196" s="1885"/>
      <c r="AJ196" s="1885"/>
      <c r="AK196" s="1885"/>
      <c r="AL196" s="1885"/>
      <c r="AM196" s="1885"/>
      <c r="AN196" s="1885"/>
    </row>
    <row r="197" spans="1:40" s="1368" customFormat="1" ht="13.5" customHeight="1">
      <c r="A197" s="1673"/>
      <c r="B197" s="1659"/>
      <c r="C197" s="1659"/>
      <c r="D197" s="1343" t="s">
        <v>2686</v>
      </c>
      <c r="E197" s="1659"/>
      <c r="F197" s="1390">
        <v>19</v>
      </c>
      <c r="G197" s="1649"/>
      <c r="H197" s="1649"/>
      <c r="I197" s="1670"/>
      <c r="J197" s="1887"/>
      <c r="K197" s="458"/>
      <c r="S197" s="1885"/>
      <c r="T197" s="1931"/>
      <c r="U197" s="458"/>
      <c r="V197" s="1885"/>
      <c r="W197" s="1885"/>
      <c r="X197" s="1885"/>
      <c r="Y197" s="1885"/>
      <c r="Z197" s="1885"/>
      <c r="AA197" s="1885"/>
      <c r="AB197" s="1885"/>
      <c r="AC197" s="1885"/>
      <c r="AD197" s="1885"/>
      <c r="AE197" s="1885"/>
      <c r="AF197" s="1885"/>
      <c r="AG197" s="1885"/>
      <c r="AH197" s="1885"/>
      <c r="AI197" s="1885"/>
      <c r="AJ197" s="1885"/>
      <c r="AK197" s="1885"/>
      <c r="AL197" s="1885"/>
      <c r="AM197" s="1885"/>
      <c r="AN197" s="1885"/>
    </row>
    <row r="198" spans="1:40" s="1368" customFormat="1" ht="27" customHeight="1">
      <c r="A198" s="1673"/>
      <c r="B198" s="1659"/>
      <c r="C198" s="1659"/>
      <c r="D198" s="1343" t="s">
        <v>2702</v>
      </c>
      <c r="E198" s="1659"/>
      <c r="F198" s="1390"/>
      <c r="G198" s="1649"/>
      <c r="H198" s="1649"/>
      <c r="I198" s="1670"/>
      <c r="V198" s="1885"/>
      <c r="W198" s="1885"/>
      <c r="X198" s="1885"/>
      <c r="Y198" s="1885"/>
      <c r="Z198" s="1885"/>
      <c r="AA198" s="1885"/>
      <c r="AB198" s="1885"/>
      <c r="AC198" s="1885"/>
      <c r="AD198" s="1885"/>
      <c r="AE198" s="1885"/>
      <c r="AF198" s="1885"/>
      <c r="AG198" s="1885"/>
      <c r="AH198" s="1885"/>
      <c r="AI198" s="1885"/>
      <c r="AJ198" s="1885"/>
      <c r="AK198" s="1885"/>
      <c r="AL198" s="1885"/>
      <c r="AM198" s="1885"/>
      <c r="AN198" s="1885"/>
    </row>
    <row r="199" spans="1:40" s="1291" customFormat="1" ht="13.5" customHeight="1">
      <c r="A199" s="1335">
        <v>51</v>
      </c>
      <c r="B199" s="1337">
        <v>721</v>
      </c>
      <c r="C199" s="1337" t="s">
        <v>2703</v>
      </c>
      <c r="D199" s="1337" t="s">
        <v>2704</v>
      </c>
      <c r="E199" s="1337" t="s">
        <v>49</v>
      </c>
      <c r="F199" s="1666">
        <f>SUM(F200)</f>
        <v>1</v>
      </c>
      <c r="G199" s="1339"/>
      <c r="H199" s="1339">
        <f>F199*G199</f>
        <v>0</v>
      </c>
      <c r="I199" s="1345" t="s">
        <v>111</v>
      </c>
    </row>
    <row r="200" spans="1:40" s="1357" customFormat="1" ht="27" customHeight="1">
      <c r="A200" s="1359"/>
      <c r="B200" s="1352"/>
      <c r="C200" s="1352"/>
      <c r="D200" s="1343" t="s">
        <v>2705</v>
      </c>
      <c r="E200" s="1352"/>
      <c r="F200" s="1390">
        <v>1</v>
      </c>
      <c r="G200" s="1360"/>
      <c r="H200" s="1339"/>
      <c r="I200" s="1356"/>
    </row>
    <row r="201" spans="1:40" s="1357" customFormat="1" ht="27" customHeight="1">
      <c r="A201" s="1359"/>
      <c r="B201" s="1352"/>
      <c r="C201" s="1352"/>
      <c r="D201" s="1343" t="s">
        <v>2706</v>
      </c>
      <c r="E201" s="1352"/>
      <c r="F201" s="1390"/>
      <c r="G201" s="1360"/>
      <c r="H201" s="1339"/>
      <c r="I201" s="1356"/>
    </row>
    <row r="202" spans="1:40" s="1291" customFormat="1" ht="13.5" customHeight="1">
      <c r="A202" s="1335">
        <v>52</v>
      </c>
      <c r="B202" s="1337">
        <v>721</v>
      </c>
      <c r="C202" s="1337" t="s">
        <v>2113</v>
      </c>
      <c r="D202" s="1337" t="s">
        <v>2114</v>
      </c>
      <c r="E202" s="1337" t="s">
        <v>49</v>
      </c>
      <c r="F202" s="1666">
        <f>SUM(F203)</f>
        <v>1</v>
      </c>
      <c r="G202" s="1339"/>
      <c r="H202" s="1339">
        <f>F202*G202</f>
        <v>0</v>
      </c>
      <c r="I202" s="1345" t="s">
        <v>111</v>
      </c>
    </row>
    <row r="203" spans="1:40" s="1291" customFormat="1" ht="27" customHeight="1">
      <c r="A203" s="1335"/>
      <c r="B203" s="1337"/>
      <c r="C203" s="1337"/>
      <c r="D203" s="1343" t="s">
        <v>2707</v>
      </c>
      <c r="E203" s="1389"/>
      <c r="F203" s="1390">
        <v>1</v>
      </c>
      <c r="G203" s="1339"/>
      <c r="H203" s="1339"/>
      <c r="I203" s="1345"/>
      <c r="J203" s="1361"/>
      <c r="K203" s="1391"/>
    </row>
    <row r="204" spans="1:40" s="1291" customFormat="1" ht="81" customHeight="1">
      <c r="A204" s="739"/>
      <c r="B204" s="1646"/>
      <c r="C204" s="1352"/>
      <c r="D204" s="251" t="s">
        <v>2708</v>
      </c>
      <c r="E204" s="1343"/>
      <c r="F204" s="1879"/>
      <c r="G204" s="1355"/>
      <c r="H204" s="1355"/>
      <c r="I204" s="1356"/>
      <c r="J204" s="1677"/>
      <c r="K204" s="1678"/>
      <c r="L204" s="1679"/>
      <c r="M204" s="1679"/>
    </row>
    <row r="205" spans="1:40" s="1291" customFormat="1" ht="13.5" customHeight="1">
      <c r="A205" s="1335">
        <v>53</v>
      </c>
      <c r="B205" s="1337">
        <v>721</v>
      </c>
      <c r="C205" s="1337" t="s">
        <v>2709</v>
      </c>
      <c r="D205" s="1337" t="s">
        <v>2710</v>
      </c>
      <c r="E205" s="1337" t="s">
        <v>49</v>
      </c>
      <c r="F205" s="1666">
        <f>SUM(F206)</f>
        <v>1</v>
      </c>
      <c r="G205" s="1339"/>
      <c r="H205" s="1339">
        <f>F205*G205</f>
        <v>0</v>
      </c>
      <c r="I205" s="1345" t="s">
        <v>111</v>
      </c>
    </row>
    <row r="206" spans="1:40" s="1291" customFormat="1" ht="27" customHeight="1">
      <c r="A206" s="1335"/>
      <c r="B206" s="1337"/>
      <c r="C206" s="1337"/>
      <c r="D206" s="1343" t="s">
        <v>2711</v>
      </c>
      <c r="E206" s="1337"/>
      <c r="F206" s="1390">
        <v>1</v>
      </c>
      <c r="G206" s="1339"/>
      <c r="H206" s="1339"/>
      <c r="I206" s="1345"/>
    </row>
    <row r="207" spans="1:40" s="1357" customFormat="1" ht="101.25">
      <c r="A207" s="1359"/>
      <c r="B207" s="1352"/>
      <c r="C207" s="1352"/>
      <c r="D207" s="1674" t="s">
        <v>2712</v>
      </c>
      <c r="E207" s="1352"/>
      <c r="F207" s="1390"/>
      <c r="G207" s="1360"/>
      <c r="H207" s="1339"/>
      <c r="I207" s="1356"/>
    </row>
    <row r="208" spans="1:40" s="1291" customFormat="1" ht="13.5" customHeight="1">
      <c r="A208" s="1335">
        <v>54</v>
      </c>
      <c r="B208" s="1337">
        <v>721</v>
      </c>
      <c r="C208" s="1337" t="s">
        <v>2713</v>
      </c>
      <c r="D208" s="1337" t="s">
        <v>1962</v>
      </c>
      <c r="E208" s="1337" t="s">
        <v>49</v>
      </c>
      <c r="F208" s="1666">
        <f>SUM(F210)</f>
        <v>1</v>
      </c>
      <c r="G208" s="1339"/>
      <c r="H208" s="1339">
        <f>F208*G208</f>
        <v>0</v>
      </c>
      <c r="I208" s="1345" t="s">
        <v>111</v>
      </c>
    </row>
    <row r="209" spans="1:29" s="1357" customFormat="1" ht="27" customHeight="1">
      <c r="A209" s="1359"/>
      <c r="B209" s="1352"/>
      <c r="C209" s="1352"/>
      <c r="D209" s="1343" t="s">
        <v>2714</v>
      </c>
      <c r="E209" s="1352"/>
      <c r="F209" s="1390"/>
      <c r="G209" s="1360"/>
      <c r="H209" s="1339"/>
      <c r="I209" s="1356"/>
    </row>
    <row r="210" spans="1:29" s="1357" customFormat="1" ht="13.5" customHeight="1">
      <c r="A210" s="1359"/>
      <c r="B210" s="1352"/>
      <c r="C210" s="1352"/>
      <c r="D210" s="1343" t="s">
        <v>1964</v>
      </c>
      <c r="E210" s="1352"/>
      <c r="F210" s="1390">
        <v>1</v>
      </c>
      <c r="G210" s="1360"/>
      <c r="H210" s="1339"/>
      <c r="I210" s="1356"/>
    </row>
    <row r="211" spans="1:29" s="1357" customFormat="1" ht="13.5" customHeight="1">
      <c r="A211" s="1359"/>
      <c r="B211" s="1352"/>
      <c r="C211" s="1352"/>
      <c r="D211" s="1343" t="s">
        <v>2715</v>
      </c>
      <c r="E211" s="1352"/>
      <c r="F211" s="1390"/>
      <c r="G211" s="1360"/>
      <c r="H211" s="1339"/>
      <c r="I211" s="1356"/>
    </row>
    <row r="212" spans="1:29" s="1291" customFormat="1" ht="13.5" customHeight="1">
      <c r="A212" s="1335">
        <v>55</v>
      </c>
      <c r="B212" s="1337">
        <v>721</v>
      </c>
      <c r="C212" s="1337" t="s">
        <v>2716</v>
      </c>
      <c r="D212" s="1337" t="s">
        <v>2069</v>
      </c>
      <c r="E212" s="1337" t="s">
        <v>49</v>
      </c>
      <c r="F212" s="1666">
        <f>SUM(F213)</f>
        <v>1</v>
      </c>
      <c r="G212" s="1339"/>
      <c r="H212" s="1339">
        <f>F212*G212</f>
        <v>0</v>
      </c>
      <c r="I212" s="1345" t="s">
        <v>111</v>
      </c>
    </row>
    <row r="213" spans="1:29" s="1341" customFormat="1" ht="27" customHeight="1">
      <c r="A213" s="1335"/>
      <c r="B213" s="1336"/>
      <c r="C213" s="1337"/>
      <c r="D213" s="1343" t="s">
        <v>2070</v>
      </c>
      <c r="E213" s="1337"/>
      <c r="F213" s="1390">
        <v>1</v>
      </c>
      <c r="G213" s="1339"/>
      <c r="H213" s="1339"/>
      <c r="I213" s="1345"/>
      <c r="J213" s="1361"/>
      <c r="M213" s="1340"/>
    </row>
    <row r="214" spans="1:29" s="1341" customFormat="1" ht="27" customHeight="1">
      <c r="A214" s="1335"/>
      <c r="B214" s="1336"/>
      <c r="C214" s="1337"/>
      <c r="D214" s="1343" t="s">
        <v>2071</v>
      </c>
      <c r="E214" s="1337"/>
      <c r="F214" s="1390"/>
      <c r="G214" s="1339"/>
      <c r="H214" s="1339"/>
      <c r="I214" s="1345"/>
      <c r="J214" s="1361"/>
      <c r="M214" s="1340"/>
    </row>
    <row r="215" spans="1:29" s="1291" customFormat="1" ht="13.5" customHeight="1">
      <c r="A215" s="1873">
        <v>56</v>
      </c>
      <c r="B215" s="1337">
        <v>721</v>
      </c>
      <c r="C215" s="1337">
        <v>998721202</v>
      </c>
      <c r="D215" s="1337" t="s">
        <v>2717</v>
      </c>
      <c r="E215" s="1337" t="s">
        <v>10</v>
      </c>
      <c r="F215" s="1666">
        <v>0.97</v>
      </c>
      <c r="G215" s="1935"/>
      <c r="H215" s="1339">
        <f>F215*G215</f>
        <v>0</v>
      </c>
      <c r="I215" s="1345" t="s">
        <v>138</v>
      </c>
      <c r="J215" s="1936"/>
      <c r="K215" s="1937"/>
    </row>
    <row r="216" spans="1:29" s="1357" customFormat="1" ht="13.5" customHeight="1">
      <c r="A216" s="1873">
        <v>57</v>
      </c>
      <c r="B216" s="1337" t="s">
        <v>369</v>
      </c>
      <c r="C216" s="1337" t="s">
        <v>2073</v>
      </c>
      <c r="D216" s="1337" t="s">
        <v>2074</v>
      </c>
      <c r="E216" s="1337" t="s">
        <v>69</v>
      </c>
      <c r="F216" s="1666">
        <f>SUM(F217)</f>
        <v>10</v>
      </c>
      <c r="G216" s="1339"/>
      <c r="H216" s="1339">
        <f>F216*G216</f>
        <v>0</v>
      </c>
      <c r="I216" s="1345" t="s">
        <v>138</v>
      </c>
    </row>
    <row r="217" spans="1:29" s="1357" customFormat="1" ht="13.5" customHeight="1">
      <c r="A217" s="1359"/>
      <c r="B217" s="1352"/>
      <c r="C217" s="1352"/>
      <c r="D217" s="1343" t="s">
        <v>2718</v>
      </c>
      <c r="E217" s="1352"/>
      <c r="F217" s="1390">
        <v>10</v>
      </c>
      <c r="G217" s="1360"/>
      <c r="H217" s="1339"/>
      <c r="I217" s="1356"/>
    </row>
    <row r="218" spans="1:29" s="1357" customFormat="1" ht="27" customHeight="1">
      <c r="A218" s="1359"/>
      <c r="B218" s="1352"/>
      <c r="C218" s="1352"/>
      <c r="D218" s="1938" t="s">
        <v>2183</v>
      </c>
      <c r="E218" s="1352"/>
      <c r="F218" s="1390"/>
      <c r="G218" s="1360"/>
      <c r="H218" s="1339"/>
      <c r="I218" s="1356"/>
    </row>
    <row r="219" spans="1:29" s="1291" customFormat="1" ht="13.5" customHeight="1">
      <c r="A219" s="1363"/>
      <c r="B219" s="1364"/>
      <c r="C219" s="1364">
        <v>722</v>
      </c>
      <c r="D219" s="1364" t="s">
        <v>2719</v>
      </c>
      <c r="E219" s="1364"/>
      <c r="F219" s="1869"/>
      <c r="G219" s="1939"/>
      <c r="H219" s="1597">
        <f>SUM(H220:H229,H232:H235,H239:H242,H245:H248,H252:H255,H258:H261,H265:H268,H271:H274,H278:H383)</f>
        <v>0</v>
      </c>
      <c r="I219" s="1598"/>
      <c r="J219" s="1928"/>
    </row>
    <row r="220" spans="1:29" s="158" customFormat="1" ht="13.5" customHeight="1">
      <c r="A220" s="1335">
        <v>58</v>
      </c>
      <c r="B220" s="1337">
        <v>721</v>
      </c>
      <c r="C220" s="1337">
        <v>722130233</v>
      </c>
      <c r="D220" s="1337" t="s">
        <v>2720</v>
      </c>
      <c r="E220" s="1337" t="s">
        <v>142</v>
      </c>
      <c r="F220" s="1666">
        <f>SUM(F222)</f>
        <v>22.330000000000002</v>
      </c>
      <c r="G220" s="1339"/>
      <c r="H220" s="1339">
        <f>F220*G220</f>
        <v>0</v>
      </c>
      <c r="I220" s="1345" t="s">
        <v>112</v>
      </c>
      <c r="J220" s="1887"/>
      <c r="K220" s="1602"/>
      <c r="L220" s="1602"/>
      <c r="M220" s="1602"/>
      <c r="N220" s="1602"/>
      <c r="O220" s="1602"/>
      <c r="P220" s="1602"/>
      <c r="Q220" s="1885"/>
      <c r="R220" s="1885"/>
      <c r="S220" s="1885"/>
      <c r="T220" s="1885"/>
      <c r="U220" s="1889"/>
      <c r="V220" s="1291"/>
      <c r="W220" s="1291"/>
      <c r="X220" s="1291"/>
      <c r="Y220" s="1291"/>
      <c r="Z220" s="1291"/>
      <c r="AA220" s="1291"/>
      <c r="AB220" s="1291"/>
      <c r="AC220" s="1291"/>
    </row>
    <row r="221" spans="1:29" s="158" customFormat="1" ht="13.5" customHeight="1">
      <c r="A221" s="1673"/>
      <c r="B221" s="1659"/>
      <c r="C221" s="1659"/>
      <c r="D221" s="1343" t="s">
        <v>2721</v>
      </c>
      <c r="E221" s="1659"/>
      <c r="F221" s="1390"/>
      <c r="G221" s="1649"/>
      <c r="H221" s="1649"/>
      <c r="I221" s="1670"/>
      <c r="J221" s="1887"/>
      <c r="K221" s="1602"/>
      <c r="L221" s="1602"/>
      <c r="M221" s="1602"/>
      <c r="N221" s="1602"/>
      <c r="O221" s="1602"/>
      <c r="P221" s="1602"/>
      <c r="Q221" s="1885"/>
      <c r="R221" s="1885"/>
      <c r="S221" s="1885"/>
      <c r="T221" s="1885"/>
      <c r="U221" s="1889"/>
      <c r="V221" s="1885"/>
      <c r="W221" s="1885"/>
      <c r="X221" s="1885"/>
      <c r="Y221" s="1885"/>
      <c r="Z221" s="1885"/>
      <c r="AA221" s="1885"/>
      <c r="AB221" s="1885"/>
      <c r="AC221" s="1885"/>
    </row>
    <row r="222" spans="1:29" s="158" customFormat="1" ht="13.5" customHeight="1">
      <c r="A222" s="1673"/>
      <c r="B222" s="1659"/>
      <c r="C222" s="1659"/>
      <c r="D222" s="1343" t="s">
        <v>2722</v>
      </c>
      <c r="E222" s="1659"/>
      <c r="F222" s="1390">
        <f>(20.3)*1.1</f>
        <v>22.330000000000002</v>
      </c>
      <c r="G222" s="1649"/>
      <c r="H222" s="1649"/>
      <c r="I222" s="1670"/>
      <c r="J222" s="1940"/>
      <c r="K222" s="1602"/>
      <c r="L222" s="1602"/>
      <c r="M222" s="1602"/>
      <c r="N222" s="1602"/>
      <c r="O222" s="1602"/>
      <c r="P222" s="1602"/>
      <c r="Q222" s="1885"/>
      <c r="R222" s="1885"/>
      <c r="S222" s="1885"/>
      <c r="T222" s="1885"/>
      <c r="U222" s="1889"/>
      <c r="V222" s="1885"/>
      <c r="W222" s="1885"/>
      <c r="X222" s="1885"/>
      <c r="Y222" s="1885"/>
      <c r="Z222" s="1885"/>
      <c r="AA222" s="1885"/>
      <c r="AB222" s="1885"/>
      <c r="AC222" s="1885"/>
    </row>
    <row r="223" spans="1:29" s="158" customFormat="1" ht="13.5" customHeight="1">
      <c r="A223" s="1673"/>
      <c r="B223" s="1659"/>
      <c r="C223" s="1659"/>
      <c r="D223" s="1343" t="s">
        <v>2624</v>
      </c>
      <c r="E223" s="1659"/>
      <c r="F223" s="1941"/>
      <c r="G223" s="1649"/>
      <c r="H223" s="1649"/>
      <c r="I223" s="1709"/>
      <c r="J223" s="1887"/>
      <c r="K223" s="1602"/>
      <c r="L223" s="1602"/>
      <c r="M223" s="1602"/>
      <c r="N223" s="1602"/>
      <c r="O223" s="1602"/>
      <c r="P223" s="1602"/>
      <c r="Q223" s="1885"/>
      <c r="R223" s="1885"/>
      <c r="S223" s="1885"/>
      <c r="T223" s="1885"/>
      <c r="U223" s="1889"/>
      <c r="V223" s="1885"/>
      <c r="W223" s="1885"/>
      <c r="X223" s="1885"/>
      <c r="Y223" s="1885"/>
      <c r="Z223" s="1885"/>
      <c r="AA223" s="1885"/>
      <c r="AB223" s="1885"/>
      <c r="AC223" s="1885"/>
    </row>
    <row r="224" spans="1:29" s="158" customFormat="1" ht="13.5" customHeight="1">
      <c r="A224" s="1335">
        <v>59</v>
      </c>
      <c r="B224" s="1337">
        <v>721</v>
      </c>
      <c r="C224" s="1337">
        <v>722130234</v>
      </c>
      <c r="D224" s="1337" t="s">
        <v>2723</v>
      </c>
      <c r="E224" s="1337" t="s">
        <v>142</v>
      </c>
      <c r="F224" s="1666">
        <f>SUM(F226)</f>
        <v>10.780000000000001</v>
      </c>
      <c r="G224" s="1339"/>
      <c r="H224" s="1339">
        <f>F224*G224</f>
        <v>0</v>
      </c>
      <c r="I224" s="1345" t="s">
        <v>112</v>
      </c>
      <c r="J224" s="1887"/>
      <c r="K224" s="1602"/>
      <c r="L224" s="1602"/>
      <c r="M224" s="1602"/>
      <c r="N224" s="1602"/>
      <c r="O224" s="1602"/>
      <c r="P224" s="1602"/>
      <c r="Q224" s="1885"/>
      <c r="R224" s="1885"/>
      <c r="S224" s="1885"/>
      <c r="T224" s="1885"/>
      <c r="U224" s="1889"/>
      <c r="V224" s="1291"/>
      <c r="W224" s="1291"/>
      <c r="X224" s="1291"/>
      <c r="Y224" s="1291"/>
      <c r="Z224" s="1291"/>
      <c r="AA224" s="1291"/>
      <c r="AB224" s="1291"/>
      <c r="AC224" s="1291"/>
    </row>
    <row r="225" spans="1:30" s="158" customFormat="1" ht="13.5" customHeight="1">
      <c r="A225" s="1673"/>
      <c r="B225" s="1659"/>
      <c r="C225" s="1659"/>
      <c r="D225" s="1343" t="s">
        <v>2721</v>
      </c>
      <c r="E225" s="1659"/>
      <c r="F225" s="1390"/>
      <c r="G225" s="1649"/>
      <c r="H225" s="1649"/>
      <c r="I225" s="1670"/>
      <c r="J225" s="1887"/>
      <c r="K225" s="1602"/>
      <c r="L225" s="1602"/>
      <c r="M225" s="1602"/>
      <c r="N225" s="1602"/>
      <c r="O225" s="1602"/>
      <c r="P225" s="1602"/>
      <c r="Q225" s="1885"/>
      <c r="R225" s="1885"/>
      <c r="S225" s="1885"/>
      <c r="T225" s="1885"/>
      <c r="U225" s="1889"/>
      <c r="V225" s="1885"/>
      <c r="W225" s="1885"/>
      <c r="X225" s="1885"/>
      <c r="Y225" s="1885"/>
      <c r="Z225" s="1885"/>
      <c r="AA225" s="1885"/>
      <c r="AB225" s="1885"/>
      <c r="AC225" s="1885"/>
    </row>
    <row r="226" spans="1:30" s="158" customFormat="1" ht="13.5" customHeight="1">
      <c r="A226" s="1673"/>
      <c r="B226" s="1659"/>
      <c r="C226" s="1659"/>
      <c r="D226" s="1343" t="s">
        <v>2724</v>
      </c>
      <c r="E226" s="1659"/>
      <c r="F226" s="1390">
        <f>(9.8)*1.1</f>
        <v>10.780000000000001</v>
      </c>
      <c r="G226" s="1649"/>
      <c r="H226" s="1649"/>
      <c r="I226" s="1670"/>
      <c r="J226" s="1940"/>
      <c r="K226" s="1602"/>
      <c r="L226" s="1602"/>
      <c r="M226" s="1602"/>
      <c r="N226" s="1602"/>
      <c r="O226" s="1602"/>
      <c r="P226" s="1602"/>
      <c r="Q226" s="1885"/>
      <c r="R226" s="1885"/>
      <c r="S226" s="1885"/>
      <c r="T226" s="1885"/>
      <c r="U226" s="1889"/>
      <c r="V226" s="1885"/>
      <c r="W226" s="1885"/>
      <c r="X226" s="1885"/>
      <c r="Y226" s="1885"/>
      <c r="Z226" s="1885"/>
      <c r="AA226" s="1885"/>
      <c r="AB226" s="1885"/>
      <c r="AC226" s="1885"/>
    </row>
    <row r="227" spans="1:30" s="158" customFormat="1" ht="13.5" customHeight="1">
      <c r="A227" s="1673"/>
      <c r="B227" s="1659"/>
      <c r="C227" s="1659"/>
      <c r="D227" s="1343" t="s">
        <v>2624</v>
      </c>
      <c r="E227" s="1659"/>
      <c r="F227" s="1941"/>
      <c r="G227" s="1649"/>
      <c r="H227" s="1649"/>
      <c r="I227" s="1709"/>
      <c r="J227" s="1887"/>
      <c r="K227" s="1602"/>
      <c r="L227" s="1602"/>
      <c r="M227" s="1602"/>
      <c r="N227" s="1602"/>
      <c r="O227" s="1602"/>
      <c r="P227" s="1602"/>
      <c r="Q227" s="1885"/>
      <c r="R227" s="1885"/>
      <c r="S227" s="1885"/>
      <c r="T227" s="1885"/>
      <c r="U227" s="1889"/>
      <c r="V227" s="1885"/>
      <c r="W227" s="1885"/>
      <c r="X227" s="1885"/>
      <c r="Y227" s="1885"/>
      <c r="Z227" s="1885"/>
      <c r="AA227" s="1885"/>
      <c r="AB227" s="1885"/>
      <c r="AC227" s="1885"/>
    </row>
    <row r="228" spans="1:30" s="158" customFormat="1" ht="27" customHeight="1">
      <c r="A228" s="1335">
        <v>60</v>
      </c>
      <c r="B228" s="1337">
        <v>721</v>
      </c>
      <c r="C228" s="1337" t="s">
        <v>2725</v>
      </c>
      <c r="D228" s="1337" t="s">
        <v>2726</v>
      </c>
      <c r="E228" s="1337" t="s">
        <v>142</v>
      </c>
      <c r="F228" s="1666">
        <f>SUM(F232:F232)</f>
        <v>273.60000000000002</v>
      </c>
      <c r="G228" s="1339">
        <f>SUM(H230:H231)/F228</f>
        <v>0</v>
      </c>
      <c r="H228" s="1339">
        <f>F228*G228</f>
        <v>0</v>
      </c>
      <c r="I228" s="1345" t="s">
        <v>112</v>
      </c>
      <c r="V228" s="1291"/>
      <c r="W228" s="1291"/>
      <c r="X228" s="1291"/>
      <c r="Y228" s="1291"/>
      <c r="Z228" s="1291"/>
      <c r="AA228" s="1291"/>
      <c r="AB228" s="1291"/>
      <c r="AC228" s="1291"/>
    </row>
    <row r="229" spans="1:30" s="158" customFormat="1" ht="27" customHeight="1">
      <c r="A229" s="1673"/>
      <c r="B229" s="1659"/>
      <c r="C229" s="1659"/>
      <c r="D229" s="1343" t="s">
        <v>2727</v>
      </c>
      <c r="E229" s="1659"/>
      <c r="F229" s="1390"/>
      <c r="G229" s="1649"/>
      <c r="H229" s="1649"/>
      <c r="I229" s="1670"/>
      <c r="J229" s="1907"/>
      <c r="K229" s="1602"/>
      <c r="L229" s="1602"/>
      <c r="M229" s="1602"/>
      <c r="N229" s="1602"/>
      <c r="O229" s="1602"/>
      <c r="P229" s="1602"/>
      <c r="Q229" s="1885"/>
      <c r="R229" s="1885"/>
      <c r="S229" s="1885"/>
      <c r="T229" s="1885"/>
      <c r="U229" s="1908"/>
      <c r="V229" s="1885"/>
      <c r="W229" s="1885"/>
      <c r="X229" s="1885"/>
      <c r="Y229" s="1885"/>
      <c r="Z229" s="1885"/>
      <c r="AA229" s="1885"/>
      <c r="AB229" s="1885"/>
      <c r="AC229" s="1885"/>
    </row>
    <row r="230" spans="1:30" s="1291" customFormat="1" ht="13.5" customHeight="1">
      <c r="A230" s="1942"/>
      <c r="B230" s="1352"/>
      <c r="C230" s="1719" t="s">
        <v>2725</v>
      </c>
      <c r="D230" s="1343" t="s">
        <v>2728</v>
      </c>
      <c r="E230" s="1719" t="s">
        <v>142</v>
      </c>
      <c r="F230" s="933">
        <f>(F232)*1.1</f>
        <v>300.96000000000004</v>
      </c>
      <c r="G230" s="2055"/>
      <c r="H230" s="933">
        <f t="shared" ref="H230:H231" si="3">F230*G230</f>
        <v>0</v>
      </c>
      <c r="I230" s="225" t="s">
        <v>112</v>
      </c>
      <c r="J230" s="1907"/>
      <c r="K230" s="1602"/>
      <c r="L230" s="158"/>
      <c r="M230" s="158"/>
      <c r="N230" s="158"/>
      <c r="O230" s="158"/>
      <c r="P230" s="158"/>
      <c r="Q230" s="158"/>
      <c r="R230" s="158"/>
      <c r="S230" s="158"/>
      <c r="T230" s="158"/>
      <c r="U230" s="1908"/>
      <c r="W230" s="1943"/>
      <c r="X230" s="1944"/>
      <c r="Y230" s="1945"/>
      <c r="Z230" s="1602"/>
      <c r="AA230" s="1602"/>
      <c r="AB230" s="1602"/>
      <c r="AC230" s="1602"/>
      <c r="AD230" s="1602"/>
    </row>
    <row r="231" spans="1:30" s="1291" customFormat="1" ht="27" customHeight="1">
      <c r="A231" s="1942"/>
      <c r="B231" s="1352"/>
      <c r="C231" s="1719">
        <v>722181221</v>
      </c>
      <c r="D231" s="1343" t="s">
        <v>2729</v>
      </c>
      <c r="E231" s="1719" t="s">
        <v>142</v>
      </c>
      <c r="F231" s="933">
        <f>(F232)*1.1</f>
        <v>300.96000000000004</v>
      </c>
      <c r="G231" s="2055"/>
      <c r="H231" s="933">
        <f t="shared" si="3"/>
        <v>0</v>
      </c>
      <c r="I231" s="225" t="s">
        <v>138</v>
      </c>
      <c r="J231" s="1907"/>
      <c r="K231" s="1602"/>
      <c r="L231" s="1602"/>
      <c r="M231" s="1602"/>
      <c r="N231" s="1602"/>
      <c r="O231" s="1602"/>
      <c r="P231" s="1602"/>
      <c r="Q231" s="1885"/>
      <c r="R231" s="1885"/>
      <c r="S231" s="1885"/>
      <c r="T231" s="1885"/>
      <c r="U231" s="1889"/>
      <c r="W231" s="1943"/>
      <c r="X231" s="1944"/>
      <c r="Y231" s="1945"/>
      <c r="Z231" s="1602"/>
      <c r="AA231" s="1602"/>
      <c r="AB231" s="1602"/>
      <c r="AC231" s="1602"/>
      <c r="AD231" s="1602"/>
    </row>
    <row r="232" spans="1:30" s="158" customFormat="1" ht="13.5" customHeight="1">
      <c r="A232" s="1673"/>
      <c r="B232" s="1659"/>
      <c r="C232" s="1659"/>
      <c r="D232" s="1343" t="s">
        <v>2730</v>
      </c>
      <c r="E232" s="1659"/>
      <c r="F232" s="1390">
        <f>(273.6)</f>
        <v>273.60000000000002</v>
      </c>
      <c r="G232" s="1649"/>
      <c r="H232" s="1649"/>
      <c r="I232" s="1345"/>
      <c r="T232" s="1885"/>
      <c r="U232" s="1908"/>
      <c r="V232" s="1885"/>
      <c r="W232" s="1885"/>
      <c r="X232" s="1885"/>
      <c r="Y232" s="1885"/>
      <c r="Z232" s="1885"/>
      <c r="AA232" s="1885"/>
      <c r="AB232" s="1885"/>
      <c r="AC232" s="1885"/>
    </row>
    <row r="233" spans="1:30" s="158" customFormat="1" ht="13.5" customHeight="1">
      <c r="A233" s="1673"/>
      <c r="B233" s="1659"/>
      <c r="C233" s="1659"/>
      <c r="D233" s="1343" t="s">
        <v>2624</v>
      </c>
      <c r="E233" s="1659"/>
      <c r="F233" s="1941"/>
      <c r="G233" s="1649"/>
      <c r="H233" s="1649"/>
      <c r="I233" s="1880"/>
      <c r="J233" s="1907"/>
      <c r="K233" s="1602"/>
      <c r="L233" s="1602"/>
      <c r="M233" s="1602"/>
      <c r="N233" s="1602"/>
      <c r="O233" s="1602"/>
      <c r="P233" s="1602"/>
      <c r="Q233" s="1885"/>
      <c r="R233" s="1885"/>
      <c r="S233" s="1885"/>
      <c r="T233" s="1885"/>
      <c r="U233" s="1908"/>
      <c r="V233" s="1885"/>
      <c r="W233" s="1885"/>
      <c r="X233" s="1885"/>
      <c r="Y233" s="1885"/>
      <c r="Z233" s="1885"/>
      <c r="AA233" s="1885"/>
      <c r="AB233" s="1885"/>
      <c r="AC233" s="1885"/>
    </row>
    <row r="234" spans="1:30" s="158" customFormat="1" ht="27" customHeight="1">
      <c r="A234" s="1335">
        <v>61</v>
      </c>
      <c r="B234" s="1337">
        <v>721</v>
      </c>
      <c r="C234" s="1337" t="s">
        <v>2731</v>
      </c>
      <c r="D234" s="1337" t="s">
        <v>2732</v>
      </c>
      <c r="E234" s="1337" t="s">
        <v>142</v>
      </c>
      <c r="F234" s="1666">
        <f>SUM(F239:F239)</f>
        <v>277.8</v>
      </c>
      <c r="G234" s="1339">
        <f>SUM(H236:H238)/F234</f>
        <v>0</v>
      </c>
      <c r="H234" s="1339">
        <f>F234*G234</f>
        <v>0</v>
      </c>
      <c r="I234" s="1345" t="s">
        <v>112</v>
      </c>
      <c r="J234" s="1907"/>
      <c r="K234" s="1602"/>
      <c r="L234" s="1602"/>
      <c r="M234" s="1602"/>
      <c r="N234" s="1602"/>
      <c r="O234" s="1602"/>
      <c r="P234" s="1602"/>
      <c r="Q234" s="1885"/>
      <c r="R234" s="1885"/>
      <c r="S234" s="1885"/>
      <c r="T234" s="1885"/>
      <c r="U234" s="1908"/>
      <c r="V234" s="1291"/>
      <c r="W234" s="1291"/>
      <c r="X234" s="1291"/>
      <c r="Y234" s="1291"/>
      <c r="Z234" s="1291"/>
      <c r="AA234" s="1291"/>
      <c r="AB234" s="1291"/>
      <c r="AC234" s="1291"/>
    </row>
    <row r="235" spans="1:30" s="158" customFormat="1" ht="27" customHeight="1">
      <c r="A235" s="1673"/>
      <c r="B235" s="1659"/>
      <c r="C235" s="1659"/>
      <c r="D235" s="1343" t="s">
        <v>2733</v>
      </c>
      <c r="E235" s="1659"/>
      <c r="F235" s="1390"/>
      <c r="G235" s="1649"/>
      <c r="H235" s="1649"/>
      <c r="I235" s="1670"/>
      <c r="J235" s="1907"/>
      <c r="K235" s="1602"/>
      <c r="L235" s="1602"/>
      <c r="M235" s="1602"/>
      <c r="N235" s="1602"/>
      <c r="O235" s="1602"/>
      <c r="P235" s="1602"/>
      <c r="Q235" s="1885"/>
      <c r="R235" s="1885"/>
      <c r="S235" s="1885"/>
      <c r="T235" s="1885"/>
      <c r="U235" s="1908"/>
      <c r="V235" s="1885"/>
      <c r="W235" s="1885"/>
      <c r="X235" s="1885"/>
      <c r="Y235" s="1885"/>
      <c r="Z235" s="1885"/>
      <c r="AA235" s="1885"/>
      <c r="AB235" s="1885"/>
      <c r="AC235" s="1885"/>
    </row>
    <row r="236" spans="1:30" s="1291" customFormat="1" ht="13.5" customHeight="1">
      <c r="A236" s="1942"/>
      <c r="B236" s="1352"/>
      <c r="C236" s="1719" t="s">
        <v>2725</v>
      </c>
      <c r="D236" s="1343" t="s">
        <v>2734</v>
      </c>
      <c r="E236" s="1719" t="s">
        <v>142</v>
      </c>
      <c r="F236" s="933">
        <f>(F239)*1.1</f>
        <v>305.58000000000004</v>
      </c>
      <c r="G236" s="2055"/>
      <c r="H236" s="933">
        <f t="shared" ref="H236:H238" si="4">F236*G236</f>
        <v>0</v>
      </c>
      <c r="I236" s="225" t="s">
        <v>112</v>
      </c>
      <c r="J236" s="1907"/>
      <c r="K236" s="1602"/>
      <c r="L236" s="158"/>
      <c r="M236" s="158"/>
      <c r="N236" s="158"/>
      <c r="O236" s="158"/>
      <c r="P236" s="158"/>
      <c r="Q236" s="158"/>
      <c r="R236" s="158"/>
      <c r="S236" s="158"/>
      <c r="T236" s="158"/>
      <c r="U236" s="1908"/>
      <c r="W236" s="1943"/>
      <c r="X236" s="1944"/>
      <c r="Y236" s="1945"/>
      <c r="Z236" s="1602"/>
      <c r="AA236" s="1602"/>
      <c r="AB236" s="1602"/>
      <c r="AC236" s="1602"/>
      <c r="AD236" s="1602"/>
    </row>
    <row r="237" spans="1:30" s="1291" customFormat="1" ht="27" customHeight="1">
      <c r="A237" s="1942"/>
      <c r="B237" s="1352"/>
      <c r="C237" s="1719">
        <v>713463211</v>
      </c>
      <c r="D237" s="1343" t="s">
        <v>2735</v>
      </c>
      <c r="E237" s="1719" t="s">
        <v>142</v>
      </c>
      <c r="F237" s="933">
        <f>F234</f>
        <v>277.8</v>
      </c>
      <c r="G237" s="2055"/>
      <c r="H237" s="933">
        <f t="shared" si="4"/>
        <v>0</v>
      </c>
      <c r="I237" s="225" t="s">
        <v>138</v>
      </c>
      <c r="J237" s="1907"/>
      <c r="K237" s="1602"/>
      <c r="L237" s="1602"/>
      <c r="M237" s="1602"/>
      <c r="N237" s="1602"/>
      <c r="O237" s="1602"/>
      <c r="P237" s="1602"/>
      <c r="Q237" s="1885"/>
      <c r="R237" s="1885"/>
      <c r="S237" s="1885"/>
      <c r="T237" s="1885"/>
      <c r="U237" s="1908"/>
      <c r="W237" s="1943"/>
      <c r="X237" s="1944"/>
      <c r="Y237" s="1945"/>
      <c r="Z237" s="1602"/>
      <c r="AA237" s="1602"/>
      <c r="AB237" s="1602"/>
      <c r="AC237" s="1602"/>
      <c r="AD237" s="1602"/>
    </row>
    <row r="238" spans="1:30" s="1291" customFormat="1" ht="13.5" customHeight="1">
      <c r="A238" s="1946"/>
      <c r="B238" s="1947"/>
      <c r="C238" s="1948" t="s">
        <v>2736</v>
      </c>
      <c r="D238" s="1949" t="s">
        <v>2737</v>
      </c>
      <c r="E238" s="1948" t="s">
        <v>142</v>
      </c>
      <c r="F238" s="1950">
        <f>(F239)*1.1</f>
        <v>305.58000000000004</v>
      </c>
      <c r="G238" s="2056"/>
      <c r="H238" s="1950">
        <f t="shared" si="4"/>
        <v>0</v>
      </c>
      <c r="I238" s="1529" t="s">
        <v>112</v>
      </c>
      <c r="J238" s="1907"/>
      <c r="K238" s="1602"/>
      <c r="L238" s="1602"/>
      <c r="M238" s="1602"/>
      <c r="N238" s="1602"/>
      <c r="O238" s="1602"/>
      <c r="P238" s="1602"/>
      <c r="Q238" s="1885"/>
      <c r="R238" s="1885"/>
      <c r="S238" s="1885"/>
      <c r="T238" s="1885"/>
      <c r="U238" s="1908"/>
      <c r="W238" s="1943"/>
      <c r="X238" s="1944"/>
      <c r="Y238" s="1945"/>
      <c r="Z238" s="1602"/>
      <c r="AA238" s="1602"/>
      <c r="AB238" s="1602"/>
      <c r="AC238" s="1602"/>
      <c r="AD238" s="1602"/>
    </row>
    <row r="239" spans="1:30" s="158" customFormat="1" ht="13.5" customHeight="1">
      <c r="A239" s="1673"/>
      <c r="B239" s="1659"/>
      <c r="C239" s="1659"/>
      <c r="D239" s="1343" t="s">
        <v>2738</v>
      </c>
      <c r="E239" s="1659"/>
      <c r="F239" s="1390">
        <v>277.8</v>
      </c>
      <c r="G239" s="1649"/>
      <c r="H239" s="1649"/>
      <c r="I239" s="1345"/>
      <c r="J239" s="1951"/>
      <c r="O239" s="1147"/>
      <c r="T239" s="1885"/>
      <c r="U239" s="1908"/>
      <c r="V239" s="1885"/>
      <c r="W239" s="1885"/>
      <c r="X239" s="1885"/>
      <c r="Y239" s="1885"/>
      <c r="Z239" s="1885"/>
      <c r="AA239" s="1885"/>
      <c r="AB239" s="1885"/>
      <c r="AC239" s="1885"/>
    </row>
    <row r="240" spans="1:30" s="158" customFormat="1" ht="13.5" customHeight="1">
      <c r="A240" s="1673"/>
      <c r="B240" s="1659"/>
      <c r="C240" s="1659"/>
      <c r="D240" s="1343" t="s">
        <v>2624</v>
      </c>
      <c r="E240" s="1659"/>
      <c r="F240" s="1941"/>
      <c r="G240" s="1649"/>
      <c r="H240" s="1649"/>
      <c r="I240" s="1880"/>
      <c r="J240" s="1907"/>
      <c r="K240" s="1602"/>
      <c r="L240" s="1602"/>
      <c r="M240" s="1602"/>
      <c r="N240" s="1602"/>
      <c r="O240" s="1602"/>
      <c r="P240" s="1602"/>
      <c r="Q240" s="1885"/>
      <c r="R240" s="1885"/>
      <c r="S240" s="1885"/>
      <c r="T240" s="1885"/>
      <c r="U240" s="1908"/>
      <c r="V240" s="1885"/>
      <c r="W240" s="1885"/>
      <c r="X240" s="1885"/>
      <c r="Y240" s="1885"/>
      <c r="Z240" s="1885"/>
      <c r="AA240" s="1885"/>
      <c r="AB240" s="1885"/>
      <c r="AC240" s="1885"/>
    </row>
    <row r="241" spans="1:30" s="158" customFormat="1" ht="27" customHeight="1">
      <c r="A241" s="1335">
        <v>62</v>
      </c>
      <c r="B241" s="1337">
        <v>721</v>
      </c>
      <c r="C241" s="1337" t="s">
        <v>2739</v>
      </c>
      <c r="D241" s="1337" t="s">
        <v>2740</v>
      </c>
      <c r="E241" s="1337" t="s">
        <v>142</v>
      </c>
      <c r="F241" s="1666">
        <f>SUM(F245:F245)</f>
        <v>86.9</v>
      </c>
      <c r="G241" s="1339">
        <f>SUM(H243:H244)/F241</f>
        <v>0</v>
      </c>
      <c r="H241" s="1339">
        <f>F241*G241</f>
        <v>0</v>
      </c>
      <c r="I241" s="1345" t="s">
        <v>112</v>
      </c>
      <c r="J241" s="1907"/>
      <c r="K241" s="1602"/>
      <c r="L241" s="1602"/>
      <c r="M241" s="1602"/>
      <c r="N241" s="1602"/>
      <c r="O241" s="1602"/>
      <c r="P241" s="1602"/>
      <c r="Q241" s="1885"/>
      <c r="R241" s="1885"/>
      <c r="S241" s="1885"/>
      <c r="T241" s="1885"/>
      <c r="U241" s="1908"/>
      <c r="V241" s="1291"/>
      <c r="W241" s="1291"/>
      <c r="X241" s="1291"/>
      <c r="Y241" s="1291"/>
      <c r="Z241" s="1291"/>
      <c r="AA241" s="1291"/>
      <c r="AB241" s="1291"/>
      <c r="AC241" s="1291"/>
    </row>
    <row r="242" spans="1:30" s="158" customFormat="1" ht="27" customHeight="1">
      <c r="A242" s="1673"/>
      <c r="B242" s="1659"/>
      <c r="C242" s="1659"/>
      <c r="D242" s="1343" t="s">
        <v>2727</v>
      </c>
      <c r="E242" s="1659"/>
      <c r="F242" s="1390"/>
      <c r="G242" s="1649"/>
      <c r="H242" s="1649"/>
      <c r="I242" s="1670"/>
      <c r="J242" s="1907"/>
      <c r="K242" s="1602"/>
      <c r="L242" s="1602"/>
      <c r="M242" s="1602"/>
      <c r="N242" s="1602"/>
      <c r="O242" s="1602"/>
      <c r="P242" s="1602"/>
      <c r="Q242" s="1885"/>
      <c r="R242" s="1885"/>
      <c r="S242" s="1885"/>
      <c r="T242" s="1885"/>
      <c r="U242" s="1889"/>
      <c r="V242" s="1885"/>
      <c r="W242" s="1885"/>
      <c r="X242" s="1885"/>
      <c r="Y242" s="1885"/>
      <c r="Z242" s="1885"/>
      <c r="AA242" s="1885"/>
      <c r="AB242" s="1885"/>
      <c r="AC242" s="1885"/>
    </row>
    <row r="243" spans="1:30" s="1291" customFormat="1" ht="13.5" customHeight="1">
      <c r="A243" s="1942"/>
      <c r="B243" s="1352"/>
      <c r="C243" s="1719" t="s">
        <v>2739</v>
      </c>
      <c r="D243" s="1343" t="s">
        <v>2741</v>
      </c>
      <c r="E243" s="1719" t="s">
        <v>142</v>
      </c>
      <c r="F243" s="933">
        <f>(F245)*1.1</f>
        <v>95.590000000000018</v>
      </c>
      <c r="G243" s="2055"/>
      <c r="H243" s="933">
        <f t="shared" ref="H243:H244" si="5">F243*G243</f>
        <v>0</v>
      </c>
      <c r="I243" s="225" t="s">
        <v>112</v>
      </c>
      <c r="J243" s="1907"/>
      <c r="K243" s="1602"/>
      <c r="L243" s="158"/>
      <c r="M243" s="158"/>
      <c r="N243" s="158"/>
      <c r="O243" s="158"/>
      <c r="P243" s="158"/>
      <c r="Q243" s="158"/>
      <c r="R243" s="158"/>
      <c r="S243" s="158"/>
      <c r="T243" s="158"/>
      <c r="U243" s="1908"/>
      <c r="W243" s="1943"/>
      <c r="X243" s="1944"/>
      <c r="Y243" s="1945"/>
      <c r="Z243" s="1602"/>
      <c r="AA243" s="1602"/>
      <c r="AB243" s="1602"/>
      <c r="AC243" s="1602"/>
      <c r="AD243" s="1602"/>
    </row>
    <row r="244" spans="1:30" s="1291" customFormat="1" ht="27" customHeight="1">
      <c r="A244" s="1942"/>
      <c r="B244" s="1352"/>
      <c r="C244" s="1719">
        <v>722181221</v>
      </c>
      <c r="D244" s="1343" t="s">
        <v>2742</v>
      </c>
      <c r="E244" s="1719" t="s">
        <v>142</v>
      </c>
      <c r="F244" s="933">
        <f>(F245)*1.1</f>
        <v>95.590000000000018</v>
      </c>
      <c r="G244" s="2055"/>
      <c r="H244" s="933">
        <f t="shared" si="5"/>
        <v>0</v>
      </c>
      <c r="I244" s="225" t="s">
        <v>138</v>
      </c>
      <c r="J244" s="1907"/>
      <c r="K244" s="1602"/>
      <c r="L244" s="1602"/>
      <c r="M244" s="1602"/>
      <c r="N244" s="1602"/>
      <c r="O244" s="1602"/>
      <c r="P244" s="1602"/>
      <c r="Q244" s="1885"/>
      <c r="R244" s="1885"/>
      <c r="S244" s="1885"/>
      <c r="T244" s="1885"/>
      <c r="U244" s="1889"/>
      <c r="W244" s="1943"/>
      <c r="X244" s="1944"/>
      <c r="Y244" s="1945"/>
      <c r="Z244" s="1602"/>
      <c r="AA244" s="1602"/>
      <c r="AB244" s="1602"/>
      <c r="AC244" s="1602"/>
      <c r="AD244" s="1602"/>
    </row>
    <row r="245" spans="1:30" s="158" customFormat="1" ht="13.5" customHeight="1">
      <c r="A245" s="1673"/>
      <c r="B245" s="1659"/>
      <c r="C245" s="1659"/>
      <c r="D245" s="1343" t="s">
        <v>2743</v>
      </c>
      <c r="E245" s="1659"/>
      <c r="F245" s="1390">
        <v>86.9</v>
      </c>
      <c r="G245" s="1649"/>
      <c r="H245" s="1649"/>
      <c r="I245" s="1345"/>
      <c r="J245" s="1907"/>
      <c r="K245" s="1602"/>
      <c r="L245" s="1602"/>
      <c r="M245" s="1602"/>
      <c r="N245" s="1602"/>
      <c r="O245" s="1602"/>
      <c r="P245" s="1602"/>
      <c r="Q245" s="1885"/>
      <c r="R245" s="1885"/>
      <c r="S245" s="1885"/>
      <c r="T245" s="1885"/>
      <c r="U245" s="1908"/>
      <c r="V245" s="1885"/>
      <c r="W245" s="1885"/>
      <c r="X245" s="1885"/>
      <c r="Y245" s="1885"/>
      <c r="Z245" s="1885"/>
      <c r="AA245" s="1885"/>
      <c r="AB245" s="1885"/>
      <c r="AC245" s="1885"/>
    </row>
    <row r="246" spans="1:30" s="158" customFormat="1" ht="13.5" customHeight="1">
      <c r="A246" s="1673"/>
      <c r="B246" s="1659"/>
      <c r="C246" s="1659"/>
      <c r="D246" s="1343" t="s">
        <v>2624</v>
      </c>
      <c r="E246" s="1659"/>
      <c r="F246" s="1941"/>
      <c r="G246" s="1649"/>
      <c r="H246" s="1649"/>
      <c r="I246" s="1880"/>
      <c r="J246" s="1907"/>
      <c r="K246" s="1602"/>
      <c r="L246" s="1602"/>
      <c r="M246" s="1602"/>
      <c r="N246" s="1602"/>
      <c r="O246" s="1602"/>
      <c r="P246" s="1602"/>
      <c r="Q246" s="1885"/>
      <c r="R246" s="1885"/>
      <c r="S246" s="1885"/>
      <c r="T246" s="1885"/>
      <c r="U246" s="1908"/>
      <c r="V246" s="1885"/>
      <c r="W246" s="1885"/>
      <c r="X246" s="1885"/>
      <c r="Y246" s="1885"/>
      <c r="Z246" s="1885"/>
      <c r="AA246" s="1885"/>
      <c r="AB246" s="1885"/>
      <c r="AC246" s="1885"/>
    </row>
    <row r="247" spans="1:30" s="158" customFormat="1" ht="27" customHeight="1">
      <c r="A247" s="1335">
        <v>63</v>
      </c>
      <c r="B247" s="1337">
        <v>721</v>
      </c>
      <c r="C247" s="1337" t="s">
        <v>2744</v>
      </c>
      <c r="D247" s="1337" t="s">
        <v>2745</v>
      </c>
      <c r="E247" s="1337" t="s">
        <v>142</v>
      </c>
      <c r="F247" s="1666">
        <f>SUM(F252:F252)</f>
        <v>90.1</v>
      </c>
      <c r="G247" s="1339">
        <f>SUM(H249:H251)/F247</f>
        <v>0</v>
      </c>
      <c r="H247" s="1339">
        <f>F247*G247</f>
        <v>0</v>
      </c>
      <c r="I247" s="1345" t="s">
        <v>112</v>
      </c>
      <c r="J247" s="1907"/>
      <c r="K247" s="1602"/>
      <c r="L247" s="1602"/>
      <c r="M247" s="1602"/>
      <c r="N247" s="1602"/>
      <c r="O247" s="1602"/>
      <c r="P247" s="1602"/>
      <c r="Q247" s="1885"/>
      <c r="R247" s="1885"/>
      <c r="S247" s="1885"/>
      <c r="T247" s="1885"/>
      <c r="U247" s="1908"/>
      <c r="V247" s="1885"/>
      <c r="W247" s="1291"/>
      <c r="X247" s="1291"/>
      <c r="Y247" s="1291"/>
      <c r="Z247" s="1291"/>
      <c r="AA247" s="1291"/>
      <c r="AB247" s="1291"/>
      <c r="AC247" s="1291"/>
    </row>
    <row r="248" spans="1:30" s="158" customFormat="1" ht="27" customHeight="1">
      <c r="A248" s="1673"/>
      <c r="B248" s="1659"/>
      <c r="C248" s="1659"/>
      <c r="D248" s="1343" t="s">
        <v>2733</v>
      </c>
      <c r="E248" s="1659"/>
      <c r="F248" s="1390"/>
      <c r="G248" s="1649"/>
      <c r="H248" s="1649"/>
      <c r="I248" s="1670"/>
      <c r="J248" s="1907"/>
      <c r="K248" s="1602"/>
      <c r="L248" s="1602"/>
      <c r="M248" s="1602"/>
      <c r="N248" s="1602"/>
      <c r="O248" s="1602"/>
      <c r="P248" s="1602"/>
      <c r="Q248" s="1885"/>
      <c r="R248" s="1885"/>
      <c r="S248" s="1885"/>
      <c r="T248" s="1885"/>
      <c r="U248" s="1908"/>
      <c r="V248" s="1885"/>
      <c r="W248" s="1885"/>
      <c r="X248" s="1885"/>
      <c r="Y248" s="1885"/>
      <c r="Z248" s="1885"/>
      <c r="AA248" s="1885"/>
      <c r="AB248" s="1885"/>
      <c r="AC248" s="1885"/>
    </row>
    <row r="249" spans="1:30" s="1291" customFormat="1" ht="13.5" customHeight="1">
      <c r="A249" s="1942"/>
      <c r="B249" s="1352"/>
      <c r="C249" s="1719" t="s">
        <v>2739</v>
      </c>
      <c r="D249" s="1343" t="s">
        <v>2746</v>
      </c>
      <c r="E249" s="1719" t="s">
        <v>142</v>
      </c>
      <c r="F249" s="933">
        <f>(F252)*1.1</f>
        <v>99.11</v>
      </c>
      <c r="G249" s="2055"/>
      <c r="H249" s="933">
        <f t="shared" ref="H249:H251" si="6">F249*G249</f>
        <v>0</v>
      </c>
      <c r="I249" s="225" t="s">
        <v>112</v>
      </c>
      <c r="J249" s="1907"/>
      <c r="K249" s="1602"/>
      <c r="L249" s="158"/>
      <c r="M249" s="158"/>
      <c r="N249" s="158"/>
      <c r="O249" s="158"/>
      <c r="P249" s="158"/>
      <c r="Q249" s="158"/>
      <c r="R249" s="158"/>
      <c r="S249" s="158"/>
      <c r="T249" s="158"/>
      <c r="U249" s="1908"/>
      <c r="W249" s="1943"/>
      <c r="X249" s="1944"/>
      <c r="Y249" s="1945"/>
      <c r="Z249" s="1602"/>
      <c r="AA249" s="1602"/>
      <c r="AB249" s="1602"/>
      <c r="AC249" s="1602"/>
      <c r="AD249" s="1602"/>
    </row>
    <row r="250" spans="1:30" s="1291" customFormat="1" ht="27" customHeight="1">
      <c r="A250" s="1942"/>
      <c r="B250" s="1352"/>
      <c r="C250" s="1719">
        <v>713463211</v>
      </c>
      <c r="D250" s="1343" t="s">
        <v>2735</v>
      </c>
      <c r="E250" s="1719" t="s">
        <v>142</v>
      </c>
      <c r="F250" s="933">
        <f>F247</f>
        <v>90.1</v>
      </c>
      <c r="G250" s="2055"/>
      <c r="H250" s="933">
        <f t="shared" si="6"/>
        <v>0</v>
      </c>
      <c r="I250" s="225" t="s">
        <v>138</v>
      </c>
      <c r="J250" s="1907"/>
      <c r="K250" s="1602"/>
      <c r="L250" s="1602"/>
      <c r="M250" s="1602"/>
      <c r="N250" s="1602"/>
      <c r="O250" s="1602"/>
      <c r="P250" s="1602"/>
      <c r="Q250" s="1885"/>
      <c r="R250" s="1885"/>
      <c r="S250" s="1885"/>
      <c r="T250" s="1885"/>
      <c r="U250" s="1908"/>
      <c r="W250" s="1943"/>
      <c r="X250" s="1944"/>
      <c r="Y250" s="1945"/>
      <c r="Z250" s="1602"/>
      <c r="AA250" s="1602"/>
      <c r="AB250" s="1602"/>
      <c r="AC250" s="1602"/>
      <c r="AD250" s="1602"/>
    </row>
    <row r="251" spans="1:30" s="1291" customFormat="1" ht="13.5" customHeight="1">
      <c r="A251" s="1946"/>
      <c r="B251" s="1947"/>
      <c r="C251" s="1948" t="s">
        <v>2747</v>
      </c>
      <c r="D251" s="1949" t="s">
        <v>2748</v>
      </c>
      <c r="E251" s="1948" t="s">
        <v>142</v>
      </c>
      <c r="F251" s="1950">
        <f>(F252)*1.1</f>
        <v>99.11</v>
      </c>
      <c r="G251" s="2056"/>
      <c r="H251" s="1950">
        <f t="shared" si="6"/>
        <v>0</v>
      </c>
      <c r="I251" s="1529" t="s">
        <v>112</v>
      </c>
      <c r="J251" s="1907"/>
      <c r="K251" s="1602"/>
      <c r="L251" s="1602"/>
      <c r="M251" s="1602"/>
      <c r="N251" s="1602"/>
      <c r="O251" s="1602"/>
      <c r="P251" s="1602"/>
      <c r="Q251" s="1885"/>
      <c r="R251" s="1885"/>
      <c r="S251" s="1885"/>
      <c r="T251" s="1885"/>
      <c r="U251" s="1908"/>
      <c r="W251" s="1943"/>
      <c r="X251" s="1944"/>
      <c r="Y251" s="1945"/>
      <c r="Z251" s="1602"/>
      <c r="AA251" s="1602"/>
      <c r="AB251" s="1602"/>
      <c r="AC251" s="1602"/>
      <c r="AD251" s="1602"/>
    </row>
    <row r="252" spans="1:30" s="158" customFormat="1" ht="13.5" customHeight="1">
      <c r="A252" s="1673"/>
      <c r="B252" s="1659"/>
      <c r="C252" s="1659"/>
      <c r="D252" s="1343" t="s">
        <v>2749</v>
      </c>
      <c r="E252" s="1659"/>
      <c r="F252" s="1390">
        <v>90.1</v>
      </c>
      <c r="G252" s="1649"/>
      <c r="H252" s="1649"/>
      <c r="I252" s="1345"/>
      <c r="J252" s="1951"/>
      <c r="O252" s="1147"/>
      <c r="T252" s="1885"/>
      <c r="U252" s="1908"/>
      <c r="V252" s="1885"/>
      <c r="W252" s="1885"/>
      <c r="X252" s="1885"/>
      <c r="Y252" s="1885"/>
      <c r="Z252" s="1885"/>
      <c r="AA252" s="1885"/>
      <c r="AB252" s="1885"/>
      <c r="AC252" s="1885"/>
    </row>
    <row r="253" spans="1:30" s="158" customFormat="1" ht="13.5" customHeight="1">
      <c r="A253" s="1673"/>
      <c r="B253" s="1659"/>
      <c r="C253" s="1659"/>
      <c r="D253" s="1343" t="s">
        <v>2624</v>
      </c>
      <c r="E253" s="1659"/>
      <c r="F253" s="1941"/>
      <c r="G253" s="1649"/>
      <c r="H253" s="1649"/>
      <c r="I253" s="1880"/>
      <c r="V253" s="1885"/>
      <c r="W253" s="1885"/>
      <c r="X253" s="1885"/>
      <c r="Y253" s="1885"/>
      <c r="Z253" s="1885"/>
      <c r="AA253" s="1885"/>
      <c r="AB253" s="1885"/>
      <c r="AC253" s="1885"/>
    </row>
    <row r="254" spans="1:30" s="158" customFormat="1" ht="27" customHeight="1">
      <c r="A254" s="1335">
        <v>64</v>
      </c>
      <c r="B254" s="1337">
        <v>721</v>
      </c>
      <c r="C254" s="1337" t="s">
        <v>2750</v>
      </c>
      <c r="D254" s="1337" t="s">
        <v>2751</v>
      </c>
      <c r="E254" s="1337" t="s">
        <v>142</v>
      </c>
      <c r="F254" s="1666">
        <f>SUM(F258:F258)</f>
        <v>79.8</v>
      </c>
      <c r="G254" s="1339">
        <f>SUM(H256:H257)/F254</f>
        <v>0</v>
      </c>
      <c r="H254" s="1339">
        <f>F254*G254</f>
        <v>0</v>
      </c>
      <c r="I254" s="1345" t="s">
        <v>112</v>
      </c>
      <c r="J254" s="1907"/>
      <c r="K254" s="1602"/>
      <c r="L254" s="1602"/>
      <c r="M254" s="1602"/>
      <c r="N254" s="1602"/>
      <c r="O254" s="1602"/>
      <c r="P254" s="1602"/>
      <c r="Q254" s="1885"/>
      <c r="R254" s="1885"/>
      <c r="S254" s="1885"/>
      <c r="T254" s="1885"/>
      <c r="U254" s="1908"/>
      <c r="V254" s="1291"/>
      <c r="W254" s="1291"/>
      <c r="X254" s="1291"/>
      <c r="Y254" s="1291"/>
      <c r="Z254" s="1291"/>
      <c r="AA254" s="1291"/>
      <c r="AB254" s="1291"/>
      <c r="AC254" s="1291"/>
    </row>
    <row r="255" spans="1:30" s="158" customFormat="1" ht="27" customHeight="1">
      <c r="A255" s="1673"/>
      <c r="B255" s="1659"/>
      <c r="C255" s="1659"/>
      <c r="D255" s="1343" t="s">
        <v>2727</v>
      </c>
      <c r="E255" s="1659"/>
      <c r="F255" s="1390"/>
      <c r="G255" s="1649"/>
      <c r="H255" s="1649"/>
      <c r="I255" s="1670"/>
      <c r="J255" s="1907"/>
      <c r="K255" s="1602"/>
      <c r="L255" s="1602"/>
      <c r="M255" s="1602"/>
      <c r="N255" s="1602"/>
      <c r="O255" s="1602"/>
      <c r="P255" s="1602"/>
      <c r="Q255" s="1885"/>
      <c r="R255" s="1885"/>
      <c r="S255" s="1885"/>
      <c r="T255" s="1885"/>
      <c r="U255" s="1908"/>
      <c r="V255" s="1885"/>
      <c r="W255" s="1885"/>
      <c r="X255" s="1885"/>
      <c r="Y255" s="1885"/>
      <c r="Z255" s="1885"/>
      <c r="AA255" s="1885"/>
      <c r="AB255" s="1885"/>
      <c r="AC255" s="1885"/>
    </row>
    <row r="256" spans="1:30" s="1291" customFormat="1" ht="13.5" customHeight="1">
      <c r="A256" s="1942"/>
      <c r="B256" s="1352"/>
      <c r="C256" s="1719" t="s">
        <v>2750</v>
      </c>
      <c r="D256" s="1343" t="s">
        <v>2752</v>
      </c>
      <c r="E256" s="1719" t="s">
        <v>142</v>
      </c>
      <c r="F256" s="933">
        <f>(F258)*1.1</f>
        <v>87.78</v>
      </c>
      <c r="G256" s="2055"/>
      <c r="H256" s="933">
        <f t="shared" ref="H256:H257" si="7">F256*G256</f>
        <v>0</v>
      </c>
      <c r="I256" s="225" t="s">
        <v>112</v>
      </c>
      <c r="J256" s="1907"/>
      <c r="K256" s="1602"/>
      <c r="L256" s="158"/>
      <c r="M256" s="158"/>
      <c r="N256" s="158"/>
      <c r="O256" s="158"/>
      <c r="P256" s="158"/>
      <c r="Q256" s="158"/>
      <c r="R256" s="158"/>
      <c r="S256" s="158"/>
      <c r="T256" s="158"/>
      <c r="U256" s="1908"/>
      <c r="W256" s="1943"/>
      <c r="X256" s="1944"/>
      <c r="Y256" s="1945"/>
      <c r="Z256" s="1602"/>
      <c r="AA256" s="1602"/>
      <c r="AB256" s="1602"/>
      <c r="AC256" s="1602"/>
      <c r="AD256" s="1602"/>
    </row>
    <row r="257" spans="1:30" s="1291" customFormat="1" ht="27" customHeight="1">
      <c r="A257" s="1942"/>
      <c r="B257" s="1352"/>
      <c r="C257" s="1719">
        <v>722181222</v>
      </c>
      <c r="D257" s="1343" t="s">
        <v>2753</v>
      </c>
      <c r="E257" s="1719" t="s">
        <v>142</v>
      </c>
      <c r="F257" s="933">
        <f>(F258)*1.1</f>
        <v>87.78</v>
      </c>
      <c r="G257" s="2055"/>
      <c r="H257" s="933">
        <f t="shared" si="7"/>
        <v>0</v>
      </c>
      <c r="I257" s="225" t="s">
        <v>138</v>
      </c>
      <c r="J257" s="1907"/>
      <c r="K257" s="1602"/>
      <c r="L257" s="1602"/>
      <c r="M257" s="1602"/>
      <c r="N257" s="1602"/>
      <c r="O257" s="1602"/>
      <c r="P257" s="1602"/>
      <c r="Q257" s="1885"/>
      <c r="R257" s="1885"/>
      <c r="S257" s="1885"/>
      <c r="T257" s="1885"/>
      <c r="U257" s="1908"/>
      <c r="W257" s="1943"/>
      <c r="X257" s="1944"/>
      <c r="Y257" s="1945"/>
      <c r="Z257" s="1602"/>
      <c r="AA257" s="1602"/>
      <c r="AB257" s="1602"/>
      <c r="AC257" s="1602"/>
      <c r="AD257" s="1602"/>
    </row>
    <row r="258" spans="1:30" s="158" customFormat="1" ht="13.5" customHeight="1">
      <c r="A258" s="1673"/>
      <c r="B258" s="1659"/>
      <c r="C258" s="1659"/>
      <c r="D258" s="1343" t="s">
        <v>2754</v>
      </c>
      <c r="E258" s="1659"/>
      <c r="F258" s="1390">
        <v>79.8</v>
      </c>
      <c r="G258" s="1649"/>
      <c r="H258" s="1649"/>
      <c r="I258" s="1345"/>
      <c r="V258" s="1885"/>
      <c r="W258" s="1885"/>
      <c r="X258" s="1885"/>
      <c r="Y258" s="1885"/>
      <c r="Z258" s="1885"/>
      <c r="AA258" s="1885"/>
      <c r="AB258" s="1885"/>
      <c r="AC258" s="1885"/>
    </row>
    <row r="259" spans="1:30" s="158" customFormat="1" ht="13.5" customHeight="1">
      <c r="A259" s="1673"/>
      <c r="B259" s="1659"/>
      <c r="C259" s="1659"/>
      <c r="D259" s="1343" t="s">
        <v>2624</v>
      </c>
      <c r="E259" s="1659"/>
      <c r="F259" s="1941"/>
      <c r="G259" s="1649"/>
      <c r="H259" s="1649"/>
      <c r="I259" s="1880"/>
      <c r="V259" s="1885"/>
      <c r="W259" s="1885"/>
      <c r="X259" s="1885"/>
      <c r="Y259" s="1885"/>
      <c r="Z259" s="1885"/>
      <c r="AA259" s="1885"/>
      <c r="AB259" s="1885"/>
      <c r="AC259" s="1885"/>
    </row>
    <row r="260" spans="1:30" s="158" customFormat="1" ht="27" customHeight="1">
      <c r="A260" s="1335">
        <v>65</v>
      </c>
      <c r="B260" s="1337">
        <v>721</v>
      </c>
      <c r="C260" s="1337" t="s">
        <v>2755</v>
      </c>
      <c r="D260" s="1337" t="s">
        <v>2756</v>
      </c>
      <c r="E260" s="1337" t="s">
        <v>142</v>
      </c>
      <c r="F260" s="1666">
        <f>SUM(F265:F265)</f>
        <v>38.5</v>
      </c>
      <c r="G260" s="1339">
        <f>SUM(H262:H264)/F260</f>
        <v>0</v>
      </c>
      <c r="H260" s="1339">
        <f>F260*G260</f>
        <v>0</v>
      </c>
      <c r="I260" s="1345" t="s">
        <v>112</v>
      </c>
      <c r="J260" s="1907"/>
      <c r="K260" s="1602"/>
      <c r="L260" s="1602"/>
      <c r="M260" s="1602"/>
      <c r="N260" s="1602"/>
      <c r="O260" s="1602"/>
      <c r="P260" s="1602"/>
      <c r="Q260" s="1885"/>
      <c r="R260" s="1885"/>
      <c r="S260" s="1885"/>
      <c r="T260" s="1885"/>
      <c r="U260" s="1908"/>
      <c r="V260" s="1291"/>
      <c r="W260" s="1291"/>
      <c r="X260" s="1291"/>
      <c r="Y260" s="1291"/>
      <c r="Z260" s="1291"/>
      <c r="AA260" s="1291"/>
      <c r="AB260" s="1291"/>
      <c r="AC260" s="1291"/>
    </row>
    <row r="261" spans="1:30" s="158" customFormat="1" ht="27" customHeight="1">
      <c r="A261" s="1673"/>
      <c r="B261" s="1659"/>
      <c r="C261" s="1659"/>
      <c r="D261" s="1343" t="s">
        <v>2757</v>
      </c>
      <c r="E261" s="1659"/>
      <c r="F261" s="1390"/>
      <c r="G261" s="1649"/>
      <c r="H261" s="1649"/>
      <c r="I261" s="1670"/>
      <c r="J261" s="1907"/>
      <c r="K261" s="1602"/>
      <c r="L261" s="1602"/>
      <c r="M261" s="1602"/>
      <c r="N261" s="1602"/>
      <c r="O261" s="1602"/>
      <c r="P261" s="1602"/>
      <c r="Q261" s="1885"/>
      <c r="R261" s="1885"/>
      <c r="S261" s="1885"/>
      <c r="T261" s="1885"/>
      <c r="U261" s="1908"/>
      <c r="V261" s="1885"/>
      <c r="W261" s="1885"/>
      <c r="X261" s="1885"/>
      <c r="Y261" s="1885"/>
      <c r="Z261" s="1885"/>
      <c r="AA261" s="1885"/>
      <c r="AB261" s="1885"/>
      <c r="AC261" s="1885"/>
    </row>
    <row r="262" spans="1:30" s="1291" customFormat="1" ht="13.5" customHeight="1">
      <c r="A262" s="1942"/>
      <c r="B262" s="1352"/>
      <c r="C262" s="1719" t="s">
        <v>2750</v>
      </c>
      <c r="D262" s="1343" t="s">
        <v>2758</v>
      </c>
      <c r="E262" s="1719" t="s">
        <v>142</v>
      </c>
      <c r="F262" s="933">
        <f>(F265)*1.1</f>
        <v>42.35</v>
      </c>
      <c r="G262" s="2055"/>
      <c r="H262" s="933">
        <f t="shared" ref="H262:H264" si="8">F262*G262</f>
        <v>0</v>
      </c>
      <c r="I262" s="225" t="s">
        <v>112</v>
      </c>
      <c r="J262" s="1907"/>
      <c r="K262" s="1602"/>
      <c r="L262" s="158"/>
      <c r="M262" s="158"/>
      <c r="N262" s="158"/>
      <c r="O262" s="158"/>
      <c r="P262" s="158"/>
      <c r="Q262" s="158"/>
      <c r="R262" s="158"/>
      <c r="S262" s="158"/>
      <c r="T262" s="158"/>
      <c r="U262" s="1908"/>
      <c r="W262" s="1943"/>
      <c r="X262" s="1944"/>
      <c r="Y262" s="1945"/>
      <c r="Z262" s="1602"/>
      <c r="AA262" s="1602"/>
      <c r="AB262" s="1602"/>
      <c r="AC262" s="1602"/>
      <c r="AD262" s="1602"/>
    </row>
    <row r="263" spans="1:30" s="1291" customFormat="1" ht="27" customHeight="1">
      <c r="A263" s="1942"/>
      <c r="B263" s="1352"/>
      <c r="C263" s="1719">
        <v>713463211</v>
      </c>
      <c r="D263" s="1343" t="s">
        <v>2735</v>
      </c>
      <c r="E263" s="1719" t="s">
        <v>142</v>
      </c>
      <c r="F263" s="933">
        <f>F260</f>
        <v>38.5</v>
      </c>
      <c r="G263" s="2055"/>
      <c r="H263" s="933">
        <f t="shared" si="8"/>
        <v>0</v>
      </c>
      <c r="I263" s="225" t="s">
        <v>138</v>
      </c>
      <c r="J263" s="1907"/>
      <c r="K263" s="1602"/>
      <c r="L263" s="1602"/>
      <c r="M263" s="1602"/>
      <c r="N263" s="1602"/>
      <c r="O263" s="1602"/>
      <c r="P263" s="1602"/>
      <c r="Q263" s="1885"/>
      <c r="R263" s="1885"/>
      <c r="S263" s="1885"/>
      <c r="T263" s="1885"/>
      <c r="U263" s="1908"/>
      <c r="W263" s="1943"/>
      <c r="X263" s="1944"/>
      <c r="Y263" s="1945"/>
      <c r="Z263" s="1602"/>
      <c r="AA263" s="1602"/>
      <c r="AB263" s="1602"/>
      <c r="AC263" s="1602"/>
      <c r="AD263" s="1602"/>
    </row>
    <row r="264" spans="1:30" s="1291" customFormat="1" ht="13.5" customHeight="1">
      <c r="A264" s="1946"/>
      <c r="B264" s="1947"/>
      <c r="C264" s="1948" t="s">
        <v>2759</v>
      </c>
      <c r="D264" s="1949" t="s">
        <v>2760</v>
      </c>
      <c r="E264" s="1948" t="s">
        <v>142</v>
      </c>
      <c r="F264" s="1950">
        <f>(F265)*1.1</f>
        <v>42.35</v>
      </c>
      <c r="G264" s="2056"/>
      <c r="H264" s="1950">
        <f t="shared" si="8"/>
        <v>0</v>
      </c>
      <c r="I264" s="1529" t="s">
        <v>112</v>
      </c>
      <c r="J264" s="1907"/>
      <c r="K264" s="1602"/>
      <c r="L264" s="1602"/>
      <c r="M264" s="1602"/>
      <c r="N264" s="1602"/>
      <c r="O264" s="1602"/>
      <c r="P264" s="1602"/>
      <c r="Q264" s="1885"/>
      <c r="R264" s="1885"/>
      <c r="S264" s="1885"/>
      <c r="T264" s="1885"/>
      <c r="U264" s="1908"/>
      <c r="W264" s="1943"/>
      <c r="X264" s="1944"/>
      <c r="Y264" s="1945"/>
      <c r="Z264" s="1602"/>
      <c r="AA264" s="1602"/>
      <c r="AB264" s="1602"/>
      <c r="AC264" s="1602"/>
      <c r="AD264" s="1602"/>
    </row>
    <row r="265" spans="1:30" s="158" customFormat="1" ht="13.5" customHeight="1">
      <c r="A265" s="1673"/>
      <c r="B265" s="1659"/>
      <c r="C265" s="1659"/>
      <c r="D265" s="1343" t="s">
        <v>2761</v>
      </c>
      <c r="E265" s="1659"/>
      <c r="F265" s="1390">
        <v>38.5</v>
      </c>
      <c r="G265" s="1649"/>
      <c r="H265" s="1649"/>
      <c r="I265" s="1345"/>
      <c r="J265" s="1601"/>
      <c r="K265" s="1885"/>
      <c r="L265" s="1885"/>
      <c r="M265" s="1885"/>
      <c r="N265" s="1885"/>
      <c r="O265" s="1651"/>
      <c r="P265" s="1885"/>
      <c r="Q265" s="1885"/>
      <c r="R265" s="1885"/>
      <c r="S265" s="1885"/>
      <c r="T265" s="1885"/>
      <c r="U265" s="1885"/>
      <c r="V265" s="1885"/>
      <c r="W265" s="1885"/>
      <c r="X265" s="1885"/>
      <c r="Y265" s="1885"/>
      <c r="Z265" s="1885"/>
      <c r="AA265" s="1885"/>
      <c r="AB265" s="1885"/>
      <c r="AC265" s="1885"/>
    </row>
    <row r="266" spans="1:30" s="158" customFormat="1" ht="13.5" customHeight="1">
      <c r="A266" s="1673"/>
      <c r="B266" s="1659"/>
      <c r="C266" s="1659"/>
      <c r="D266" s="1343" t="s">
        <v>2624</v>
      </c>
      <c r="E266" s="1659"/>
      <c r="F266" s="1941"/>
      <c r="G266" s="1649"/>
      <c r="H266" s="1649"/>
      <c r="I266" s="1880"/>
      <c r="J266" s="1909"/>
      <c r="V266" s="1885"/>
      <c r="W266" s="1885"/>
      <c r="X266" s="1885"/>
      <c r="Y266" s="1885"/>
      <c r="Z266" s="1885"/>
      <c r="AA266" s="1885"/>
      <c r="AB266" s="1885"/>
      <c r="AC266" s="1885"/>
    </row>
    <row r="267" spans="1:30" s="158" customFormat="1" ht="27" customHeight="1">
      <c r="A267" s="1335">
        <v>66</v>
      </c>
      <c r="B267" s="1337">
        <v>721</v>
      </c>
      <c r="C267" s="1337" t="s">
        <v>2762</v>
      </c>
      <c r="D267" s="1337" t="s">
        <v>2763</v>
      </c>
      <c r="E267" s="1337" t="s">
        <v>142</v>
      </c>
      <c r="F267" s="1666">
        <f>SUM(F271:F271)</f>
        <v>74.900000000000006</v>
      </c>
      <c r="G267" s="1339">
        <f>SUM(H269:H270)/F267</f>
        <v>0</v>
      </c>
      <c r="H267" s="1339">
        <f>F267*G267</f>
        <v>0</v>
      </c>
      <c r="I267" s="1345" t="s">
        <v>112</v>
      </c>
      <c r="J267" s="1907"/>
      <c r="K267" s="1602"/>
      <c r="L267" s="1602"/>
      <c r="M267" s="1602"/>
      <c r="N267" s="1602"/>
      <c r="O267" s="1602"/>
      <c r="P267" s="1602"/>
      <c r="Q267" s="1885"/>
      <c r="R267" s="1885"/>
      <c r="S267" s="1885"/>
      <c r="T267" s="1885"/>
      <c r="U267" s="1908"/>
      <c r="V267" s="1291"/>
      <c r="W267" s="1291"/>
      <c r="X267" s="1291"/>
      <c r="Y267" s="1291"/>
      <c r="Z267" s="1291"/>
      <c r="AA267" s="1291"/>
      <c r="AB267" s="1291"/>
      <c r="AC267" s="1291"/>
    </row>
    <row r="268" spans="1:30" s="158" customFormat="1" ht="27" customHeight="1">
      <c r="A268" s="1673"/>
      <c r="B268" s="1659"/>
      <c r="C268" s="1659"/>
      <c r="D268" s="1343" t="s">
        <v>2727</v>
      </c>
      <c r="E268" s="1659"/>
      <c r="F268" s="1390"/>
      <c r="G268" s="1649"/>
      <c r="H268" s="1649"/>
      <c r="I268" s="1670"/>
      <c r="J268" s="1907"/>
      <c r="K268" s="1602"/>
      <c r="L268" s="1602"/>
      <c r="M268" s="1602"/>
      <c r="N268" s="1602"/>
      <c r="O268" s="1602"/>
      <c r="P268" s="1602"/>
      <c r="Q268" s="1885"/>
      <c r="R268" s="1885"/>
      <c r="S268" s="1885"/>
      <c r="T268" s="1885"/>
      <c r="U268" s="1908"/>
      <c r="V268" s="1885"/>
      <c r="W268" s="1885"/>
      <c r="X268" s="1885"/>
      <c r="Y268" s="1885"/>
      <c r="Z268" s="1885"/>
      <c r="AA268" s="1885"/>
      <c r="AB268" s="1885"/>
      <c r="AC268" s="1885"/>
    </row>
    <row r="269" spans="1:30" s="1291" customFormat="1" ht="13.5" customHeight="1">
      <c r="A269" s="1942"/>
      <c r="B269" s="1352"/>
      <c r="C269" s="1719" t="s">
        <v>2762</v>
      </c>
      <c r="D269" s="1343" t="s">
        <v>2764</v>
      </c>
      <c r="E269" s="1719" t="s">
        <v>142</v>
      </c>
      <c r="F269" s="933">
        <f>(F271)*1.1</f>
        <v>82.390000000000015</v>
      </c>
      <c r="G269" s="2055"/>
      <c r="H269" s="933">
        <f t="shared" ref="H269:H270" si="9">F269*G269</f>
        <v>0</v>
      </c>
      <c r="I269" s="225" t="s">
        <v>112</v>
      </c>
      <c r="J269" s="1907"/>
      <c r="K269" s="1602"/>
      <c r="L269" s="158"/>
      <c r="M269" s="158"/>
      <c r="N269" s="158"/>
      <c r="O269" s="158"/>
      <c r="P269" s="158"/>
      <c r="Q269" s="158"/>
      <c r="R269" s="158"/>
      <c r="S269" s="158"/>
      <c r="T269" s="158"/>
      <c r="U269" s="1908"/>
      <c r="W269" s="1943"/>
      <c r="X269" s="1944"/>
      <c r="Y269" s="1945"/>
      <c r="Z269" s="1602"/>
      <c r="AA269" s="1602"/>
      <c r="AB269" s="1602"/>
      <c r="AC269" s="1602"/>
      <c r="AD269" s="1602"/>
    </row>
    <row r="270" spans="1:30" s="1291" customFormat="1" ht="27" customHeight="1">
      <c r="A270" s="1942"/>
      <c r="B270" s="1352"/>
      <c r="C270" s="1719">
        <v>722181222</v>
      </c>
      <c r="D270" s="1343" t="s">
        <v>2765</v>
      </c>
      <c r="E270" s="1719" t="s">
        <v>142</v>
      </c>
      <c r="F270" s="933">
        <f>(F271)*1.1</f>
        <v>82.390000000000015</v>
      </c>
      <c r="G270" s="2055"/>
      <c r="H270" s="933">
        <f t="shared" si="9"/>
        <v>0</v>
      </c>
      <c r="I270" s="225" t="s">
        <v>138</v>
      </c>
      <c r="J270" s="1907"/>
      <c r="K270" s="1602"/>
      <c r="L270" s="1602"/>
      <c r="M270" s="1602"/>
      <c r="N270" s="1602"/>
      <c r="O270" s="1602"/>
      <c r="P270" s="1602"/>
      <c r="Q270" s="1885"/>
      <c r="R270" s="1885"/>
      <c r="S270" s="1885"/>
      <c r="T270" s="1885"/>
      <c r="U270" s="1908"/>
      <c r="W270" s="1943"/>
      <c r="X270" s="1944"/>
      <c r="Y270" s="1945"/>
      <c r="Z270" s="1602"/>
      <c r="AA270" s="1602"/>
      <c r="AB270" s="1602"/>
      <c r="AC270" s="1602"/>
      <c r="AD270" s="1602"/>
    </row>
    <row r="271" spans="1:30" s="158" customFormat="1" ht="13.5" customHeight="1">
      <c r="A271" s="1673"/>
      <c r="B271" s="1659"/>
      <c r="C271" s="1659"/>
      <c r="D271" s="1343" t="s">
        <v>2766</v>
      </c>
      <c r="E271" s="1659"/>
      <c r="F271" s="1390">
        <v>74.900000000000006</v>
      </c>
      <c r="G271" s="1649"/>
      <c r="H271" s="1649"/>
      <c r="I271" s="1345"/>
      <c r="V271" s="1885"/>
      <c r="W271" s="1885"/>
      <c r="X271" s="1885"/>
      <c r="Y271" s="1885"/>
      <c r="Z271" s="1885"/>
      <c r="AA271" s="1885"/>
      <c r="AB271" s="1885"/>
      <c r="AC271" s="1885"/>
    </row>
    <row r="272" spans="1:30" s="158" customFormat="1" ht="13.5" customHeight="1">
      <c r="A272" s="1673"/>
      <c r="B272" s="1659"/>
      <c r="C272" s="1659"/>
      <c r="D272" s="1343" t="s">
        <v>2624</v>
      </c>
      <c r="E272" s="1659"/>
      <c r="F272" s="1941"/>
      <c r="G272" s="1649"/>
      <c r="H272" s="1649"/>
      <c r="I272" s="1880"/>
      <c r="V272" s="1885"/>
      <c r="W272" s="1885"/>
      <c r="X272" s="1885"/>
      <c r="Y272" s="1885"/>
      <c r="Z272" s="1885"/>
      <c r="AA272" s="1885"/>
      <c r="AB272" s="1885"/>
      <c r="AC272" s="1885"/>
    </row>
    <row r="273" spans="1:30" s="158" customFormat="1" ht="27" customHeight="1">
      <c r="A273" s="1335">
        <v>67</v>
      </c>
      <c r="B273" s="1337">
        <v>721</v>
      </c>
      <c r="C273" s="1337" t="s">
        <v>2767</v>
      </c>
      <c r="D273" s="1337" t="s">
        <v>2768</v>
      </c>
      <c r="E273" s="1337" t="s">
        <v>142</v>
      </c>
      <c r="F273" s="1666">
        <f>SUM(F278:F278)</f>
        <v>29.9</v>
      </c>
      <c r="G273" s="1339">
        <f>SUM(H275:H277)/F273</f>
        <v>0</v>
      </c>
      <c r="H273" s="1339">
        <f>F273*G273</f>
        <v>0</v>
      </c>
      <c r="I273" s="1345" t="s">
        <v>112</v>
      </c>
      <c r="J273" s="1907"/>
      <c r="K273" s="1602"/>
      <c r="L273" s="1602"/>
      <c r="M273" s="1602"/>
      <c r="N273" s="1602"/>
      <c r="O273" s="1602"/>
      <c r="P273" s="1602"/>
      <c r="Q273" s="1885"/>
      <c r="R273" s="1885"/>
      <c r="S273" s="1885"/>
      <c r="T273" s="1885"/>
      <c r="U273" s="1908"/>
      <c r="V273" s="1291"/>
      <c r="W273" s="1291"/>
      <c r="X273" s="1291"/>
      <c r="Y273" s="1291"/>
      <c r="Z273" s="1291"/>
      <c r="AA273" s="1291"/>
      <c r="AB273" s="1291"/>
      <c r="AC273" s="1291"/>
    </row>
    <row r="274" spans="1:30" s="158" customFormat="1" ht="27" customHeight="1">
      <c r="A274" s="1673"/>
      <c r="B274" s="1659"/>
      <c r="C274" s="1659"/>
      <c r="D274" s="1343" t="s">
        <v>2757</v>
      </c>
      <c r="E274" s="1659"/>
      <c r="F274" s="1390"/>
      <c r="G274" s="1649"/>
      <c r="H274" s="1649"/>
      <c r="I274" s="1670"/>
      <c r="J274" s="1887"/>
      <c r="K274" s="1602"/>
      <c r="L274" s="1602"/>
      <c r="M274" s="1602"/>
      <c r="N274" s="1602"/>
      <c r="O274" s="1602"/>
      <c r="P274" s="1602"/>
      <c r="Q274" s="1885"/>
      <c r="R274" s="1885"/>
      <c r="S274" s="1885"/>
      <c r="T274" s="1885"/>
      <c r="U274" s="1889"/>
      <c r="V274" s="1885"/>
      <c r="W274" s="1885"/>
      <c r="X274" s="1885"/>
      <c r="Y274" s="1885"/>
      <c r="Z274" s="1885"/>
      <c r="AA274" s="1885"/>
      <c r="AB274" s="1885"/>
      <c r="AC274" s="1885"/>
    </row>
    <row r="275" spans="1:30" s="1291" customFormat="1" ht="13.5" customHeight="1">
      <c r="A275" s="1942"/>
      <c r="B275" s="1352"/>
      <c r="C275" s="1719" t="s">
        <v>2762</v>
      </c>
      <c r="D275" s="1343" t="s">
        <v>2769</v>
      </c>
      <c r="E275" s="1719" t="s">
        <v>142</v>
      </c>
      <c r="F275" s="933">
        <f>(F278)*1.1</f>
        <v>32.89</v>
      </c>
      <c r="G275" s="2055"/>
      <c r="H275" s="933">
        <f t="shared" ref="H275:H277" si="10">F275*G275</f>
        <v>0</v>
      </c>
      <c r="I275" s="225" t="s">
        <v>112</v>
      </c>
      <c r="J275" s="1907"/>
      <c r="K275" s="1602"/>
      <c r="L275" s="158"/>
      <c r="M275" s="158"/>
      <c r="N275" s="158"/>
      <c r="O275" s="158"/>
      <c r="P275" s="158"/>
      <c r="Q275" s="158"/>
      <c r="R275" s="158"/>
      <c r="S275" s="158"/>
      <c r="T275" s="158"/>
      <c r="U275" s="1908"/>
      <c r="W275" s="1943"/>
      <c r="X275" s="1944"/>
      <c r="Y275" s="1945"/>
      <c r="Z275" s="1602"/>
      <c r="AA275" s="1602"/>
      <c r="AB275" s="1602"/>
      <c r="AC275" s="1602"/>
      <c r="AD275" s="1602"/>
    </row>
    <row r="276" spans="1:30" s="1291" customFormat="1" ht="27" customHeight="1">
      <c r="A276" s="1942"/>
      <c r="B276" s="1352"/>
      <c r="C276" s="1719">
        <v>713463211</v>
      </c>
      <c r="D276" s="1343" t="s">
        <v>2735</v>
      </c>
      <c r="E276" s="1719" t="s">
        <v>142</v>
      </c>
      <c r="F276" s="933">
        <f>F273</f>
        <v>29.9</v>
      </c>
      <c r="G276" s="2055"/>
      <c r="H276" s="933">
        <f t="shared" si="10"/>
        <v>0</v>
      </c>
      <c r="I276" s="225" t="s">
        <v>138</v>
      </c>
      <c r="J276" s="1907"/>
      <c r="K276" s="1602"/>
      <c r="L276" s="1602"/>
      <c r="M276" s="1602"/>
      <c r="N276" s="1602"/>
      <c r="O276" s="1602"/>
      <c r="P276" s="1602"/>
      <c r="Q276" s="1885"/>
      <c r="R276" s="1885"/>
      <c r="S276" s="1885"/>
      <c r="T276" s="1885"/>
      <c r="U276" s="1908"/>
      <c r="W276" s="1943"/>
      <c r="X276" s="1944"/>
      <c r="Y276" s="1945"/>
      <c r="Z276" s="1602"/>
      <c r="AA276" s="1602"/>
      <c r="AB276" s="1602"/>
      <c r="AC276" s="1602"/>
      <c r="AD276" s="1602"/>
    </row>
    <row r="277" spans="1:30" s="1291" customFormat="1" ht="13.5" customHeight="1">
      <c r="A277" s="1946"/>
      <c r="B277" s="1947"/>
      <c r="C277" s="1948" t="s">
        <v>2770</v>
      </c>
      <c r="D277" s="1949" t="s">
        <v>2771</v>
      </c>
      <c r="E277" s="1948" t="s">
        <v>142</v>
      </c>
      <c r="F277" s="1950">
        <f>(F278)*1.1</f>
        <v>32.89</v>
      </c>
      <c r="G277" s="2056"/>
      <c r="H277" s="1950">
        <f t="shared" si="10"/>
        <v>0</v>
      </c>
      <c r="I277" s="1529" t="s">
        <v>112</v>
      </c>
      <c r="J277" s="1907"/>
      <c r="K277" s="1602"/>
      <c r="L277" s="1602"/>
      <c r="M277" s="1602"/>
      <c r="N277" s="1602"/>
      <c r="O277" s="1602"/>
      <c r="P277" s="1602"/>
      <c r="Q277" s="1885"/>
      <c r="R277" s="1885"/>
      <c r="S277" s="1885"/>
      <c r="T277" s="1885"/>
      <c r="U277" s="1908"/>
      <c r="W277" s="1943"/>
      <c r="X277" s="1944"/>
      <c r="Y277" s="1945"/>
      <c r="Z277" s="1602"/>
      <c r="AA277" s="1602"/>
      <c r="AB277" s="1602"/>
      <c r="AC277" s="1602"/>
      <c r="AD277" s="1602"/>
    </row>
    <row r="278" spans="1:30" s="158" customFormat="1" ht="13.5" customHeight="1">
      <c r="A278" s="1673"/>
      <c r="B278" s="1659"/>
      <c r="C278" s="1659"/>
      <c r="D278" s="1343" t="s">
        <v>2772</v>
      </c>
      <c r="E278" s="1659"/>
      <c r="F278" s="1390">
        <v>29.9</v>
      </c>
      <c r="G278" s="1649"/>
      <c r="H278" s="1649"/>
      <c r="I278" s="1345"/>
      <c r="J278" s="1653"/>
      <c r="K278" s="1602"/>
      <c r="L278" s="1602"/>
      <c r="M278" s="1602"/>
      <c r="N278" s="1602"/>
      <c r="P278" s="1602"/>
      <c r="Q278" s="1885"/>
      <c r="R278" s="1885"/>
      <c r="S278" s="1885"/>
      <c r="T278" s="1885"/>
      <c r="U278" s="1368"/>
      <c r="V278" s="1885"/>
      <c r="W278" s="1885"/>
      <c r="X278" s="1885"/>
      <c r="Y278" s="1885"/>
      <c r="Z278" s="1885"/>
      <c r="AA278" s="1885"/>
      <c r="AB278" s="1885"/>
      <c r="AC278" s="1885"/>
    </row>
    <row r="279" spans="1:30" s="158" customFormat="1" ht="13.5" customHeight="1">
      <c r="A279" s="1673"/>
      <c r="B279" s="1659"/>
      <c r="C279" s="1659"/>
      <c r="D279" s="1343" t="s">
        <v>2624</v>
      </c>
      <c r="E279" s="1659"/>
      <c r="F279" s="1941"/>
      <c r="G279" s="1649"/>
      <c r="H279" s="1649"/>
      <c r="I279" s="1670"/>
      <c r="V279" s="1885"/>
      <c r="W279" s="1885"/>
      <c r="X279" s="1885"/>
      <c r="Y279" s="1885"/>
      <c r="Z279" s="1885"/>
      <c r="AA279" s="1885"/>
      <c r="AB279" s="1885"/>
      <c r="AC279" s="1885"/>
    </row>
    <row r="280" spans="1:30" s="158" customFormat="1" ht="13.5" customHeight="1">
      <c r="A280" s="1335">
        <v>68</v>
      </c>
      <c r="B280" s="1337">
        <v>721</v>
      </c>
      <c r="C280" s="1337">
        <v>722290226</v>
      </c>
      <c r="D280" s="1337" t="s">
        <v>2773</v>
      </c>
      <c r="E280" s="1337" t="s">
        <v>142</v>
      </c>
      <c r="F280" s="1666">
        <f>SUM(F283:F294)</f>
        <v>1963.2000000000003</v>
      </c>
      <c r="G280" s="1339"/>
      <c r="H280" s="1339">
        <f>F280*G280</f>
        <v>0</v>
      </c>
      <c r="I280" s="1345" t="s">
        <v>138</v>
      </c>
      <c r="J280" s="1922"/>
      <c r="K280" s="1885"/>
      <c r="L280" s="1885"/>
      <c r="M280" s="1885"/>
      <c r="N280" s="1885"/>
      <c r="O280" s="1885"/>
      <c r="P280" s="1885"/>
      <c r="Q280" s="1885"/>
      <c r="R280" s="1885"/>
      <c r="S280" s="1885"/>
      <c r="T280" s="1885"/>
      <c r="U280" s="1885"/>
      <c r="V280" s="1885"/>
      <c r="W280" s="1885"/>
      <c r="X280" s="1885"/>
      <c r="Y280" s="1885"/>
      <c r="Z280" s="1885"/>
      <c r="AA280" s="1885"/>
      <c r="AB280" s="1885"/>
      <c r="AC280" s="1885"/>
    </row>
    <row r="281" spans="1:30" s="158" customFormat="1" ht="13.5" customHeight="1">
      <c r="A281" s="1335"/>
      <c r="B281" s="1337"/>
      <c r="C281" s="1337"/>
      <c r="D281" s="1343" t="s">
        <v>2774</v>
      </c>
      <c r="E281" s="1337"/>
      <c r="F281" s="1248"/>
      <c r="G281" s="1339"/>
      <c r="H281" s="1339"/>
      <c r="I281" s="1345"/>
      <c r="J281" s="1885"/>
      <c r="K281" s="1885"/>
      <c r="L281" s="1885"/>
      <c r="M281" s="1885"/>
      <c r="N281" s="1885"/>
      <c r="O281" s="1885"/>
      <c r="P281" s="1885"/>
      <c r="Q281" s="1885"/>
      <c r="R281" s="1885"/>
      <c r="S281" s="1885"/>
      <c r="T281" s="1885"/>
      <c r="U281" s="1885"/>
      <c r="V281" s="1885"/>
      <c r="W281" s="1885"/>
      <c r="X281" s="1885"/>
      <c r="Y281" s="1885"/>
      <c r="Z281" s="1885"/>
      <c r="AA281" s="1885"/>
      <c r="AB281" s="1885"/>
      <c r="AC281" s="1885"/>
    </row>
    <row r="282" spans="1:30" s="158" customFormat="1" ht="13.5" customHeight="1">
      <c r="A282" s="1335"/>
      <c r="B282" s="1337"/>
      <c r="C282" s="1337"/>
      <c r="D282" s="1343" t="s">
        <v>2775</v>
      </c>
      <c r="E282" s="1337"/>
      <c r="F282" s="1390"/>
      <c r="G282" s="1339"/>
      <c r="H282" s="1339"/>
      <c r="I282" s="1345"/>
      <c r="J282" s="1885"/>
      <c r="K282" s="1885"/>
      <c r="L282" s="1885"/>
      <c r="M282" s="1885"/>
      <c r="N282" s="1885"/>
      <c r="O282" s="1885"/>
      <c r="P282" s="1885"/>
      <c r="Q282" s="1885"/>
      <c r="R282" s="1885"/>
      <c r="S282" s="1885"/>
      <c r="T282" s="1885"/>
      <c r="U282" s="1885"/>
      <c r="V282" s="1885"/>
      <c r="W282" s="1885"/>
      <c r="X282" s="1885"/>
      <c r="Y282" s="1885"/>
      <c r="Z282" s="1885"/>
      <c r="AA282" s="1885"/>
      <c r="AB282" s="1885"/>
      <c r="AC282" s="1885"/>
    </row>
    <row r="283" spans="1:30" s="158" customFormat="1" ht="13.5" customHeight="1">
      <c r="A283" s="1335"/>
      <c r="B283" s="1337"/>
      <c r="C283" s="1337"/>
      <c r="D283" s="1343" t="s">
        <v>2776</v>
      </c>
      <c r="E283" s="1337"/>
      <c r="F283" s="1390">
        <f>(20.3)*2</f>
        <v>40.6</v>
      </c>
      <c r="G283" s="1339"/>
      <c r="H283" s="1339"/>
      <c r="I283" s="1345"/>
      <c r="J283" s="1952"/>
      <c r="K283" s="1953"/>
      <c r="L283" s="1885"/>
      <c r="M283" s="1885"/>
      <c r="N283" s="1885"/>
      <c r="O283" s="1885"/>
      <c r="P283" s="1885"/>
      <c r="Q283" s="1885"/>
      <c r="R283" s="1885"/>
      <c r="S283" s="1885"/>
      <c r="T283" s="1885"/>
      <c r="U283" s="1885"/>
      <c r="V283" s="1885"/>
      <c r="W283" s="1885"/>
      <c r="X283" s="1885"/>
      <c r="Y283" s="1885"/>
      <c r="Z283" s="1885"/>
      <c r="AA283" s="1885"/>
      <c r="AB283" s="1885"/>
      <c r="AC283" s="1885"/>
    </row>
    <row r="284" spans="1:30" s="158" customFormat="1" ht="13.5" customHeight="1">
      <c r="A284" s="1335"/>
      <c r="B284" s="1337"/>
      <c r="C284" s="1337"/>
      <c r="D284" s="1343" t="s">
        <v>2777</v>
      </c>
      <c r="E284" s="1337"/>
      <c r="F284" s="1390">
        <f>(9.8)*2</f>
        <v>19.600000000000001</v>
      </c>
      <c r="G284" s="1339"/>
      <c r="H284" s="1339"/>
      <c r="I284" s="1345"/>
      <c r="J284" s="1885"/>
      <c r="K284" s="1885"/>
      <c r="L284" s="1885"/>
      <c r="M284" s="1885"/>
      <c r="N284" s="1885"/>
      <c r="O284" s="1885"/>
      <c r="P284" s="1885"/>
      <c r="Q284" s="1885"/>
      <c r="R284" s="1885"/>
      <c r="S284" s="1885"/>
      <c r="T284" s="1885"/>
      <c r="U284" s="1885"/>
      <c r="V284" s="1885"/>
      <c r="W284" s="1885"/>
      <c r="X284" s="1885"/>
      <c r="Y284" s="1885"/>
      <c r="Z284" s="1885"/>
      <c r="AA284" s="1885"/>
      <c r="AB284" s="1885"/>
      <c r="AC284" s="1885"/>
    </row>
    <row r="285" spans="1:30" s="158" customFormat="1" ht="13.5" customHeight="1">
      <c r="A285" s="1335"/>
      <c r="B285" s="1337"/>
      <c r="C285" s="1337"/>
      <c r="D285" s="1343" t="s">
        <v>2778</v>
      </c>
      <c r="E285" s="1337"/>
      <c r="F285" s="1390"/>
      <c r="G285" s="1339"/>
      <c r="H285" s="1339"/>
      <c r="I285" s="1345"/>
      <c r="J285" s="1952"/>
      <c r="K285" s="1953"/>
      <c r="L285" s="1885"/>
      <c r="M285" s="1885"/>
      <c r="N285" s="1885"/>
      <c r="O285" s="1885"/>
      <c r="P285" s="1885"/>
      <c r="Q285" s="1885"/>
      <c r="R285" s="1885"/>
      <c r="S285" s="1885"/>
      <c r="T285" s="1885"/>
      <c r="U285" s="1885"/>
      <c r="V285" s="1885"/>
      <c r="W285" s="1885"/>
      <c r="X285" s="1885"/>
      <c r="Y285" s="1885"/>
      <c r="Z285" s="1885"/>
      <c r="AA285" s="1885"/>
      <c r="AB285" s="1885"/>
      <c r="AC285" s="1885"/>
    </row>
    <row r="286" spans="1:30" s="158" customFormat="1" ht="13.5" customHeight="1">
      <c r="A286" s="1335"/>
      <c r="B286" s="1337"/>
      <c r="C286" s="1337"/>
      <c r="D286" s="1719" t="s">
        <v>2779</v>
      </c>
      <c r="E286" s="1337"/>
      <c r="F286" s="1390">
        <f>(273.6)*2</f>
        <v>547.20000000000005</v>
      </c>
      <c r="G286" s="1339"/>
      <c r="H286" s="1339"/>
      <c r="I286" s="1345"/>
      <c r="J286" s="1952"/>
      <c r="K286" s="1953"/>
      <c r="L286" s="1885"/>
      <c r="M286" s="1885"/>
      <c r="N286" s="1885"/>
      <c r="O286" s="1885"/>
      <c r="P286" s="1885"/>
      <c r="Q286" s="1885"/>
      <c r="R286" s="1885"/>
      <c r="S286" s="1885"/>
      <c r="T286" s="1885"/>
      <c r="U286" s="1885"/>
      <c r="V286" s="1885"/>
      <c r="W286" s="1885"/>
      <c r="X286" s="1885"/>
      <c r="Y286" s="1885"/>
      <c r="Z286" s="1885"/>
      <c r="AA286" s="1885"/>
      <c r="AB286" s="1885"/>
      <c r="AC286" s="1885"/>
    </row>
    <row r="287" spans="1:30" s="158" customFormat="1" ht="13.5" customHeight="1">
      <c r="A287" s="1335"/>
      <c r="B287" s="1337"/>
      <c r="C287" s="1337"/>
      <c r="D287" s="1719" t="s">
        <v>2780</v>
      </c>
      <c r="E287" s="1337"/>
      <c r="F287" s="1390">
        <f>(86.9)*2</f>
        <v>173.8</v>
      </c>
      <c r="G287" s="1339"/>
      <c r="H287" s="1339"/>
      <c r="I287" s="1345"/>
      <c r="J287" s="1952"/>
      <c r="K287" s="1953"/>
      <c r="L287" s="1885"/>
      <c r="M287" s="1885"/>
      <c r="N287" s="1885"/>
      <c r="O287" s="1885"/>
      <c r="P287" s="1885"/>
      <c r="Q287" s="1885"/>
      <c r="R287" s="1885"/>
      <c r="S287" s="1885"/>
      <c r="T287" s="1885"/>
      <c r="U287" s="1885"/>
      <c r="V287" s="1885"/>
      <c r="W287" s="1885"/>
      <c r="X287" s="1885"/>
      <c r="Y287" s="1885"/>
      <c r="Z287" s="1885"/>
      <c r="AA287" s="1885"/>
      <c r="AB287" s="1885"/>
      <c r="AC287" s="1885"/>
    </row>
    <row r="288" spans="1:30" s="158" customFormat="1" ht="13.5" customHeight="1">
      <c r="A288" s="1335"/>
      <c r="B288" s="1337"/>
      <c r="C288" s="1337"/>
      <c r="D288" s="1719" t="s">
        <v>2781</v>
      </c>
      <c r="E288" s="1337"/>
      <c r="F288" s="1390">
        <f>(79.8)*2</f>
        <v>159.6</v>
      </c>
      <c r="G288" s="1339"/>
      <c r="H288" s="1339"/>
      <c r="I288" s="1345"/>
      <c r="J288" s="1885"/>
      <c r="K288" s="1885"/>
      <c r="L288" s="1885"/>
      <c r="M288" s="1885"/>
      <c r="N288" s="1885"/>
      <c r="O288" s="1885"/>
      <c r="P288" s="1885"/>
      <c r="Q288" s="1885"/>
      <c r="R288" s="1885"/>
      <c r="S288" s="1885"/>
      <c r="T288" s="1885"/>
      <c r="U288" s="1885"/>
      <c r="V288" s="1885"/>
      <c r="W288" s="1885"/>
      <c r="X288" s="1885"/>
      <c r="Y288" s="1885"/>
      <c r="Z288" s="1885"/>
      <c r="AA288" s="1885"/>
      <c r="AB288" s="1885"/>
      <c r="AC288" s="1885"/>
    </row>
    <row r="289" spans="1:29" s="158" customFormat="1" ht="13.5" customHeight="1">
      <c r="A289" s="1335"/>
      <c r="B289" s="1337"/>
      <c r="C289" s="1337"/>
      <c r="D289" s="1719" t="s">
        <v>2782</v>
      </c>
      <c r="E289" s="1337"/>
      <c r="F289" s="1390">
        <f>(74.9)*2</f>
        <v>149.80000000000001</v>
      </c>
      <c r="G289" s="1339"/>
      <c r="H289" s="1339"/>
      <c r="I289" s="1345"/>
      <c r="J289" s="1885"/>
      <c r="K289" s="1885"/>
      <c r="L289" s="1885"/>
      <c r="M289" s="1885"/>
      <c r="N289" s="1885"/>
      <c r="O289" s="1885"/>
      <c r="P289" s="1885"/>
      <c r="Q289" s="1885"/>
      <c r="R289" s="1885"/>
      <c r="S289" s="1885"/>
      <c r="T289" s="1885"/>
      <c r="U289" s="1885"/>
      <c r="V289" s="1885"/>
      <c r="W289" s="1885"/>
      <c r="X289" s="1885"/>
      <c r="Y289" s="1885"/>
      <c r="Z289" s="1885"/>
      <c r="AA289" s="1885"/>
      <c r="AB289" s="1885"/>
      <c r="AC289" s="1885"/>
    </row>
    <row r="290" spans="1:29" s="158" customFormat="1" ht="13.5" customHeight="1">
      <c r="A290" s="1335"/>
      <c r="B290" s="1337"/>
      <c r="C290" s="1337"/>
      <c r="D290" s="1343" t="s">
        <v>2783</v>
      </c>
      <c r="E290" s="1337"/>
      <c r="F290" s="1390"/>
      <c r="G290" s="1339"/>
      <c r="H290" s="1339"/>
      <c r="I290" s="1345"/>
      <c r="J290" s="1885"/>
      <c r="K290" s="1885"/>
      <c r="L290" s="1885"/>
      <c r="M290" s="1885"/>
      <c r="N290" s="1885"/>
      <c r="O290" s="1885"/>
      <c r="P290" s="1885"/>
      <c r="Q290" s="1885"/>
      <c r="R290" s="1885"/>
      <c r="S290" s="1885"/>
      <c r="T290" s="1885"/>
      <c r="U290" s="1885"/>
      <c r="V290" s="1885"/>
      <c r="W290" s="1885"/>
      <c r="X290" s="1885"/>
      <c r="Y290" s="1885"/>
      <c r="Z290" s="1885"/>
      <c r="AA290" s="1885"/>
      <c r="AB290" s="1885"/>
      <c r="AC290" s="1885"/>
    </row>
    <row r="291" spans="1:29" s="158" customFormat="1" ht="13.5" customHeight="1">
      <c r="A291" s="1335"/>
      <c r="B291" s="1337"/>
      <c r="C291" s="1337"/>
      <c r="D291" s="1719" t="s">
        <v>2784</v>
      </c>
      <c r="E291" s="1337"/>
      <c r="F291" s="1390">
        <f>(277.8)*2</f>
        <v>555.6</v>
      </c>
      <c r="G291" s="1339"/>
      <c r="H291" s="1339"/>
      <c r="I291" s="1345"/>
      <c r="J291" s="1885"/>
      <c r="K291" s="1885"/>
      <c r="L291" s="1885"/>
      <c r="M291" s="1885"/>
      <c r="N291" s="1885"/>
      <c r="O291" s="1885"/>
      <c r="P291" s="1885"/>
      <c r="Q291" s="1885"/>
      <c r="R291" s="1885"/>
      <c r="S291" s="1885"/>
      <c r="T291" s="1885"/>
      <c r="U291" s="1885"/>
      <c r="V291" s="1885"/>
      <c r="W291" s="1885"/>
      <c r="X291" s="1885"/>
      <c r="Y291" s="1885"/>
      <c r="Z291" s="1885"/>
      <c r="AA291" s="1885"/>
      <c r="AB291" s="1885"/>
      <c r="AC291" s="1885"/>
    </row>
    <row r="292" spans="1:29" s="158" customFormat="1" ht="13.5" customHeight="1">
      <c r="A292" s="1335"/>
      <c r="B292" s="1337"/>
      <c r="C292" s="1337"/>
      <c r="D292" s="1719" t="s">
        <v>2785</v>
      </c>
      <c r="E292" s="1337"/>
      <c r="F292" s="1390">
        <f>(90.1)*2</f>
        <v>180.2</v>
      </c>
      <c r="G292" s="1339"/>
      <c r="H292" s="1339"/>
      <c r="I292" s="1345"/>
      <c r="J292" s="1885"/>
      <c r="K292" s="1885"/>
      <c r="L292" s="1885"/>
      <c r="M292" s="1885"/>
      <c r="N292" s="1885"/>
      <c r="O292" s="1885"/>
      <c r="P292" s="1885"/>
      <c r="Q292" s="1885"/>
      <c r="R292" s="1885"/>
      <c r="S292" s="1885"/>
      <c r="T292" s="1885"/>
      <c r="U292" s="1885"/>
      <c r="V292" s="1885"/>
      <c r="W292" s="1885"/>
      <c r="X292" s="1885"/>
      <c r="Y292" s="1885"/>
      <c r="Z292" s="1885"/>
      <c r="AA292" s="1885"/>
      <c r="AB292" s="1885"/>
      <c r="AC292" s="1885"/>
    </row>
    <row r="293" spans="1:29" s="158" customFormat="1" ht="13.5" customHeight="1">
      <c r="A293" s="1335"/>
      <c r="B293" s="1337"/>
      <c r="C293" s="1337"/>
      <c r="D293" s="1719" t="s">
        <v>2786</v>
      </c>
      <c r="E293" s="1337"/>
      <c r="F293" s="1390">
        <f>(38.5)*2</f>
        <v>77</v>
      </c>
      <c r="G293" s="1339"/>
      <c r="H293" s="1339"/>
      <c r="I293" s="1345"/>
      <c r="J293" s="1885"/>
      <c r="K293" s="1885"/>
      <c r="L293" s="1885"/>
      <c r="M293" s="1885"/>
      <c r="N293" s="1885"/>
      <c r="O293" s="1885"/>
      <c r="P293" s="1885"/>
      <c r="Q293" s="1885"/>
      <c r="R293" s="1885"/>
      <c r="S293" s="1885"/>
      <c r="T293" s="1885"/>
      <c r="U293" s="1885"/>
      <c r="V293" s="1885"/>
      <c r="W293" s="1885"/>
      <c r="X293" s="1885"/>
      <c r="Y293" s="1885"/>
      <c r="Z293" s="1885"/>
      <c r="AA293" s="1885"/>
      <c r="AB293" s="1885"/>
      <c r="AC293" s="1885"/>
    </row>
    <row r="294" spans="1:29" s="158" customFormat="1" ht="13.5" customHeight="1">
      <c r="A294" s="1335"/>
      <c r="B294" s="1337"/>
      <c r="C294" s="1337"/>
      <c r="D294" s="1719" t="s">
        <v>2787</v>
      </c>
      <c r="E294" s="1337"/>
      <c r="F294" s="1390">
        <f>(29.9)*2</f>
        <v>59.8</v>
      </c>
      <c r="G294" s="1339"/>
      <c r="H294" s="1339"/>
      <c r="I294" s="1345"/>
      <c r="J294" s="1885"/>
      <c r="K294" s="1885"/>
      <c r="L294" s="1885"/>
      <c r="M294" s="1885"/>
      <c r="N294" s="1885"/>
      <c r="O294" s="1885"/>
      <c r="P294" s="1885"/>
      <c r="Q294" s="1885"/>
      <c r="R294" s="1885"/>
      <c r="S294" s="1885"/>
      <c r="T294" s="1885"/>
      <c r="U294" s="1885"/>
      <c r="V294" s="1885"/>
      <c r="W294" s="1885"/>
      <c r="X294" s="1885"/>
      <c r="Y294" s="1885"/>
      <c r="Z294" s="1885"/>
      <c r="AA294" s="1885"/>
      <c r="AB294" s="1885"/>
      <c r="AC294" s="1885"/>
    </row>
    <row r="295" spans="1:29" s="158" customFormat="1" ht="13.5" customHeight="1">
      <c r="A295" s="1335">
        <v>69</v>
      </c>
      <c r="B295" s="1337">
        <v>721</v>
      </c>
      <c r="C295" s="1337">
        <v>722290234</v>
      </c>
      <c r="D295" s="1337" t="s">
        <v>2788</v>
      </c>
      <c r="E295" s="1337" t="s">
        <v>142</v>
      </c>
      <c r="F295" s="1666">
        <f>(F280)/2</f>
        <v>981.60000000000014</v>
      </c>
      <c r="G295" s="1339"/>
      <c r="H295" s="1339">
        <f>F295*G295</f>
        <v>0</v>
      </c>
      <c r="I295" s="1345" t="s">
        <v>138</v>
      </c>
      <c r="J295" s="1885"/>
      <c r="K295" s="1885"/>
      <c r="L295" s="1885"/>
      <c r="M295" s="1885"/>
      <c r="N295" s="1885"/>
      <c r="O295" s="1885"/>
      <c r="P295" s="1885"/>
      <c r="Q295" s="1885"/>
      <c r="R295" s="1885"/>
      <c r="S295" s="1885"/>
      <c r="T295" s="1885"/>
      <c r="U295" s="1885"/>
      <c r="V295" s="1885"/>
      <c r="W295" s="1885"/>
      <c r="X295" s="1885"/>
      <c r="Y295" s="1885"/>
      <c r="Z295" s="1885"/>
      <c r="AA295" s="1885"/>
      <c r="AB295" s="1885"/>
      <c r="AC295" s="1885"/>
    </row>
    <row r="296" spans="1:29" s="158" customFormat="1" ht="13.5" customHeight="1">
      <c r="A296" s="1335">
        <v>70</v>
      </c>
      <c r="B296" s="1337" t="s">
        <v>2048</v>
      </c>
      <c r="C296" s="1337" t="s">
        <v>2789</v>
      </c>
      <c r="D296" s="1337" t="s">
        <v>2790</v>
      </c>
      <c r="E296" s="1337" t="s">
        <v>210</v>
      </c>
      <c r="F296" s="1666">
        <f>SUM(F298:F299)</f>
        <v>4</v>
      </c>
      <c r="G296" s="1339"/>
      <c r="H296" s="1339">
        <f>F296*G296</f>
        <v>0</v>
      </c>
      <c r="I296" s="1345" t="s">
        <v>112</v>
      </c>
      <c r="J296" s="1907"/>
      <c r="K296" s="1602"/>
      <c r="L296" s="1885"/>
      <c r="M296" s="1885"/>
      <c r="N296" s="1885"/>
      <c r="O296" s="1885"/>
      <c r="P296" s="1885"/>
      <c r="Q296" s="1885"/>
      <c r="R296" s="1954"/>
      <c r="S296" s="1885"/>
      <c r="T296" s="1885"/>
      <c r="U296" s="1885"/>
      <c r="V296" s="1885"/>
      <c r="W296" s="1885"/>
      <c r="X296" s="1885"/>
      <c r="Y296" s="1885"/>
      <c r="Z296" s="1885"/>
      <c r="AA296" s="1885"/>
      <c r="AB296" s="1885"/>
      <c r="AC296" s="1885"/>
    </row>
    <row r="297" spans="1:29" s="1368" customFormat="1" ht="13.5" customHeight="1">
      <c r="A297" s="1335"/>
      <c r="B297" s="1337"/>
      <c r="C297" s="1337"/>
      <c r="D297" s="1343" t="s">
        <v>2791</v>
      </c>
      <c r="E297" s="1659"/>
      <c r="F297" s="1687"/>
      <c r="G297" s="1339"/>
      <c r="H297" s="1339"/>
      <c r="I297" s="1345"/>
      <c r="J297" s="1888"/>
      <c r="K297" s="1357"/>
      <c r="L297" s="1357"/>
      <c r="M297" s="1357"/>
      <c r="N297" s="1357"/>
      <c r="O297" s="1357"/>
      <c r="P297" s="1357"/>
      <c r="Q297" s="1357"/>
      <c r="R297" s="1955"/>
      <c r="S297" s="1357"/>
    </row>
    <row r="298" spans="1:29" s="1368" customFormat="1" ht="13.5" customHeight="1">
      <c r="A298" s="1335"/>
      <c r="B298" s="1337"/>
      <c r="C298" s="1337"/>
      <c r="D298" s="1899" t="s">
        <v>2792</v>
      </c>
      <c r="E298" s="1337"/>
      <c r="F298" s="1687">
        <v>1</v>
      </c>
      <c r="G298" s="1339"/>
      <c r="H298" s="1339"/>
      <c r="I298" s="1367"/>
      <c r="J298" s="1690"/>
      <c r="K298" s="1956"/>
      <c r="L298" s="1690"/>
      <c r="M298" s="1690"/>
      <c r="N298" s="1690"/>
      <c r="O298" s="1690"/>
      <c r="P298" s="1690"/>
      <c r="Q298" s="1690"/>
      <c r="R298" s="1690"/>
      <c r="S298" s="1690"/>
    </row>
    <row r="299" spans="1:29" s="1368" customFormat="1" ht="13.5" customHeight="1">
      <c r="A299" s="1335"/>
      <c r="B299" s="1337"/>
      <c r="C299" s="1337"/>
      <c r="D299" s="1899" t="s">
        <v>2686</v>
      </c>
      <c r="E299" s="1337"/>
      <c r="F299" s="1687">
        <v>3</v>
      </c>
      <c r="G299" s="1339"/>
      <c r="H299" s="1339"/>
      <c r="I299" s="1367"/>
      <c r="J299" s="1690"/>
      <c r="K299" s="1956"/>
      <c r="L299" s="1690"/>
      <c r="M299" s="1690"/>
      <c r="N299" s="1690"/>
      <c r="O299" s="1690"/>
      <c r="P299" s="1690"/>
      <c r="Q299" s="1690"/>
      <c r="R299" s="1690"/>
      <c r="S299" s="1690"/>
    </row>
    <row r="300" spans="1:29" s="1368" customFormat="1" ht="27" customHeight="1">
      <c r="A300" s="1335"/>
      <c r="B300" s="1337"/>
      <c r="C300" s="1337"/>
      <c r="D300" s="1343" t="s">
        <v>2793</v>
      </c>
      <c r="E300" s="1337"/>
      <c r="F300" s="2058"/>
      <c r="G300" s="1339"/>
      <c r="H300" s="1339"/>
      <c r="I300" s="1367"/>
      <c r="J300" s="633"/>
      <c r="K300" s="1647"/>
      <c r="L300" s="1287"/>
      <c r="M300" s="1287"/>
      <c r="N300" s="1287"/>
      <c r="O300" s="1287"/>
      <c r="P300" s="1287"/>
      <c r="Q300" s="1287"/>
      <c r="R300" s="1691"/>
      <c r="S300" s="1287"/>
    </row>
    <row r="301" spans="1:29" s="158" customFormat="1" ht="13.5" customHeight="1">
      <c r="A301" s="1335">
        <v>71</v>
      </c>
      <c r="B301" s="1337" t="s">
        <v>2048</v>
      </c>
      <c r="C301" s="1337" t="s">
        <v>2794</v>
      </c>
      <c r="D301" s="1337" t="s">
        <v>2795</v>
      </c>
      <c r="E301" s="1337" t="s">
        <v>210</v>
      </c>
      <c r="F301" s="1666">
        <f>SUM(F303:F303)</f>
        <v>1</v>
      </c>
      <c r="G301" s="1339"/>
      <c r="H301" s="1339">
        <f>F301*G301</f>
        <v>0</v>
      </c>
      <c r="I301" s="1345" t="s">
        <v>112</v>
      </c>
      <c r="J301" s="1907"/>
      <c r="K301" s="1602"/>
      <c r="L301" s="1885"/>
      <c r="M301" s="1885"/>
      <c r="N301" s="1885"/>
      <c r="O301" s="1885"/>
      <c r="P301" s="1885"/>
      <c r="Q301" s="1885"/>
      <c r="R301" s="1954"/>
      <c r="S301" s="1885"/>
      <c r="T301" s="1885"/>
      <c r="U301" s="1885"/>
      <c r="V301" s="1885"/>
      <c r="W301" s="1885"/>
      <c r="X301" s="1885"/>
      <c r="Y301" s="1885"/>
      <c r="Z301" s="1885"/>
      <c r="AA301" s="1885"/>
      <c r="AB301" s="1885"/>
      <c r="AC301" s="1885"/>
    </row>
    <row r="302" spans="1:29" s="1368" customFormat="1" ht="13.5" customHeight="1">
      <c r="A302" s="1335"/>
      <c r="B302" s="1337"/>
      <c r="C302" s="1337"/>
      <c r="D302" s="1343" t="s">
        <v>2796</v>
      </c>
      <c r="E302" s="1659"/>
      <c r="F302" s="1687"/>
      <c r="G302" s="1339"/>
      <c r="H302" s="1339"/>
      <c r="I302" s="1345"/>
      <c r="J302" s="1888"/>
      <c r="K302" s="1357"/>
      <c r="L302" s="1357"/>
      <c r="M302" s="1357"/>
      <c r="N302" s="1357"/>
      <c r="O302" s="1357"/>
      <c r="P302" s="1357"/>
      <c r="Q302" s="1357"/>
      <c r="R302" s="1955"/>
      <c r="S302" s="1357"/>
    </row>
    <row r="303" spans="1:29" s="1368" customFormat="1" ht="13.5" customHeight="1">
      <c r="A303" s="1335"/>
      <c r="B303" s="1337"/>
      <c r="C303" s="1337"/>
      <c r="D303" s="1899" t="s">
        <v>2686</v>
      </c>
      <c r="E303" s="1337"/>
      <c r="F303" s="1687">
        <v>1</v>
      </c>
      <c r="G303" s="1339"/>
      <c r="H303" s="1339"/>
      <c r="I303" s="1367"/>
      <c r="J303" s="1690"/>
      <c r="K303" s="1956"/>
      <c r="L303" s="1690"/>
      <c r="M303" s="1690"/>
      <c r="N303" s="1690"/>
      <c r="O303" s="1690"/>
      <c r="P303" s="1690"/>
      <c r="Q303" s="1690"/>
      <c r="R303" s="1690"/>
      <c r="S303" s="1690"/>
    </row>
    <row r="304" spans="1:29" s="1368" customFormat="1" ht="27" customHeight="1">
      <c r="A304" s="1335"/>
      <c r="B304" s="1337"/>
      <c r="C304" s="1337"/>
      <c r="D304" s="1343" t="s">
        <v>2793</v>
      </c>
      <c r="E304" s="1337"/>
      <c r="F304" s="2058"/>
      <c r="G304" s="1339"/>
      <c r="H304" s="1339"/>
      <c r="I304" s="1367"/>
      <c r="J304" s="633"/>
      <c r="K304" s="1647"/>
      <c r="L304" s="1287"/>
      <c r="M304" s="1287"/>
      <c r="N304" s="1287"/>
      <c r="O304" s="1287"/>
      <c r="P304" s="1287"/>
      <c r="Q304" s="1287"/>
      <c r="R304" s="1691"/>
      <c r="S304" s="1287"/>
    </row>
    <row r="305" spans="1:29" s="158" customFormat="1" ht="13.5" customHeight="1">
      <c r="A305" s="1335">
        <v>72</v>
      </c>
      <c r="B305" s="1337" t="s">
        <v>2048</v>
      </c>
      <c r="C305" s="1337" t="s">
        <v>2797</v>
      </c>
      <c r="D305" s="1337" t="s">
        <v>2798</v>
      </c>
      <c r="E305" s="1337" t="s">
        <v>210</v>
      </c>
      <c r="F305" s="1666">
        <f>SUM(F307:F308)</f>
        <v>3</v>
      </c>
      <c r="G305" s="1339"/>
      <c r="H305" s="1339">
        <f>F305*G305</f>
        <v>0</v>
      </c>
      <c r="I305" s="1345" t="s">
        <v>112</v>
      </c>
      <c r="J305" s="1907"/>
      <c r="K305" s="1602"/>
      <c r="L305" s="1885"/>
      <c r="M305" s="1885"/>
      <c r="N305" s="1885"/>
      <c r="O305" s="1885"/>
      <c r="P305" s="1885"/>
      <c r="Q305" s="1885"/>
      <c r="R305" s="1954"/>
      <c r="S305" s="1885"/>
      <c r="T305" s="1885"/>
      <c r="U305" s="1885"/>
      <c r="V305" s="1885"/>
      <c r="W305" s="1885"/>
      <c r="X305" s="1885"/>
      <c r="Y305" s="1885"/>
      <c r="Z305" s="1885"/>
      <c r="AA305" s="1885"/>
      <c r="AB305" s="1885"/>
      <c r="AC305" s="1885"/>
    </row>
    <row r="306" spans="1:29" s="1368" customFormat="1" ht="13.5" customHeight="1">
      <c r="A306" s="1335"/>
      <c r="B306" s="1337"/>
      <c r="C306" s="1337"/>
      <c r="D306" s="1343" t="s">
        <v>2799</v>
      </c>
      <c r="E306" s="1659"/>
      <c r="F306" s="1687"/>
      <c r="G306" s="1339"/>
      <c r="H306" s="1339"/>
      <c r="I306" s="1345"/>
      <c r="J306" s="1888"/>
      <c r="K306" s="1357"/>
      <c r="L306" s="1357"/>
      <c r="M306" s="1357"/>
      <c r="N306" s="1357"/>
      <c r="O306" s="1357"/>
      <c r="P306" s="1357"/>
      <c r="Q306" s="1357"/>
      <c r="R306" s="1955"/>
      <c r="S306" s="1357"/>
    </row>
    <row r="307" spans="1:29" s="1368" customFormat="1" ht="13.5" customHeight="1">
      <c r="A307" s="1335"/>
      <c r="B307" s="1337"/>
      <c r="C307" s="1337"/>
      <c r="D307" s="1343" t="s">
        <v>2800</v>
      </c>
      <c r="E307" s="1659"/>
      <c r="F307" s="1687">
        <v>1</v>
      </c>
      <c r="G307" s="1339"/>
      <c r="H307" s="1339"/>
      <c r="I307" s="1345"/>
      <c r="J307" s="1888"/>
      <c r="K307" s="1357"/>
      <c r="L307" s="1357"/>
      <c r="M307" s="1357"/>
      <c r="N307" s="1357"/>
      <c r="O307" s="1357"/>
      <c r="P307" s="1357"/>
      <c r="Q307" s="1357"/>
      <c r="R307" s="1955"/>
      <c r="S307" s="1357"/>
    </row>
    <row r="308" spans="1:29" s="1368" customFormat="1" ht="13.5" customHeight="1">
      <c r="A308" s="1335"/>
      <c r="B308" s="1337"/>
      <c r="C308" s="1337"/>
      <c r="D308" s="1899" t="s">
        <v>2686</v>
      </c>
      <c r="E308" s="1337"/>
      <c r="F308" s="1687">
        <v>2</v>
      </c>
      <c r="G308" s="1339"/>
      <c r="H308" s="1339"/>
      <c r="I308" s="1367"/>
      <c r="J308" s="1690"/>
      <c r="K308" s="1956"/>
      <c r="L308" s="1690"/>
      <c r="M308" s="1690"/>
      <c r="N308" s="1690"/>
      <c r="O308" s="1690"/>
      <c r="P308" s="1690"/>
      <c r="Q308" s="1690"/>
      <c r="R308" s="1690"/>
      <c r="S308" s="1690"/>
    </row>
    <row r="309" spans="1:29" s="1368" customFormat="1" ht="27" customHeight="1">
      <c r="A309" s="1335"/>
      <c r="B309" s="1337"/>
      <c r="C309" s="1337"/>
      <c r="D309" s="1343" t="s">
        <v>2793</v>
      </c>
      <c r="E309" s="1337"/>
      <c r="F309" s="2058"/>
      <c r="G309" s="1339"/>
      <c r="H309" s="1339"/>
      <c r="I309" s="1367"/>
      <c r="J309" s="633"/>
      <c r="K309" s="1647"/>
      <c r="L309" s="1287"/>
      <c r="M309" s="1287"/>
      <c r="N309" s="1287"/>
      <c r="O309" s="1287"/>
      <c r="P309" s="1287"/>
      <c r="Q309" s="1287"/>
      <c r="R309" s="1691"/>
      <c r="S309" s="1287"/>
    </row>
    <row r="310" spans="1:29" s="1368" customFormat="1" ht="13.5" customHeight="1">
      <c r="A310" s="1335">
        <v>73</v>
      </c>
      <c r="B310" s="1337">
        <v>721</v>
      </c>
      <c r="C310" s="1337" t="s">
        <v>2801</v>
      </c>
      <c r="D310" s="1337" t="s">
        <v>2802</v>
      </c>
      <c r="E310" s="1337" t="s">
        <v>210</v>
      </c>
      <c r="F310" s="1666">
        <f>SUM(F311)</f>
        <v>2</v>
      </c>
      <c r="G310" s="1339"/>
      <c r="H310" s="1339">
        <f>F310*G310</f>
        <v>0</v>
      </c>
      <c r="I310" s="1345" t="s">
        <v>112</v>
      </c>
      <c r="J310" s="1863"/>
      <c r="K310" s="1357"/>
      <c r="L310" s="1357"/>
      <c r="M310" s="1357"/>
      <c r="N310" s="1357"/>
      <c r="O310" s="1357"/>
      <c r="P310" s="1357"/>
      <c r="Q310" s="1357"/>
      <c r="R310" s="1357"/>
      <c r="S310" s="1357"/>
    </row>
    <row r="311" spans="1:29" s="1368" customFormat="1" ht="13.5" customHeight="1">
      <c r="A311" s="1673"/>
      <c r="B311" s="1659"/>
      <c r="C311" s="1659"/>
      <c r="D311" s="1343" t="s">
        <v>2803</v>
      </c>
      <c r="E311" s="1659"/>
      <c r="F311" s="1390">
        <f>2</f>
        <v>2</v>
      </c>
      <c r="G311" s="1649"/>
      <c r="H311" s="1649"/>
      <c r="I311" s="1670"/>
      <c r="J311" s="939"/>
      <c r="K311" s="1357"/>
      <c r="L311" s="1357"/>
      <c r="M311" s="1357"/>
      <c r="N311" s="1357"/>
      <c r="O311" s="1357"/>
      <c r="P311" s="1357"/>
      <c r="Q311" s="1357"/>
      <c r="R311" s="1357"/>
      <c r="S311" s="1357"/>
    </row>
    <row r="312" spans="1:29" s="1368" customFormat="1" ht="27" customHeight="1">
      <c r="A312" s="1335"/>
      <c r="B312" s="1337"/>
      <c r="C312" s="1337"/>
      <c r="D312" s="1343" t="s">
        <v>2804</v>
      </c>
      <c r="E312" s="1337"/>
      <c r="F312" s="1687"/>
      <c r="G312" s="1339"/>
      <c r="H312" s="1957"/>
      <c r="I312" s="1670"/>
      <c r="J312" s="1958"/>
      <c r="K312" s="1863"/>
      <c r="L312" s="1863"/>
      <c r="M312" s="1863"/>
      <c r="N312" s="1863"/>
      <c r="O312" s="1863"/>
      <c r="P312" s="1287"/>
      <c r="Q312" s="1921"/>
      <c r="R312" s="1287"/>
      <c r="S312" s="1287"/>
    </row>
    <row r="313" spans="1:29" s="158" customFormat="1" ht="13.5" customHeight="1">
      <c r="A313" s="1335">
        <v>74</v>
      </c>
      <c r="B313" s="1337">
        <v>721</v>
      </c>
      <c r="C313" s="1337" t="s">
        <v>2805</v>
      </c>
      <c r="D313" s="1337" t="s">
        <v>2806</v>
      </c>
      <c r="E313" s="1337" t="s">
        <v>210</v>
      </c>
      <c r="F313" s="1666">
        <f>SUM(F315:F315)</f>
        <v>5</v>
      </c>
      <c r="G313" s="1339"/>
      <c r="H313" s="1339">
        <f>F313*G313</f>
        <v>0</v>
      </c>
      <c r="I313" s="1345" t="s">
        <v>112</v>
      </c>
      <c r="J313" s="1907"/>
      <c r="K313" s="1602"/>
      <c r="L313" s="458"/>
      <c r="M313" s="1885"/>
      <c r="N313" s="1885"/>
      <c r="O313" s="1959"/>
      <c r="P313" s="1885"/>
      <c r="Q313" s="1885"/>
      <c r="R313" s="1954"/>
      <c r="S313" s="1885"/>
      <c r="T313" s="1885"/>
      <c r="U313" s="1885"/>
      <c r="V313" s="1885"/>
      <c r="W313" s="1885"/>
      <c r="X313" s="1885"/>
      <c r="Y313" s="1885"/>
      <c r="Z313" s="1885"/>
      <c r="AA313" s="1885"/>
      <c r="AB313" s="1885"/>
      <c r="AC313" s="1885"/>
    </row>
    <row r="314" spans="1:29" s="1368" customFormat="1" ht="13.5" customHeight="1">
      <c r="A314" s="1335"/>
      <c r="B314" s="1337"/>
      <c r="C314" s="1337"/>
      <c r="D314" s="1343" t="s">
        <v>2807</v>
      </c>
      <c r="E314" s="1659"/>
      <c r="F314" s="1687"/>
      <c r="G314" s="1339"/>
      <c r="H314" s="1339"/>
      <c r="I314" s="1345"/>
      <c r="J314" s="1888"/>
      <c r="K314" s="1357"/>
      <c r="L314" s="1357"/>
      <c r="M314" s="1357"/>
      <c r="N314" s="1357"/>
      <c r="O314" s="1357"/>
      <c r="P314" s="1357"/>
      <c r="Q314" s="1357"/>
      <c r="R314" s="1955"/>
      <c r="S314" s="1357"/>
    </row>
    <row r="315" spans="1:29" s="1368" customFormat="1" ht="13.5" customHeight="1">
      <c r="A315" s="1335"/>
      <c r="B315" s="1337"/>
      <c r="C315" s="1337"/>
      <c r="D315" s="1899" t="s">
        <v>2686</v>
      </c>
      <c r="E315" s="1337"/>
      <c r="F315" s="1687">
        <v>5</v>
      </c>
      <c r="G315" s="1339"/>
      <c r="H315" s="1339"/>
      <c r="I315" s="1345"/>
      <c r="J315" s="1909"/>
      <c r="K315" s="1956"/>
      <c r="L315" s="1690"/>
      <c r="M315" s="1690"/>
      <c r="N315" s="1690"/>
      <c r="O315" s="1690"/>
      <c r="P315" s="1690"/>
      <c r="Q315" s="1690"/>
      <c r="R315" s="1690"/>
      <c r="S315" s="1690"/>
    </row>
    <row r="316" spans="1:29" s="1368" customFormat="1" ht="27" customHeight="1">
      <c r="A316" s="1335"/>
      <c r="B316" s="1337"/>
      <c r="C316" s="1337"/>
      <c r="D316" s="1899" t="s">
        <v>2808</v>
      </c>
      <c r="E316" s="1337"/>
      <c r="F316" s="1687"/>
      <c r="G316" s="1339"/>
      <c r="H316" s="1339"/>
      <c r="I316" s="1367"/>
      <c r="J316" s="1721"/>
      <c r="K316" s="1956"/>
      <c r="L316" s="1690"/>
      <c r="M316" s="1690"/>
      <c r="N316" s="1690"/>
      <c r="O316" s="1690"/>
      <c r="P316" s="1690"/>
      <c r="Q316" s="1690"/>
      <c r="R316" s="1690"/>
      <c r="S316" s="1690"/>
    </row>
    <row r="317" spans="1:29" s="1368" customFormat="1" ht="13.5" customHeight="1">
      <c r="A317" s="746" t="s">
        <v>2809</v>
      </c>
      <c r="B317" s="1337" t="s">
        <v>2048</v>
      </c>
      <c r="C317" s="1337" t="s">
        <v>2810</v>
      </c>
      <c r="D317" s="1337" t="s">
        <v>2811</v>
      </c>
      <c r="E317" s="1337" t="s">
        <v>210</v>
      </c>
      <c r="F317" s="1666">
        <f>SUM(F319)</f>
        <v>1</v>
      </c>
      <c r="G317" s="1960"/>
      <c r="H317" s="1355">
        <f>F317*G317</f>
        <v>0</v>
      </c>
      <c r="I317" s="1345" t="s">
        <v>112</v>
      </c>
      <c r="J317" s="1961"/>
      <c r="S317" s="1954"/>
    </row>
    <row r="318" spans="1:29" s="1291" customFormat="1" ht="13.5" customHeight="1">
      <c r="A318" s="1962"/>
      <c r="B318" s="1352"/>
      <c r="C318" s="1352"/>
      <c r="D318" s="1343" t="s">
        <v>2812</v>
      </c>
      <c r="E318" s="1352"/>
      <c r="F318" s="1390"/>
      <c r="G318" s="1360"/>
      <c r="H318" s="1339"/>
      <c r="I318" s="1356"/>
    </row>
    <row r="319" spans="1:29" s="1291" customFormat="1" ht="13.5" customHeight="1">
      <c r="A319" s="1962"/>
      <c r="B319" s="1352"/>
      <c r="C319" s="1352"/>
      <c r="D319" s="1343" t="s">
        <v>2813</v>
      </c>
      <c r="E319" s="1352"/>
      <c r="F319" s="1390">
        <v>1</v>
      </c>
      <c r="G319" s="1360"/>
      <c r="H319" s="1339"/>
      <c r="I319" s="1356"/>
    </row>
    <row r="320" spans="1:29" s="1291" customFormat="1" ht="13.5" customHeight="1">
      <c r="A320" s="1962"/>
      <c r="B320" s="1352"/>
      <c r="C320" s="1352"/>
      <c r="D320" s="1343" t="s">
        <v>2814</v>
      </c>
      <c r="E320" s="1352"/>
      <c r="F320" s="1390"/>
      <c r="G320" s="1360"/>
      <c r="H320" s="1339"/>
      <c r="I320" s="1356"/>
    </row>
    <row r="321" spans="1:30" s="1368" customFormat="1" ht="13.5" customHeight="1">
      <c r="A321" s="746" t="s">
        <v>2815</v>
      </c>
      <c r="B321" s="1337" t="s">
        <v>2048</v>
      </c>
      <c r="C321" s="1337" t="s">
        <v>2816</v>
      </c>
      <c r="D321" s="1337" t="s">
        <v>2817</v>
      </c>
      <c r="E321" s="1337" t="s">
        <v>210</v>
      </c>
      <c r="F321" s="1666">
        <f>SUM(F323)</f>
        <v>1</v>
      </c>
      <c r="G321" s="1960"/>
      <c r="H321" s="1355">
        <f>F321*G321</f>
        <v>0</v>
      </c>
      <c r="I321" s="1345" t="s">
        <v>112</v>
      </c>
      <c r="J321" s="1961"/>
      <c r="S321" s="1954"/>
    </row>
    <row r="322" spans="1:30" s="1291" customFormat="1" ht="13.5" customHeight="1">
      <c r="A322" s="1962"/>
      <c r="B322" s="1352"/>
      <c r="C322" s="1352"/>
      <c r="D322" s="1343" t="s">
        <v>2818</v>
      </c>
      <c r="E322" s="1352"/>
      <c r="F322" s="1390"/>
      <c r="G322" s="1360"/>
      <c r="H322" s="1339"/>
      <c r="I322" s="1356"/>
    </row>
    <row r="323" spans="1:30" s="1291" customFormat="1" ht="13.5" customHeight="1">
      <c r="A323" s="1962"/>
      <c r="B323" s="1352"/>
      <c r="C323" s="1352"/>
      <c r="D323" s="1343" t="s">
        <v>2819</v>
      </c>
      <c r="E323" s="1352"/>
      <c r="F323" s="1390">
        <v>1</v>
      </c>
      <c r="G323" s="1360"/>
      <c r="H323" s="1339"/>
      <c r="I323" s="1356"/>
    </row>
    <row r="324" spans="1:30" s="1291" customFormat="1" ht="13.5" customHeight="1">
      <c r="A324" s="1962"/>
      <c r="B324" s="1352"/>
      <c r="C324" s="1352"/>
      <c r="D324" s="1343" t="s">
        <v>2814</v>
      </c>
      <c r="E324" s="1352"/>
      <c r="F324" s="1390"/>
      <c r="G324" s="1360"/>
      <c r="H324" s="1339"/>
      <c r="I324" s="1356"/>
    </row>
    <row r="325" spans="1:30" s="1368" customFormat="1" ht="13.5" customHeight="1">
      <c r="A325" s="746" t="s">
        <v>2820</v>
      </c>
      <c r="B325" s="1337" t="s">
        <v>2048</v>
      </c>
      <c r="C325" s="1337" t="s">
        <v>2821</v>
      </c>
      <c r="D325" s="1337" t="s">
        <v>2822</v>
      </c>
      <c r="E325" s="1337" t="s">
        <v>210</v>
      </c>
      <c r="F325" s="1666">
        <f>SUM(F326)</f>
        <v>1</v>
      </c>
      <c r="G325" s="1960"/>
      <c r="H325" s="1355">
        <f>F325*G325</f>
        <v>0</v>
      </c>
      <c r="I325" s="1345" t="s">
        <v>112</v>
      </c>
      <c r="J325" s="1961"/>
      <c r="S325" s="1954"/>
    </row>
    <row r="326" spans="1:30" s="1291" customFormat="1" ht="13.5" customHeight="1">
      <c r="A326" s="1962"/>
      <c r="B326" s="1352"/>
      <c r="C326" s="1352"/>
      <c r="D326" s="1343" t="s">
        <v>2823</v>
      </c>
      <c r="E326" s="1352"/>
      <c r="F326" s="1390">
        <v>1</v>
      </c>
      <c r="G326" s="1360"/>
      <c r="H326" s="1339"/>
      <c r="I326" s="1356"/>
    </row>
    <row r="327" spans="1:30" s="1291" customFormat="1" ht="13.5" customHeight="1">
      <c r="A327" s="1962"/>
      <c r="B327" s="1352"/>
      <c r="C327" s="1352"/>
      <c r="D327" s="1343" t="s">
        <v>2814</v>
      </c>
      <c r="E327" s="1352"/>
      <c r="F327" s="1390"/>
      <c r="G327" s="1360"/>
      <c r="H327" s="1339"/>
      <c r="I327" s="1356"/>
    </row>
    <row r="328" spans="1:30" s="1964" customFormat="1" ht="13.5" customHeight="1">
      <c r="A328" s="1810">
        <v>78</v>
      </c>
      <c r="B328" s="1811" t="s">
        <v>2048</v>
      </c>
      <c r="C328" s="1811" t="s">
        <v>2824</v>
      </c>
      <c r="D328" s="1811" t="s">
        <v>2825</v>
      </c>
      <c r="E328" s="1811" t="s">
        <v>210</v>
      </c>
      <c r="F328" s="1913">
        <f>ROUND(SUM(F330:F330),3)</f>
        <v>8</v>
      </c>
      <c r="G328" s="1963"/>
      <c r="H328" s="741">
        <f>ROUND(F328*G328,2)</f>
        <v>0</v>
      </c>
      <c r="I328" s="1345" t="s">
        <v>112</v>
      </c>
      <c r="J328" s="1907"/>
      <c r="K328" s="1602"/>
      <c r="L328" s="458"/>
      <c r="M328" s="1885"/>
      <c r="N328" s="1885"/>
      <c r="O328" s="1885"/>
      <c r="P328" s="1954"/>
      <c r="Q328" s="158"/>
      <c r="S328" s="1885"/>
      <c r="T328" s="1885"/>
      <c r="U328" s="1885"/>
      <c r="V328" s="1885"/>
      <c r="W328" s="1885"/>
      <c r="X328" s="1885"/>
      <c r="Y328" s="1885"/>
      <c r="Z328" s="1885"/>
      <c r="AA328" s="1965"/>
      <c r="AB328" s="1965"/>
      <c r="AC328" s="1965"/>
      <c r="AD328" s="1965"/>
    </row>
    <row r="329" spans="1:30" s="1964" customFormat="1" ht="13.5" customHeight="1">
      <c r="A329" s="1810"/>
      <c r="B329" s="1811"/>
      <c r="C329" s="1811"/>
      <c r="D329" s="1966" t="s">
        <v>2826</v>
      </c>
      <c r="E329" s="1811"/>
      <c r="F329" s="1913"/>
      <c r="G329" s="1963"/>
      <c r="H329" s="1963"/>
      <c r="I329" s="1807"/>
      <c r="J329" s="1888"/>
      <c r="K329" s="1357"/>
      <c r="L329" s="1357"/>
      <c r="M329" s="1357"/>
      <c r="N329" s="1357"/>
      <c r="O329" s="1357"/>
      <c r="P329" s="1357"/>
      <c r="Q329" s="1954"/>
      <c r="R329" s="1954"/>
      <c r="S329" s="1885"/>
      <c r="T329" s="1885"/>
      <c r="U329" s="1885"/>
      <c r="V329" s="1885"/>
      <c r="W329" s="1885"/>
      <c r="X329" s="1885"/>
      <c r="Y329" s="1885"/>
      <c r="Z329" s="1885"/>
      <c r="AA329" s="1965"/>
      <c r="AB329" s="1965"/>
      <c r="AC329" s="1965"/>
      <c r="AD329" s="1965"/>
    </row>
    <row r="330" spans="1:30" s="1969" customFormat="1" ht="13.5" customHeight="1">
      <c r="A330" s="1810"/>
      <c r="B330" s="1811"/>
      <c r="C330" s="1811"/>
      <c r="D330" s="1966" t="s">
        <v>2827</v>
      </c>
      <c r="E330" s="1967"/>
      <c r="F330" s="1968">
        <v>8</v>
      </c>
      <c r="G330" s="1963"/>
      <c r="H330" s="1963"/>
      <c r="I330" s="1807"/>
      <c r="J330" s="1888"/>
      <c r="K330" s="1357"/>
      <c r="L330" s="1357"/>
      <c r="M330" s="1357"/>
      <c r="N330" s="1357"/>
      <c r="O330" s="1357"/>
      <c r="P330" s="1357"/>
      <c r="Q330" s="1357"/>
      <c r="R330" s="1955"/>
      <c r="S330" s="1357"/>
      <c r="T330" s="1368"/>
      <c r="U330" s="1368"/>
      <c r="V330" s="1368"/>
      <c r="W330" s="1368"/>
      <c r="X330" s="1368"/>
      <c r="Y330" s="1368"/>
      <c r="Z330" s="1368"/>
    </row>
    <row r="331" spans="1:30" s="1969" customFormat="1" ht="13.5" customHeight="1">
      <c r="A331" s="1810"/>
      <c r="B331" s="1811"/>
      <c r="C331" s="1811"/>
      <c r="D331" s="1970" t="s">
        <v>2828</v>
      </c>
      <c r="E331" s="1967"/>
      <c r="F331" s="1968"/>
      <c r="G331" s="1963"/>
      <c r="H331" s="1963"/>
      <c r="I331" s="1807"/>
      <c r="J331" s="1888"/>
      <c r="K331" s="1357"/>
      <c r="L331" s="1357"/>
      <c r="M331" s="1357"/>
      <c r="N331" s="1357"/>
      <c r="O331" s="1357"/>
      <c r="P331" s="1357"/>
      <c r="Q331" s="1357"/>
      <c r="R331" s="1955"/>
      <c r="S331" s="1357"/>
      <c r="T331" s="1368"/>
      <c r="U331" s="1368"/>
      <c r="V331" s="1368"/>
      <c r="W331" s="1368"/>
      <c r="X331" s="1368"/>
      <c r="Y331" s="1368"/>
      <c r="Z331" s="1368"/>
    </row>
    <row r="332" spans="1:30" s="158" customFormat="1" ht="13.5" customHeight="1">
      <c r="A332" s="1335">
        <v>79</v>
      </c>
      <c r="B332" s="1337" t="s">
        <v>2048</v>
      </c>
      <c r="C332" s="1337" t="s">
        <v>2829</v>
      </c>
      <c r="D332" s="1337" t="s">
        <v>2341</v>
      </c>
      <c r="E332" s="1337" t="s">
        <v>210</v>
      </c>
      <c r="F332" s="1666">
        <f>SUM(F334:F334)</f>
        <v>1</v>
      </c>
      <c r="G332" s="1339"/>
      <c r="H332" s="1339">
        <f>F332*G332</f>
        <v>0</v>
      </c>
      <c r="I332" s="1345" t="s">
        <v>112</v>
      </c>
      <c r="J332" s="1907"/>
      <c r="K332" s="1602"/>
      <c r="L332" s="1885"/>
      <c r="M332" s="1885"/>
      <c r="N332" s="1885"/>
      <c r="O332" s="1885"/>
      <c r="P332" s="1885"/>
      <c r="Q332" s="1885"/>
      <c r="R332" s="1954"/>
      <c r="S332" s="1885"/>
      <c r="T332" s="1885"/>
      <c r="U332" s="1885"/>
      <c r="V332" s="1885"/>
      <c r="W332" s="1885"/>
      <c r="X332" s="1885"/>
      <c r="Y332" s="1885"/>
      <c r="Z332" s="1885"/>
      <c r="AA332" s="1885"/>
      <c r="AB332" s="1885"/>
      <c r="AC332" s="1885"/>
    </row>
    <row r="333" spans="1:30" s="1368" customFormat="1" ht="13.5" customHeight="1">
      <c r="A333" s="1335"/>
      <c r="B333" s="1337"/>
      <c r="C333" s="1337"/>
      <c r="D333" s="1343" t="s">
        <v>2830</v>
      </c>
      <c r="E333" s="1337"/>
      <c r="F333" s="1687"/>
      <c r="G333" s="1339"/>
      <c r="H333" s="1339"/>
      <c r="I333" s="1367"/>
      <c r="J333" s="1690"/>
      <c r="K333" s="1956"/>
      <c r="L333" s="1690"/>
      <c r="M333" s="1690"/>
      <c r="N333" s="1690"/>
      <c r="O333" s="1690"/>
      <c r="P333" s="1690"/>
      <c r="Q333" s="1690"/>
      <c r="R333" s="1690"/>
      <c r="S333" s="1690"/>
    </row>
    <row r="334" spans="1:30" s="1368" customFormat="1" ht="13.5" customHeight="1">
      <c r="A334" s="1335"/>
      <c r="B334" s="1337"/>
      <c r="C334" s="1337"/>
      <c r="D334" s="1899" t="s">
        <v>2792</v>
      </c>
      <c r="E334" s="1337"/>
      <c r="F334" s="1687">
        <v>1</v>
      </c>
      <c r="G334" s="1339"/>
      <c r="H334" s="1339"/>
      <c r="I334" s="1367"/>
      <c r="J334" s="1690"/>
      <c r="K334" s="1956"/>
      <c r="L334" s="1690"/>
      <c r="M334" s="1690"/>
      <c r="N334" s="1690"/>
      <c r="O334" s="1690"/>
      <c r="P334" s="1690"/>
      <c r="Q334" s="1690"/>
      <c r="R334" s="1690"/>
      <c r="S334" s="1690"/>
    </row>
    <row r="335" spans="1:30" s="1368" customFormat="1" ht="27" customHeight="1">
      <c r="A335" s="1335"/>
      <c r="B335" s="1337"/>
      <c r="C335" s="1337"/>
      <c r="D335" s="1343" t="s">
        <v>2831</v>
      </c>
      <c r="E335" s="1337"/>
      <c r="F335" s="1687"/>
      <c r="G335" s="1339"/>
      <c r="H335" s="1339"/>
      <c r="I335" s="1367"/>
      <c r="J335" s="1971"/>
      <c r="K335" s="1956"/>
      <c r="L335" s="1690"/>
      <c r="M335" s="1690"/>
      <c r="N335" s="1690"/>
      <c r="O335" s="1690"/>
      <c r="P335" s="1690"/>
      <c r="Q335" s="1690"/>
      <c r="R335" s="1690"/>
      <c r="S335" s="1690"/>
    </row>
    <row r="336" spans="1:30" s="1964" customFormat="1" ht="13.5" customHeight="1">
      <c r="A336" s="1810">
        <v>80</v>
      </c>
      <c r="B336" s="1811" t="s">
        <v>2048</v>
      </c>
      <c r="C336" s="1811" t="s">
        <v>2832</v>
      </c>
      <c r="D336" s="1811" t="s">
        <v>2833</v>
      </c>
      <c r="E336" s="1811" t="s">
        <v>210</v>
      </c>
      <c r="F336" s="1913">
        <f>ROUND(SUM(F338:F338),3)</f>
        <v>1</v>
      </c>
      <c r="G336" s="1963"/>
      <c r="H336" s="741">
        <f>ROUND(F336*G336,2)</f>
        <v>0</v>
      </c>
      <c r="I336" s="1345" t="s">
        <v>112</v>
      </c>
      <c r="J336" s="1907"/>
      <c r="K336" s="1602"/>
      <c r="L336" s="458"/>
      <c r="M336" s="1885"/>
      <c r="N336" s="1885"/>
      <c r="O336" s="1885"/>
      <c r="P336" s="1885"/>
      <c r="Q336" s="1954"/>
      <c r="R336" s="1972"/>
      <c r="S336" s="1972"/>
      <c r="T336" s="1965"/>
      <c r="U336" s="1965"/>
      <c r="V336" s="1965"/>
      <c r="W336" s="1965"/>
      <c r="X336" s="1965"/>
      <c r="Y336" s="1965"/>
      <c r="Z336" s="1965"/>
      <c r="AA336" s="1965"/>
      <c r="AB336" s="1965"/>
      <c r="AC336" s="1965"/>
      <c r="AD336" s="1965"/>
    </row>
    <row r="337" spans="1:30" s="1964" customFormat="1" ht="13.5" customHeight="1">
      <c r="A337" s="1810"/>
      <c r="B337" s="1811"/>
      <c r="C337" s="1811"/>
      <c r="D337" s="1966" t="s">
        <v>2368</v>
      </c>
      <c r="E337" s="1811"/>
      <c r="F337" s="1913"/>
      <c r="G337" s="1963"/>
      <c r="H337" s="1963"/>
      <c r="I337" s="1807"/>
      <c r="J337" s="939"/>
      <c r="K337" s="1602"/>
      <c r="L337" s="458"/>
      <c r="M337" s="1885"/>
      <c r="N337" s="1885"/>
      <c r="O337" s="1885"/>
      <c r="P337" s="1885"/>
      <c r="Q337" s="1954"/>
      <c r="R337" s="1972"/>
      <c r="S337" s="1972"/>
      <c r="T337" s="1965"/>
      <c r="U337" s="1965"/>
      <c r="V337" s="1965"/>
      <c r="W337" s="1965"/>
      <c r="X337" s="1965"/>
      <c r="Y337" s="1965"/>
      <c r="Z337" s="1965"/>
      <c r="AA337" s="1965"/>
      <c r="AB337" s="1965"/>
      <c r="AC337" s="1965"/>
      <c r="AD337" s="1965"/>
    </row>
    <row r="338" spans="1:30" s="1969" customFormat="1" ht="13.5" customHeight="1">
      <c r="A338" s="1810"/>
      <c r="B338" s="1811"/>
      <c r="C338" s="1811"/>
      <c r="D338" s="1966" t="s">
        <v>2834</v>
      </c>
      <c r="E338" s="1967"/>
      <c r="F338" s="1968">
        <v>1</v>
      </c>
      <c r="G338" s="1963"/>
      <c r="H338" s="1963"/>
      <c r="I338" s="1807"/>
      <c r="J338" s="1888"/>
      <c r="K338" s="1357"/>
      <c r="L338" s="1357"/>
      <c r="M338" s="1357"/>
      <c r="N338" s="1357"/>
      <c r="O338" s="1357"/>
      <c r="P338" s="1357"/>
      <c r="Q338" s="1357"/>
      <c r="R338" s="1973"/>
      <c r="S338" s="1974"/>
      <c r="T338" s="1973"/>
    </row>
    <row r="339" spans="1:30" s="1969" customFormat="1" ht="13.5" customHeight="1">
      <c r="A339" s="1810"/>
      <c r="B339" s="1811"/>
      <c r="C339" s="1811"/>
      <c r="D339" s="1970" t="s">
        <v>2365</v>
      </c>
      <c r="E339" s="1967"/>
      <c r="F339" s="1968"/>
      <c r="G339" s="1963"/>
      <c r="H339" s="1963"/>
      <c r="I339" s="1807"/>
      <c r="J339" s="1888"/>
      <c r="K339" s="1357"/>
      <c r="L339" s="1357"/>
      <c r="M339" s="1357"/>
      <c r="N339" s="1357"/>
      <c r="O339" s="1357"/>
      <c r="P339" s="1357"/>
      <c r="Q339" s="1357"/>
      <c r="R339" s="1973"/>
      <c r="S339" s="1974"/>
      <c r="T339" s="1973"/>
    </row>
    <row r="340" spans="1:30" s="1964" customFormat="1" ht="13.5" customHeight="1">
      <c r="A340" s="1810">
        <v>81</v>
      </c>
      <c r="B340" s="1811" t="s">
        <v>2048</v>
      </c>
      <c r="C340" s="1811" t="s">
        <v>2835</v>
      </c>
      <c r="D340" s="1811" t="s">
        <v>2836</v>
      </c>
      <c r="E340" s="1811" t="s">
        <v>210</v>
      </c>
      <c r="F340" s="1913">
        <f>ROUND(SUM(F342:F342),3)</f>
        <v>1</v>
      </c>
      <c r="G340" s="1963"/>
      <c r="H340" s="741">
        <f>ROUND(F340*G340,2)</f>
        <v>0</v>
      </c>
      <c r="I340" s="1345" t="s">
        <v>112</v>
      </c>
      <c r="J340" s="1907"/>
      <c r="K340" s="1602"/>
      <c r="L340" s="458"/>
      <c r="M340" s="1885"/>
      <c r="N340" s="1885"/>
      <c r="O340" s="1885"/>
      <c r="P340" s="1885"/>
      <c r="Q340" s="1954"/>
      <c r="R340" s="1972"/>
      <c r="S340" s="1972"/>
      <c r="T340" s="1965"/>
      <c r="U340" s="1965"/>
      <c r="V340" s="1965"/>
      <c r="W340" s="1965"/>
      <c r="X340" s="1965"/>
      <c r="Y340" s="1965"/>
      <c r="Z340" s="1965"/>
      <c r="AA340" s="1965"/>
      <c r="AB340" s="1965"/>
      <c r="AC340" s="1965"/>
      <c r="AD340" s="1965"/>
    </row>
    <row r="341" spans="1:30" s="1964" customFormat="1" ht="13.5" customHeight="1">
      <c r="A341" s="1810"/>
      <c r="B341" s="1811"/>
      <c r="C341" s="1811"/>
      <c r="D341" s="1966" t="s">
        <v>2837</v>
      </c>
      <c r="E341" s="1811"/>
      <c r="F341" s="1913"/>
      <c r="G341" s="1963"/>
      <c r="H341" s="1963"/>
      <c r="I341" s="1807"/>
      <c r="J341" s="939"/>
      <c r="K341" s="1602"/>
      <c r="L341" s="458"/>
      <c r="M341" s="1885"/>
      <c r="N341" s="1885"/>
      <c r="O341" s="1885"/>
      <c r="P341" s="1885"/>
      <c r="Q341" s="1954"/>
      <c r="R341" s="1972"/>
      <c r="S341" s="1972"/>
      <c r="T341" s="1965"/>
      <c r="U341" s="1965"/>
      <c r="V341" s="1965"/>
      <c r="W341" s="1965"/>
      <c r="X341" s="1965"/>
      <c r="Y341" s="1965"/>
      <c r="Z341" s="1965"/>
      <c r="AA341" s="1965"/>
      <c r="AB341" s="1965"/>
      <c r="AC341" s="1965"/>
      <c r="AD341" s="1965"/>
    </row>
    <row r="342" spans="1:30" s="1969" customFormat="1" ht="13.5" customHeight="1">
      <c r="A342" s="1810"/>
      <c r="B342" s="1811"/>
      <c r="C342" s="1811"/>
      <c r="D342" s="1966" t="s">
        <v>2834</v>
      </c>
      <c r="E342" s="1967"/>
      <c r="F342" s="1968">
        <v>1</v>
      </c>
      <c r="G342" s="1963"/>
      <c r="H342" s="1963"/>
      <c r="I342" s="1807"/>
      <c r="J342" s="1888"/>
      <c r="K342" s="1357"/>
      <c r="L342" s="1357"/>
      <c r="M342" s="1357"/>
      <c r="N342" s="1357"/>
      <c r="O342" s="1357"/>
      <c r="P342" s="1357"/>
      <c r="Q342" s="1357"/>
      <c r="R342" s="1973"/>
      <c r="S342" s="1974"/>
      <c r="T342" s="1973"/>
    </row>
    <row r="343" spans="1:30" s="1969" customFormat="1" ht="13.5" customHeight="1">
      <c r="A343" s="1810"/>
      <c r="B343" s="1811"/>
      <c r="C343" s="1811"/>
      <c r="D343" s="1970" t="s">
        <v>2365</v>
      </c>
      <c r="E343" s="1967"/>
      <c r="F343" s="1968"/>
      <c r="G343" s="1963"/>
      <c r="H343" s="1963"/>
      <c r="I343" s="1807"/>
      <c r="J343" s="1888"/>
      <c r="K343" s="1357"/>
      <c r="L343" s="1357"/>
      <c r="M343" s="1357"/>
      <c r="N343" s="1357"/>
      <c r="O343" s="1357"/>
      <c r="P343" s="1357"/>
      <c r="Q343" s="1357"/>
      <c r="R343" s="1973"/>
      <c r="S343" s="1974"/>
      <c r="T343" s="1973"/>
    </row>
    <row r="344" spans="1:30" s="158" customFormat="1" ht="13.5" customHeight="1">
      <c r="A344" s="1335">
        <v>82</v>
      </c>
      <c r="B344" s="1337">
        <v>721</v>
      </c>
      <c r="C344" s="1337" t="s">
        <v>2838</v>
      </c>
      <c r="D344" s="1337" t="s">
        <v>2839</v>
      </c>
      <c r="E344" s="1337" t="s">
        <v>1328</v>
      </c>
      <c r="F344" s="1666">
        <f>SUM(F346:F346)</f>
        <v>1</v>
      </c>
      <c r="G344" s="1339"/>
      <c r="H344" s="1339">
        <f>F344*G344</f>
        <v>0</v>
      </c>
      <c r="I344" s="1345" t="s">
        <v>112</v>
      </c>
      <c r="J344" s="1909"/>
      <c r="K344" s="1602"/>
      <c r="L344" s="458"/>
      <c r="M344" s="1885"/>
      <c r="N344" s="1885"/>
      <c r="O344" s="1885"/>
      <c r="P344" s="1885"/>
      <c r="Q344" s="1885"/>
      <c r="R344" s="1954"/>
      <c r="S344" s="1885"/>
      <c r="T344" s="1885"/>
      <c r="U344" s="1885"/>
      <c r="V344" s="1885"/>
      <c r="W344" s="1885"/>
      <c r="X344" s="1885"/>
      <c r="Y344" s="1885"/>
      <c r="Z344" s="1885"/>
      <c r="AA344" s="1885"/>
      <c r="AB344" s="1885"/>
      <c r="AC344" s="1885"/>
    </row>
    <row r="345" spans="1:30" s="1368" customFormat="1" ht="13.5" customHeight="1">
      <c r="A345" s="1335"/>
      <c r="B345" s="1337"/>
      <c r="C345" s="1337"/>
      <c r="D345" s="1343" t="s">
        <v>2840</v>
      </c>
      <c r="E345" s="1659"/>
      <c r="F345" s="1687"/>
      <c r="G345" s="1339"/>
      <c r="H345" s="1339"/>
      <c r="I345" s="1345"/>
      <c r="J345" s="1888"/>
      <c r="K345" s="1357"/>
      <c r="L345" s="1357"/>
      <c r="M345" s="1357"/>
      <c r="N345" s="1357"/>
      <c r="O345" s="1357"/>
      <c r="P345" s="1357"/>
      <c r="Q345" s="1357"/>
      <c r="R345" s="1955"/>
      <c r="S345" s="1651"/>
    </row>
    <row r="346" spans="1:30" s="1368" customFormat="1" ht="13.5" customHeight="1">
      <c r="A346" s="1335"/>
      <c r="B346" s="1337"/>
      <c r="C346" s="1337"/>
      <c r="D346" s="1899" t="s">
        <v>2686</v>
      </c>
      <c r="E346" s="1337"/>
      <c r="F346" s="1687">
        <v>1</v>
      </c>
      <c r="G346" s="1339"/>
      <c r="H346" s="1339"/>
      <c r="I346" s="1345"/>
      <c r="J346" s="1690"/>
      <c r="K346" s="1956"/>
      <c r="L346" s="1690"/>
      <c r="M346" s="1690"/>
      <c r="N346" s="1690"/>
      <c r="O346" s="1690"/>
      <c r="P346" s="1690"/>
      <c r="Q346" s="1690"/>
      <c r="R346" s="1690"/>
      <c r="S346" s="1690"/>
    </row>
    <row r="347" spans="1:30" s="1368" customFormat="1" ht="13.5" customHeight="1">
      <c r="A347" s="1335"/>
      <c r="B347" s="1337"/>
      <c r="C347" s="1337"/>
      <c r="D347" s="1343" t="s">
        <v>2841</v>
      </c>
      <c r="E347" s="1659"/>
      <c r="F347" s="1687"/>
      <c r="G347" s="1339"/>
      <c r="H347" s="1339"/>
      <c r="I347" s="1345"/>
      <c r="J347" s="1888"/>
      <c r="K347" s="1357"/>
      <c r="L347" s="1357"/>
      <c r="M347" s="1357"/>
      <c r="N347" s="1357"/>
      <c r="O347" s="1357"/>
      <c r="P347" s="1357"/>
      <c r="Q347" s="1357"/>
      <c r="R347" s="1955"/>
      <c r="S347" s="1651"/>
    </row>
    <row r="348" spans="1:30" s="1368" customFormat="1" ht="13.5" customHeight="1">
      <c r="A348" s="1335"/>
      <c r="B348" s="1337"/>
      <c r="C348" s="1337"/>
      <c r="D348" s="1343" t="s">
        <v>2842</v>
      </c>
      <c r="E348" s="1659"/>
      <c r="F348" s="1687"/>
      <c r="G348" s="1339"/>
      <c r="H348" s="1339"/>
      <c r="I348" s="1345"/>
      <c r="J348" s="1888"/>
      <c r="K348" s="1357"/>
      <c r="L348" s="1357"/>
      <c r="M348" s="1357"/>
      <c r="N348" s="1357"/>
      <c r="O348" s="1357"/>
      <c r="P348" s="1357"/>
      <c r="Q348" s="1357"/>
      <c r="R348" s="1955"/>
      <c r="S348" s="1651"/>
    </row>
    <row r="349" spans="1:30" s="1368" customFormat="1" ht="13.5" customHeight="1">
      <c r="A349" s="1335"/>
      <c r="B349" s="1337"/>
      <c r="C349" s="1337"/>
      <c r="D349" s="1343" t="s">
        <v>2843</v>
      </c>
      <c r="E349" s="1659"/>
      <c r="F349" s="1687"/>
      <c r="G349" s="1339"/>
      <c r="H349" s="1339"/>
      <c r="I349" s="1345"/>
      <c r="J349" s="1888"/>
      <c r="K349" s="1357"/>
      <c r="L349" s="1357"/>
      <c r="M349" s="1357"/>
      <c r="N349" s="1357"/>
      <c r="O349" s="1357"/>
      <c r="P349" s="1357"/>
      <c r="Q349" s="1357"/>
      <c r="R349" s="1955"/>
      <c r="S349" s="1651"/>
    </row>
    <row r="350" spans="1:30" s="1368" customFormat="1" ht="13.5" customHeight="1">
      <c r="A350" s="1335"/>
      <c r="B350" s="1337"/>
      <c r="C350" s="1337"/>
      <c r="D350" s="1343" t="s">
        <v>2844</v>
      </c>
      <c r="E350" s="1659"/>
      <c r="F350" s="1687"/>
      <c r="G350" s="1339"/>
      <c r="H350" s="1339"/>
      <c r="I350" s="1345"/>
      <c r="J350" s="1888"/>
      <c r="K350" s="1357"/>
      <c r="L350" s="1357"/>
      <c r="M350" s="1357"/>
      <c r="N350" s="1357"/>
      <c r="O350" s="1357"/>
      <c r="P350" s="1357"/>
      <c r="Q350" s="1357"/>
      <c r="R350" s="1955"/>
      <c r="S350" s="1651"/>
    </row>
    <row r="351" spans="1:30" s="1368" customFormat="1" ht="27" customHeight="1">
      <c r="A351" s="1335"/>
      <c r="B351" s="1337"/>
      <c r="C351" s="1337"/>
      <c r="D351" s="1343" t="s">
        <v>2845</v>
      </c>
      <c r="E351" s="1659"/>
      <c r="F351" s="1687"/>
      <c r="G351" s="1339"/>
      <c r="H351" s="1339"/>
      <c r="I351" s="1345"/>
      <c r="J351" s="1888"/>
      <c r="K351" s="1357"/>
      <c r="L351" s="1357"/>
      <c r="M351" s="1357"/>
      <c r="N351" s="1357"/>
      <c r="O351" s="1357"/>
      <c r="P351" s="1357"/>
      <c r="Q351" s="1357"/>
      <c r="R351" s="1955"/>
      <c r="S351" s="1651"/>
    </row>
    <row r="352" spans="1:30" s="1368" customFormat="1" ht="13.5" customHeight="1">
      <c r="A352" s="1335"/>
      <c r="B352" s="1337"/>
      <c r="C352" s="1337"/>
      <c r="D352" s="1343" t="s">
        <v>2846</v>
      </c>
      <c r="E352" s="1659"/>
      <c r="F352" s="1687"/>
      <c r="G352" s="1339"/>
      <c r="H352" s="1339"/>
      <c r="I352" s="1345"/>
      <c r="J352" s="1888"/>
      <c r="K352" s="1357"/>
      <c r="L352" s="1357"/>
      <c r="M352" s="1357"/>
      <c r="N352" s="1357"/>
      <c r="O352" s="1357"/>
      <c r="P352" s="1357"/>
      <c r="Q352" s="1357"/>
      <c r="R352" s="1955"/>
      <c r="S352" s="1651"/>
    </row>
    <row r="353" spans="1:97" s="1368" customFormat="1" ht="13.5" customHeight="1">
      <c r="A353" s="1335"/>
      <c r="B353" s="1337"/>
      <c r="C353" s="1337"/>
      <c r="D353" s="1343" t="s">
        <v>2847</v>
      </c>
      <c r="E353" s="1659"/>
      <c r="F353" s="1687"/>
      <c r="G353" s="1339"/>
      <c r="H353" s="1339"/>
      <c r="I353" s="1345"/>
      <c r="J353" s="1888"/>
      <c r="K353" s="1357"/>
      <c r="L353" s="1357"/>
      <c r="M353" s="1357"/>
      <c r="N353" s="1357"/>
      <c r="O353" s="1357"/>
      <c r="P353" s="1357"/>
      <c r="Q353" s="1357"/>
      <c r="R353" s="1955"/>
      <c r="S353" s="1651"/>
    </row>
    <row r="354" spans="1:97" s="1368" customFormat="1" ht="13.5" customHeight="1">
      <c r="A354" s="1335"/>
      <c r="B354" s="1337"/>
      <c r="C354" s="1337"/>
      <c r="D354" s="1343" t="s">
        <v>2848</v>
      </c>
      <c r="E354" s="1659"/>
      <c r="F354" s="1687"/>
      <c r="G354" s="1339"/>
      <c r="H354" s="1339"/>
      <c r="I354" s="1345"/>
      <c r="J354" s="1888"/>
      <c r="K354" s="1357"/>
      <c r="L354" s="1357"/>
      <c r="M354" s="1357"/>
      <c r="N354" s="1357"/>
      <c r="O354" s="1357"/>
      <c r="P354" s="1357"/>
      <c r="Q354" s="1357"/>
      <c r="R354" s="1955"/>
      <c r="S354" s="1651"/>
    </row>
    <row r="355" spans="1:97" s="1368" customFormat="1" ht="13.5" customHeight="1">
      <c r="A355" s="1335"/>
      <c r="B355" s="1337"/>
      <c r="C355" s="1337"/>
      <c r="D355" s="1343" t="s">
        <v>2849</v>
      </c>
      <c r="E355" s="1659"/>
      <c r="F355" s="1687"/>
      <c r="G355" s="1339"/>
      <c r="H355" s="1339"/>
      <c r="I355" s="1345"/>
      <c r="J355" s="1888"/>
      <c r="K355" s="1357"/>
      <c r="L355" s="1357"/>
      <c r="M355" s="1357"/>
      <c r="N355" s="1357"/>
      <c r="O355" s="1357"/>
      <c r="P355" s="1357"/>
      <c r="Q355" s="1357"/>
      <c r="R355" s="1955"/>
      <c r="S355" s="1651"/>
    </row>
    <row r="356" spans="1:97" s="1368" customFormat="1" ht="13.5" customHeight="1">
      <c r="A356" s="1335"/>
      <c r="B356" s="1337"/>
      <c r="C356" s="1337"/>
      <c r="D356" s="1343" t="s">
        <v>2850</v>
      </c>
      <c r="E356" s="1659"/>
      <c r="F356" s="1687"/>
      <c r="G356" s="1339"/>
      <c r="H356" s="1339"/>
      <c r="I356" s="1345"/>
      <c r="J356" s="1888"/>
      <c r="K356" s="1357"/>
      <c r="L356" s="1357"/>
      <c r="M356" s="1357"/>
      <c r="N356" s="1357"/>
      <c r="O356" s="1357"/>
      <c r="P356" s="1357"/>
      <c r="Q356" s="1357"/>
      <c r="R356" s="1955"/>
      <c r="S356" s="1651"/>
    </row>
    <row r="357" spans="1:97" s="1368" customFormat="1" ht="13.5" customHeight="1">
      <c r="A357" s="1335"/>
      <c r="B357" s="1337"/>
      <c r="C357" s="1337"/>
      <c r="D357" s="1343" t="s">
        <v>2851</v>
      </c>
      <c r="E357" s="1659"/>
      <c r="F357" s="1687"/>
      <c r="G357" s="1339"/>
      <c r="H357" s="1339"/>
      <c r="I357" s="1345"/>
      <c r="J357" s="1888"/>
      <c r="K357" s="1357"/>
      <c r="L357" s="1357"/>
      <c r="M357" s="1357"/>
      <c r="N357" s="1357"/>
      <c r="O357" s="1357"/>
      <c r="P357" s="1357"/>
      <c r="Q357" s="1357"/>
      <c r="R357" s="1955"/>
      <c r="S357" s="1651"/>
    </row>
    <row r="358" spans="1:97" s="1368" customFormat="1" ht="13.5" customHeight="1">
      <c r="A358" s="1335"/>
      <c r="B358" s="1337"/>
      <c r="C358" s="1337"/>
      <c r="D358" s="1343" t="s">
        <v>2852</v>
      </c>
      <c r="E358" s="1659"/>
      <c r="F358" s="1687"/>
      <c r="G358" s="1339"/>
      <c r="H358" s="1339"/>
      <c r="I358" s="1345"/>
      <c r="J358" s="1888"/>
      <c r="K358" s="1357"/>
      <c r="L358" s="1357"/>
      <c r="M358" s="1357"/>
      <c r="N358" s="1357"/>
      <c r="O358" s="1357"/>
      <c r="P358" s="1357"/>
      <c r="Q358" s="1357"/>
      <c r="R358" s="1955"/>
      <c r="S358" s="1651"/>
    </row>
    <row r="359" spans="1:97" s="1368" customFormat="1" ht="13.5" customHeight="1">
      <c r="A359" s="1335"/>
      <c r="B359" s="1337"/>
      <c r="C359" s="1337"/>
      <c r="D359" s="1343" t="s">
        <v>2853</v>
      </c>
      <c r="E359" s="1337"/>
      <c r="F359" s="1687"/>
      <c r="G359" s="1339"/>
      <c r="H359" s="1339"/>
      <c r="I359" s="1367"/>
      <c r="J359" s="1721"/>
      <c r="K359" s="1956"/>
      <c r="L359" s="1690"/>
      <c r="M359" s="1690"/>
      <c r="N359" s="1690"/>
      <c r="O359" s="1690"/>
      <c r="P359" s="1690"/>
      <c r="Q359" s="1690"/>
      <c r="R359" s="1690"/>
      <c r="S359" s="1690"/>
    </row>
    <row r="360" spans="1:97" s="1291" customFormat="1" ht="27" customHeight="1">
      <c r="A360" s="1335">
        <v>83</v>
      </c>
      <c r="B360" s="1337">
        <v>721</v>
      </c>
      <c r="C360" s="1337" t="s">
        <v>2854</v>
      </c>
      <c r="D360" s="1337" t="s">
        <v>2855</v>
      </c>
      <c r="E360" s="1337" t="s">
        <v>49</v>
      </c>
      <c r="F360" s="1666">
        <f>SUM(F362:F362)</f>
        <v>1</v>
      </c>
      <c r="G360" s="1339"/>
      <c r="H360" s="1339">
        <f>F360*G360</f>
        <v>0</v>
      </c>
      <c r="I360" s="1345" t="s">
        <v>112</v>
      </c>
    </row>
    <row r="361" spans="1:97" s="1291" customFormat="1" ht="13.5" customHeight="1">
      <c r="A361" s="1335"/>
      <c r="B361" s="1337"/>
      <c r="C361" s="1337"/>
      <c r="D361" s="1343" t="s">
        <v>2856</v>
      </c>
      <c r="E361" s="1337"/>
      <c r="F361" s="1666"/>
      <c r="G361" s="1339"/>
      <c r="H361" s="1339"/>
      <c r="I361" s="1345"/>
      <c r="J361" s="1907"/>
      <c r="K361" s="1602"/>
      <c r="L361" s="1602"/>
      <c r="M361" s="1602"/>
      <c r="N361" s="1602"/>
      <c r="O361" s="1602"/>
      <c r="P361" s="1602"/>
      <c r="Q361" s="1885"/>
      <c r="R361" s="1885"/>
      <c r="S361" s="1885"/>
      <c r="T361" s="1885"/>
      <c r="U361" s="1908"/>
    </row>
    <row r="362" spans="1:97" s="1291" customFormat="1" ht="13.5" customHeight="1">
      <c r="A362" s="1335"/>
      <c r="B362" s="1337"/>
      <c r="C362" s="1337"/>
      <c r="D362" s="1343" t="s">
        <v>2857</v>
      </c>
      <c r="E362" s="1337"/>
      <c r="F362" s="1390">
        <v>1</v>
      </c>
      <c r="G362" s="1339"/>
      <c r="H362" s="1339"/>
      <c r="I362" s="1345"/>
      <c r="J362" s="1975"/>
    </row>
    <row r="363" spans="1:97" s="1291" customFormat="1" ht="67.5" customHeight="1">
      <c r="A363" s="1673"/>
      <c r="B363" s="1659"/>
      <c r="C363" s="1659"/>
      <c r="D363" s="1674" t="s">
        <v>2324</v>
      </c>
      <c r="E363" s="1659"/>
      <c r="F363" s="1598"/>
      <c r="G363" s="1649"/>
      <c r="H363" s="1649"/>
      <c r="I363" s="1670"/>
      <c r="J363" s="1368"/>
    </row>
    <row r="364" spans="1:97" s="1368" customFormat="1" ht="13.5" customHeight="1">
      <c r="A364" s="1598"/>
      <c r="B364" s="1335"/>
      <c r="C364" s="1364"/>
      <c r="D364" s="1343" t="s">
        <v>2325</v>
      </c>
      <c r="E364" s="1337"/>
      <c r="F364" s="1976"/>
      <c r="G364" s="1649"/>
      <c r="H364" s="1597"/>
      <c r="I364" s="1670"/>
      <c r="J364" s="1357"/>
      <c r="K364" s="1357"/>
      <c r="L364" s="1357"/>
      <c r="M364" s="1357"/>
      <c r="N364" s="1357"/>
      <c r="O364" s="1357"/>
      <c r="P364" s="1357"/>
      <c r="Q364" s="1357"/>
      <c r="R364" s="1357"/>
      <c r="S364" s="1357"/>
      <c r="T364" s="1357"/>
      <c r="U364" s="1357"/>
      <c r="V364" s="1357"/>
      <c r="W364" s="1357"/>
      <c r="X364" s="1357"/>
      <c r="Y364" s="1357"/>
      <c r="Z364" s="1357"/>
      <c r="AA364" s="1357"/>
      <c r="AB364" s="1357"/>
      <c r="AC364" s="1357"/>
      <c r="AD364" s="1357"/>
      <c r="AE364" s="1357"/>
      <c r="AF364" s="1357"/>
      <c r="AG364" s="1357"/>
      <c r="AH364" s="1357"/>
      <c r="AI364" s="1357"/>
      <c r="AJ364" s="1357"/>
      <c r="AK364" s="1357"/>
      <c r="AL364" s="1357"/>
      <c r="AM364" s="1357"/>
      <c r="AN364" s="1357"/>
      <c r="AO364" s="1357"/>
      <c r="AP364" s="1357"/>
      <c r="AQ364" s="1357"/>
      <c r="AR364" s="1357"/>
      <c r="AS364" s="1357"/>
      <c r="AT364" s="1357"/>
      <c r="AU364" s="1357"/>
      <c r="AV364" s="1357"/>
      <c r="AW364" s="1357"/>
      <c r="AX364" s="1357"/>
      <c r="AY364" s="1357"/>
      <c r="AZ364" s="1357"/>
      <c r="BA364" s="1357"/>
      <c r="BB364" s="1357"/>
      <c r="BC364" s="1357"/>
      <c r="BD364" s="1357"/>
      <c r="BE364" s="1357"/>
      <c r="BF364" s="1357"/>
      <c r="BG364" s="1357"/>
      <c r="BH364" s="1357"/>
      <c r="BI364" s="1357"/>
      <c r="BJ364" s="1357"/>
      <c r="BK364" s="1357"/>
      <c r="BL364" s="1357"/>
      <c r="BM364" s="1357"/>
      <c r="BN364" s="1357"/>
      <c r="BO364" s="1357"/>
      <c r="BP364" s="1357"/>
      <c r="BQ364" s="1357"/>
      <c r="BR364" s="1357"/>
      <c r="BS364" s="1357"/>
      <c r="BT364" s="1357"/>
      <c r="BU364" s="1357"/>
      <c r="BV364" s="1357"/>
      <c r="BW364" s="1357"/>
      <c r="BX364" s="1357"/>
      <c r="BY364" s="1357"/>
      <c r="BZ364" s="1357"/>
      <c r="CA364" s="1357"/>
      <c r="CB364" s="1357"/>
      <c r="CC364" s="1357"/>
      <c r="CD364" s="1357"/>
      <c r="CE364" s="1357"/>
      <c r="CF364" s="1357"/>
      <c r="CG364" s="1357"/>
      <c r="CH364" s="1357"/>
      <c r="CI364" s="1357"/>
      <c r="CJ364" s="1357"/>
      <c r="CK364" s="1357"/>
      <c r="CL364" s="1357"/>
      <c r="CM364" s="1357"/>
      <c r="CN364" s="1357"/>
      <c r="CO364" s="1357"/>
      <c r="CP364" s="1357"/>
      <c r="CQ364" s="1357"/>
      <c r="CR364" s="1357"/>
      <c r="CS364" s="1357"/>
    </row>
    <row r="365" spans="1:97" s="1291" customFormat="1" ht="67.5" customHeight="1">
      <c r="A365" s="739"/>
      <c r="B365" s="1646"/>
      <c r="C365" s="1352"/>
      <c r="D365" s="251" t="s">
        <v>317</v>
      </c>
      <c r="E365" s="1343"/>
      <c r="F365" s="1879"/>
      <c r="G365" s="1355"/>
      <c r="H365" s="1355"/>
      <c r="I365" s="1356"/>
      <c r="J365" s="1677"/>
      <c r="K365" s="1678"/>
      <c r="L365" s="1679"/>
      <c r="M365" s="1679"/>
    </row>
    <row r="366" spans="1:97" s="1291" customFormat="1" ht="13.5" customHeight="1">
      <c r="A366" s="1335">
        <v>84</v>
      </c>
      <c r="B366" s="1337">
        <v>721</v>
      </c>
      <c r="C366" s="1337" t="s">
        <v>2113</v>
      </c>
      <c r="D366" s="1337" t="s">
        <v>2858</v>
      </c>
      <c r="E366" s="1337" t="s">
        <v>49</v>
      </c>
      <c r="F366" s="1666">
        <f>SUM(F367)</f>
        <v>1</v>
      </c>
      <c r="G366" s="1339"/>
      <c r="H366" s="1339">
        <f>F366*G366</f>
        <v>0</v>
      </c>
      <c r="I366" s="1345" t="s">
        <v>112</v>
      </c>
    </row>
    <row r="367" spans="1:97" s="1291" customFormat="1" ht="27" customHeight="1">
      <c r="A367" s="1335"/>
      <c r="B367" s="1337"/>
      <c r="C367" s="1337"/>
      <c r="D367" s="1343" t="s">
        <v>2859</v>
      </c>
      <c r="E367" s="1389"/>
      <c r="F367" s="1390">
        <v>1</v>
      </c>
      <c r="G367" s="1339"/>
      <c r="H367" s="1339"/>
      <c r="I367" s="1345"/>
      <c r="J367" s="1361"/>
      <c r="K367" s="1391"/>
    </row>
    <row r="368" spans="1:97" s="1291" customFormat="1" ht="67.5" customHeight="1">
      <c r="A368" s="739"/>
      <c r="B368" s="1646"/>
      <c r="C368" s="1352"/>
      <c r="D368" s="251" t="s">
        <v>2860</v>
      </c>
      <c r="E368" s="1343"/>
      <c r="F368" s="1879"/>
      <c r="G368" s="1355"/>
      <c r="H368" s="1355"/>
      <c r="I368" s="1356"/>
      <c r="J368" s="1677"/>
      <c r="K368" s="1678"/>
      <c r="L368" s="1679"/>
      <c r="M368" s="1679"/>
    </row>
    <row r="369" spans="1:29" s="158" customFormat="1" ht="13.5" customHeight="1">
      <c r="A369" s="1335">
        <v>85</v>
      </c>
      <c r="B369" s="1337">
        <v>721</v>
      </c>
      <c r="C369" s="1337" t="s">
        <v>2861</v>
      </c>
      <c r="D369" s="1337" t="s">
        <v>2862</v>
      </c>
      <c r="E369" s="1337" t="s">
        <v>49</v>
      </c>
      <c r="F369" s="1666">
        <f>SUM(F370)</f>
        <v>1</v>
      </c>
      <c r="G369" s="1339"/>
      <c r="H369" s="1339">
        <f>F369*G369</f>
        <v>0</v>
      </c>
      <c r="I369" s="1345" t="s">
        <v>112</v>
      </c>
      <c r="J369" s="1909"/>
      <c r="K369" s="1602"/>
      <c r="L369" s="458"/>
      <c r="M369" s="1885"/>
      <c r="N369" s="1885"/>
      <c r="O369" s="1885"/>
      <c r="P369" s="1885"/>
      <c r="Q369" s="1885"/>
      <c r="R369" s="1954"/>
      <c r="S369" s="1885"/>
      <c r="T369" s="1885"/>
      <c r="U369" s="1885"/>
      <c r="V369" s="1885"/>
      <c r="W369" s="1885"/>
      <c r="X369" s="1885"/>
      <c r="Y369" s="1885"/>
      <c r="Z369" s="1885"/>
      <c r="AA369" s="1885"/>
      <c r="AB369" s="1885"/>
      <c r="AC369" s="1885"/>
    </row>
    <row r="370" spans="1:29" s="1291" customFormat="1" ht="27" customHeight="1">
      <c r="A370" s="1335"/>
      <c r="B370" s="1337"/>
      <c r="C370" s="1337"/>
      <c r="D370" s="1343" t="s">
        <v>2863</v>
      </c>
      <c r="E370" s="1337"/>
      <c r="F370" s="1390">
        <v>1</v>
      </c>
      <c r="G370" s="1339"/>
      <c r="H370" s="1339"/>
      <c r="I370" s="1345"/>
    </row>
    <row r="371" spans="1:29" s="189" customFormat="1" ht="81" customHeight="1">
      <c r="A371" s="1977"/>
      <c r="B371" s="188"/>
      <c r="C371" s="188"/>
      <c r="D371" s="1674" t="s">
        <v>2864</v>
      </c>
      <c r="E371" s="188"/>
      <c r="F371" s="1978"/>
      <c r="G371" s="1979"/>
      <c r="H371" s="1979"/>
      <c r="I371" s="1980"/>
      <c r="J371" s="1814"/>
      <c r="K371" s="1981"/>
    </row>
    <row r="372" spans="1:29" s="1291" customFormat="1" ht="13.5" customHeight="1">
      <c r="A372" s="1335">
        <v>86</v>
      </c>
      <c r="B372" s="1337">
        <v>721</v>
      </c>
      <c r="C372" s="1337" t="s">
        <v>2713</v>
      </c>
      <c r="D372" s="1337" t="s">
        <v>1962</v>
      </c>
      <c r="E372" s="1337" t="s">
        <v>49</v>
      </c>
      <c r="F372" s="1666">
        <f>SUM(F374)</f>
        <v>1</v>
      </c>
      <c r="G372" s="1339"/>
      <c r="H372" s="1339">
        <f>F372*G372</f>
        <v>0</v>
      </c>
      <c r="I372" s="1345" t="s">
        <v>112</v>
      </c>
    </row>
    <row r="373" spans="1:29" s="1357" customFormat="1" ht="27" customHeight="1">
      <c r="A373" s="1359"/>
      <c r="B373" s="1352"/>
      <c r="C373" s="1352"/>
      <c r="D373" s="1343" t="s">
        <v>2865</v>
      </c>
      <c r="E373" s="1352"/>
      <c r="F373" s="1390"/>
      <c r="G373" s="1360"/>
      <c r="H373" s="1339"/>
      <c r="I373" s="1356"/>
    </row>
    <row r="374" spans="1:29" s="1357" customFormat="1" ht="13.5" customHeight="1">
      <c r="A374" s="1359"/>
      <c r="B374" s="1352"/>
      <c r="C374" s="1352"/>
      <c r="D374" s="1343" t="s">
        <v>1964</v>
      </c>
      <c r="E374" s="1352"/>
      <c r="F374" s="1390">
        <v>1</v>
      </c>
      <c r="G374" s="1360"/>
      <c r="H374" s="1339"/>
      <c r="I374" s="1356"/>
    </row>
    <row r="375" spans="1:29" s="1357" customFormat="1" ht="13.5" customHeight="1">
      <c r="A375" s="1359"/>
      <c r="B375" s="1352"/>
      <c r="C375" s="1352"/>
      <c r="D375" s="1343" t="s">
        <v>2715</v>
      </c>
      <c r="E375" s="1352"/>
      <c r="F375" s="1390"/>
      <c r="G375" s="1360"/>
      <c r="H375" s="1339"/>
      <c r="I375" s="1356"/>
    </row>
    <row r="376" spans="1:29" s="1291" customFormat="1" ht="13.5" customHeight="1">
      <c r="A376" s="1335">
        <v>87</v>
      </c>
      <c r="B376" s="1337">
        <v>721</v>
      </c>
      <c r="C376" s="1337" t="s">
        <v>2716</v>
      </c>
      <c r="D376" s="1337" t="s">
        <v>2069</v>
      </c>
      <c r="E376" s="1337" t="s">
        <v>49</v>
      </c>
      <c r="F376" s="1666">
        <f>SUM(F377)</f>
        <v>1</v>
      </c>
      <c r="G376" s="1339"/>
      <c r="H376" s="1339">
        <f>F376*G376</f>
        <v>0</v>
      </c>
      <c r="I376" s="1345" t="s">
        <v>112</v>
      </c>
    </row>
    <row r="377" spans="1:29" s="1341" customFormat="1" ht="27" customHeight="1">
      <c r="A377" s="1335"/>
      <c r="B377" s="1336"/>
      <c r="C377" s="1337"/>
      <c r="D377" s="1343" t="s">
        <v>2070</v>
      </c>
      <c r="E377" s="1337"/>
      <c r="F377" s="1390">
        <v>1</v>
      </c>
      <c r="G377" s="1339"/>
      <c r="H377" s="1339"/>
      <c r="I377" s="1345"/>
      <c r="J377" s="1361"/>
      <c r="M377" s="1340"/>
    </row>
    <row r="378" spans="1:29" s="1341" customFormat="1" ht="27" customHeight="1">
      <c r="A378" s="1335"/>
      <c r="B378" s="1336"/>
      <c r="C378" s="1337"/>
      <c r="D378" s="1343" t="s">
        <v>2071</v>
      </c>
      <c r="E378" s="1337"/>
      <c r="F378" s="1390"/>
      <c r="G378" s="1339"/>
      <c r="H378" s="1339"/>
      <c r="I378" s="1345"/>
      <c r="J378" s="1361"/>
      <c r="M378" s="1340"/>
    </row>
    <row r="379" spans="1:29" s="1291" customFormat="1" ht="13.5" customHeight="1">
      <c r="A379" s="1816"/>
      <c r="B379" s="1336"/>
      <c r="C379" s="1337"/>
      <c r="D379" s="1343"/>
      <c r="E379" s="1337"/>
      <c r="F379" s="1390"/>
      <c r="G379" s="1339"/>
      <c r="H379" s="1339"/>
      <c r="I379" s="1345"/>
    </row>
    <row r="380" spans="1:29" s="1291" customFormat="1" ht="13.5" customHeight="1">
      <c r="A380" s="1873">
        <v>88</v>
      </c>
      <c r="B380" s="1337" t="s">
        <v>2048</v>
      </c>
      <c r="C380" s="1337">
        <v>998722202</v>
      </c>
      <c r="D380" s="1337" t="s">
        <v>2866</v>
      </c>
      <c r="E380" s="1337" t="s">
        <v>10</v>
      </c>
      <c r="F380" s="1666">
        <v>0.59</v>
      </c>
      <c r="G380" s="1935"/>
      <c r="H380" s="1339">
        <f>F380*G380</f>
        <v>0</v>
      </c>
      <c r="I380" s="1345" t="s">
        <v>138</v>
      </c>
      <c r="J380" s="1936"/>
      <c r="K380" s="1937"/>
    </row>
    <row r="381" spans="1:29" s="1357" customFormat="1" ht="13.5" customHeight="1">
      <c r="A381" s="1873">
        <v>89</v>
      </c>
      <c r="B381" s="1337" t="s">
        <v>369</v>
      </c>
      <c r="C381" s="1337" t="s">
        <v>2073</v>
      </c>
      <c r="D381" s="1337" t="s">
        <v>2074</v>
      </c>
      <c r="E381" s="1337" t="s">
        <v>69</v>
      </c>
      <c r="F381" s="1666">
        <f>F382</f>
        <v>15</v>
      </c>
      <c r="G381" s="1339"/>
      <c r="H381" s="1339">
        <f>F381*G381</f>
        <v>0</v>
      </c>
      <c r="I381" s="1345" t="s">
        <v>138</v>
      </c>
    </row>
    <row r="382" spans="1:29" s="1357" customFormat="1" ht="13.5" customHeight="1">
      <c r="A382" s="1359"/>
      <c r="B382" s="1352"/>
      <c r="C382" s="1352"/>
      <c r="D382" s="1343" t="s">
        <v>2867</v>
      </c>
      <c r="E382" s="1352"/>
      <c r="F382" s="1390">
        <v>15</v>
      </c>
      <c r="G382" s="1360"/>
      <c r="H382" s="1339"/>
      <c r="I382" s="1356"/>
    </row>
    <row r="383" spans="1:29" s="1357" customFormat="1" ht="27" customHeight="1">
      <c r="A383" s="1359"/>
      <c r="B383" s="1352"/>
      <c r="C383" s="1352"/>
      <c r="D383" s="1938" t="s">
        <v>2183</v>
      </c>
      <c r="E383" s="1352"/>
      <c r="F383" s="1390"/>
      <c r="G383" s="1360"/>
      <c r="H383" s="1339"/>
      <c r="I383" s="1356"/>
    </row>
    <row r="384" spans="1:29" s="1990" customFormat="1" ht="13.5" customHeight="1">
      <c r="A384" s="1982"/>
      <c r="B384" s="1983"/>
      <c r="C384" s="1984">
        <v>725</v>
      </c>
      <c r="D384" s="1984" t="s">
        <v>2868</v>
      </c>
      <c r="E384" s="1985"/>
      <c r="F384" s="1986"/>
      <c r="G384" s="1987"/>
      <c r="H384" s="1988">
        <f>SUM(H385:H506)</f>
        <v>0</v>
      </c>
      <c r="I384" s="1989"/>
      <c r="J384" s="1357"/>
      <c r="K384" s="1357"/>
      <c r="L384" s="1357"/>
      <c r="M384" s="1357"/>
      <c r="N384" s="1357"/>
      <c r="O384" s="1357"/>
    </row>
    <row r="385" spans="1:256" s="1990" customFormat="1" ht="13.5" customHeight="1">
      <c r="A385" s="1910">
        <v>90</v>
      </c>
      <c r="B385" s="1991" t="s">
        <v>2048</v>
      </c>
      <c r="C385" s="1325" t="s">
        <v>2869</v>
      </c>
      <c r="D385" s="1985" t="s">
        <v>2870</v>
      </c>
      <c r="E385" s="1985" t="s">
        <v>210</v>
      </c>
      <c r="F385" s="1327">
        <f>SUM(F387:F387)</f>
        <v>1</v>
      </c>
      <c r="G385" s="1992"/>
      <c r="H385" s="1992">
        <f>F385*G385</f>
        <v>0</v>
      </c>
      <c r="I385" s="1993" t="s">
        <v>112</v>
      </c>
      <c r="J385" s="1994"/>
      <c r="K385" s="1994"/>
      <c r="O385" s="1995"/>
      <c r="P385" s="1994"/>
      <c r="Q385" s="1928"/>
      <c r="X385" s="1994"/>
      <c r="Y385" s="1994"/>
      <c r="Z385" s="1291"/>
      <c r="AA385" s="1291"/>
      <c r="AB385" s="1291"/>
      <c r="AC385" s="1291"/>
      <c r="AD385" s="1291"/>
      <c r="AE385" s="1291"/>
      <c r="AF385" s="1291"/>
      <c r="AG385" s="1291"/>
      <c r="AH385" s="1996"/>
    </row>
    <row r="386" spans="1:256" s="1990" customFormat="1" ht="13.5" customHeight="1">
      <c r="A386" s="1890"/>
      <c r="B386" s="1891"/>
      <c r="C386" s="342"/>
      <c r="D386" s="342" t="s">
        <v>2871</v>
      </c>
      <c r="E386" s="342"/>
      <c r="F386" s="1997"/>
      <c r="G386" s="1893"/>
      <c r="H386" s="1893"/>
      <c r="I386" s="1998"/>
      <c r="J386" s="1994"/>
      <c r="K386" s="1994"/>
      <c r="L386" s="1291"/>
      <c r="M386" s="1291"/>
      <c r="N386" s="1291"/>
      <c r="O386" s="1291"/>
      <c r="P386" s="1291"/>
      <c r="Q386" s="1291"/>
      <c r="R386" s="1291"/>
      <c r="S386" s="1291"/>
      <c r="T386" s="1291"/>
      <c r="U386" s="1291"/>
      <c r="V386" s="1602"/>
      <c r="W386" s="1291"/>
      <c r="X386" s="1994"/>
      <c r="Y386" s="1994"/>
      <c r="Z386" s="1291"/>
      <c r="AA386" s="1291"/>
      <c r="AB386" s="1291"/>
      <c r="AC386" s="1291"/>
      <c r="AD386" s="1291"/>
      <c r="AE386" s="1291"/>
      <c r="AF386" s="1291"/>
      <c r="AG386" s="1291"/>
      <c r="AH386" s="1291"/>
    </row>
    <row r="387" spans="1:256" s="1904" customFormat="1" ht="13.5" customHeight="1">
      <c r="A387" s="1898"/>
      <c r="B387" s="1899"/>
      <c r="C387" s="1899"/>
      <c r="D387" s="1899" t="s">
        <v>2686</v>
      </c>
      <c r="E387" s="1899"/>
      <c r="F387" s="1900">
        <v>1</v>
      </c>
      <c r="G387" s="1901"/>
      <c r="H387" s="1901"/>
      <c r="I387" s="1905"/>
      <c r="K387" s="1291"/>
      <c r="L387" s="1291"/>
      <c r="M387" s="1291"/>
      <c r="N387" s="1291"/>
      <c r="O387" s="1291"/>
      <c r="P387" s="1291"/>
      <c r="Q387" s="1291"/>
      <c r="R387" s="1291"/>
      <c r="S387" s="1291"/>
      <c r="T387" s="1291"/>
      <c r="U387" s="1291"/>
      <c r="V387" s="1291"/>
      <c r="W387" s="1291"/>
      <c r="X387" s="1291"/>
      <c r="Y387" s="1291"/>
      <c r="Z387" s="1291"/>
      <c r="AA387" s="1291"/>
      <c r="AB387" s="1291"/>
      <c r="AC387" s="1291"/>
      <c r="AD387" s="1291"/>
      <c r="AE387" s="1291"/>
      <c r="AF387" s="1291"/>
      <c r="AG387" s="1291"/>
      <c r="AH387" s="1291"/>
      <c r="AI387" s="1291"/>
      <c r="AJ387" s="1291"/>
      <c r="AK387" s="1291"/>
      <c r="AL387" s="1291"/>
      <c r="AM387" s="1291"/>
      <c r="AN387" s="1291"/>
      <c r="AO387" s="1291"/>
      <c r="AP387" s="1291"/>
      <c r="AQ387" s="1291"/>
      <c r="AR387" s="1903"/>
      <c r="AS387" s="1903"/>
      <c r="AT387" s="1903"/>
      <c r="AU387" s="1903"/>
      <c r="AV387" s="1903"/>
      <c r="AW387" s="1903"/>
      <c r="AX387" s="1903"/>
      <c r="AY387" s="1903"/>
      <c r="AZ387" s="1903"/>
      <c r="BA387" s="1903"/>
      <c r="BB387" s="1903"/>
      <c r="BC387" s="1903"/>
      <c r="BD387" s="1903"/>
      <c r="BE387" s="1903"/>
      <c r="BF387" s="1903"/>
      <c r="BG387" s="1903"/>
      <c r="BH387" s="1903"/>
      <c r="BI387" s="1903"/>
      <c r="BJ387" s="1903"/>
      <c r="BK387" s="1903"/>
      <c r="BL387" s="1903"/>
      <c r="BM387" s="1903"/>
      <c r="BN387" s="1903"/>
      <c r="BO387" s="1903"/>
      <c r="BP387" s="1903"/>
      <c r="BQ387" s="1903"/>
      <c r="BR387" s="1903"/>
      <c r="BS387" s="1903"/>
      <c r="BT387" s="1903"/>
      <c r="BU387" s="1903"/>
      <c r="BV387" s="1903"/>
      <c r="BW387" s="1903"/>
      <c r="BX387" s="1903"/>
      <c r="BY387" s="1903"/>
      <c r="BZ387" s="1903"/>
      <c r="CA387" s="1903"/>
      <c r="CB387" s="1903"/>
      <c r="CC387" s="1903"/>
      <c r="CD387" s="1903"/>
      <c r="CE387" s="1903"/>
      <c r="CF387" s="1903"/>
      <c r="CG387" s="1903"/>
      <c r="CH387" s="1903"/>
      <c r="CI387" s="1903"/>
      <c r="CJ387" s="1903"/>
      <c r="CK387" s="1903"/>
      <c r="CL387" s="1903"/>
      <c r="CM387" s="1903"/>
      <c r="CN387" s="1903"/>
      <c r="CO387" s="1903"/>
      <c r="CP387" s="1903"/>
      <c r="CQ387" s="1903"/>
      <c r="CR387" s="1903"/>
      <c r="CS387" s="1903"/>
      <c r="CT387" s="1903"/>
      <c r="CU387" s="1903"/>
      <c r="CV387" s="1903"/>
      <c r="CW387" s="1903"/>
      <c r="CX387" s="1903"/>
      <c r="CY387" s="1903"/>
      <c r="CZ387" s="1903"/>
      <c r="DA387" s="1903"/>
      <c r="DB387" s="1903"/>
      <c r="DC387" s="1903"/>
      <c r="DD387" s="1903"/>
      <c r="DE387" s="1903"/>
      <c r="DF387" s="1903"/>
      <c r="DG387" s="1903"/>
      <c r="DH387" s="1903"/>
      <c r="DI387" s="1903"/>
      <c r="DJ387" s="1903"/>
      <c r="DK387" s="1903"/>
      <c r="DL387" s="1903"/>
      <c r="DM387" s="1903"/>
      <c r="DN387" s="1903"/>
      <c r="DO387" s="1903"/>
      <c r="DP387" s="1903"/>
      <c r="DQ387" s="1903"/>
      <c r="DR387" s="1903"/>
      <c r="DS387" s="1903"/>
      <c r="DT387" s="1903"/>
      <c r="DU387" s="1903"/>
      <c r="DV387" s="1903"/>
      <c r="DW387" s="1903"/>
      <c r="DX387" s="1903"/>
      <c r="DY387" s="1903"/>
      <c r="DZ387" s="1903"/>
      <c r="EA387" s="1903"/>
      <c r="EB387" s="1903"/>
      <c r="EC387" s="1903"/>
      <c r="ED387" s="1903"/>
      <c r="EE387" s="1903"/>
      <c r="EF387" s="1903"/>
      <c r="EG387" s="1903"/>
      <c r="EH387" s="1903"/>
      <c r="EI387" s="1903"/>
      <c r="EJ387" s="1903"/>
      <c r="EK387" s="1903"/>
      <c r="EL387" s="1903"/>
      <c r="EM387" s="1903"/>
      <c r="EN387" s="1903"/>
      <c r="EO387" s="1903"/>
      <c r="EP387" s="1903"/>
      <c r="EQ387" s="1903"/>
      <c r="ER387" s="1903"/>
      <c r="ES387" s="1903"/>
      <c r="ET387" s="1903"/>
      <c r="EU387" s="1903"/>
      <c r="EV387" s="1903"/>
      <c r="EW387" s="1903"/>
      <c r="EX387" s="1903"/>
      <c r="EY387" s="1903"/>
      <c r="EZ387" s="1903"/>
      <c r="FA387" s="1903"/>
      <c r="FB387" s="1903"/>
      <c r="FC387" s="1903"/>
      <c r="FD387" s="1903"/>
      <c r="FE387" s="1903"/>
      <c r="FF387" s="1903"/>
      <c r="FG387" s="1903"/>
      <c r="FH387" s="1903"/>
      <c r="FI387" s="1903"/>
      <c r="FJ387" s="1903"/>
      <c r="FK387" s="1903"/>
      <c r="FL387" s="1903"/>
      <c r="FM387" s="1903"/>
      <c r="FN387" s="1903"/>
      <c r="FO387" s="1903"/>
      <c r="FP387" s="1903"/>
      <c r="FQ387" s="1903"/>
      <c r="FR387" s="1903"/>
      <c r="FS387" s="1903"/>
      <c r="FT387" s="1903"/>
      <c r="FU387" s="1903"/>
      <c r="FV387" s="1903"/>
      <c r="FW387" s="1903"/>
      <c r="FX387" s="1903"/>
      <c r="FY387" s="1903"/>
      <c r="FZ387" s="1903"/>
      <c r="GA387" s="1903"/>
      <c r="GB387" s="1903"/>
      <c r="GC387" s="1903"/>
      <c r="GD387" s="1903"/>
      <c r="GE387" s="1903"/>
      <c r="GF387" s="1903"/>
      <c r="GG387" s="1903"/>
      <c r="GH387" s="1903"/>
      <c r="GI387" s="1903"/>
      <c r="GJ387" s="1903"/>
      <c r="GK387" s="1903"/>
      <c r="GL387" s="1903"/>
      <c r="GM387" s="1903"/>
      <c r="GN387" s="1903"/>
      <c r="GO387" s="1903"/>
      <c r="GP387" s="1903"/>
      <c r="GQ387" s="1903"/>
      <c r="GR387" s="1903"/>
      <c r="GS387" s="1903"/>
      <c r="GT387" s="1903"/>
      <c r="GU387" s="1903"/>
      <c r="GV387" s="1903"/>
      <c r="GW387" s="1903"/>
      <c r="GX387" s="1903"/>
      <c r="GY387" s="1903"/>
      <c r="GZ387" s="1903"/>
      <c r="HA387" s="1903"/>
      <c r="HB387" s="1903"/>
      <c r="HC387" s="1903"/>
      <c r="HD387" s="1903"/>
      <c r="HE387" s="1903"/>
      <c r="HF387" s="1903"/>
      <c r="HG387" s="1903"/>
      <c r="HH387" s="1903"/>
      <c r="HI387" s="1903"/>
      <c r="HJ387" s="1903"/>
      <c r="HK387" s="1903"/>
      <c r="HL387" s="1903"/>
      <c r="HM387" s="1903"/>
      <c r="HN387" s="1903"/>
      <c r="HO387" s="1903"/>
      <c r="HP387" s="1903"/>
      <c r="HQ387" s="1903"/>
      <c r="HR387" s="1903"/>
      <c r="HS387" s="1903"/>
      <c r="HT387" s="1903"/>
      <c r="HU387" s="1903"/>
      <c r="HV387" s="1903"/>
      <c r="HW387" s="1903"/>
      <c r="HX387" s="1903"/>
      <c r="HY387" s="1903"/>
      <c r="HZ387" s="1903"/>
      <c r="IA387" s="1903"/>
      <c r="IB387" s="1903"/>
      <c r="IC387" s="1903"/>
      <c r="ID387" s="1903"/>
      <c r="IE387" s="1903"/>
      <c r="IF387" s="1903"/>
      <c r="IG387" s="1903"/>
      <c r="IH387" s="1903"/>
      <c r="II387" s="1903"/>
      <c r="IJ387" s="1903"/>
      <c r="IK387" s="1903"/>
      <c r="IL387" s="1903"/>
      <c r="IM387" s="1903"/>
      <c r="IN387" s="1903"/>
      <c r="IO387" s="1903"/>
      <c r="IP387" s="1903"/>
      <c r="IQ387" s="1903"/>
      <c r="IR387" s="1903"/>
      <c r="IS387" s="1903"/>
      <c r="IT387" s="1903"/>
      <c r="IU387" s="1903"/>
      <c r="IV387" s="1903"/>
    </row>
    <row r="388" spans="1:256" s="1904" customFormat="1" ht="40.5" customHeight="1">
      <c r="A388" s="1898"/>
      <c r="B388" s="1899"/>
      <c r="C388" s="1899"/>
      <c r="D388" s="342" t="s">
        <v>2872</v>
      </c>
      <c r="E388" s="1899"/>
      <c r="F388" s="1900"/>
      <c r="G388" s="1901"/>
      <c r="H388" s="1901"/>
      <c r="I388" s="1999"/>
      <c r="AP388" s="1291"/>
      <c r="AQ388" s="1291"/>
      <c r="AR388" s="1903"/>
      <c r="AS388" s="1903"/>
      <c r="AT388" s="1903"/>
      <c r="AU388" s="1903"/>
      <c r="AV388" s="1903"/>
      <c r="AW388" s="1903"/>
      <c r="AX388" s="1903"/>
      <c r="AY388" s="1903"/>
      <c r="AZ388" s="1903"/>
      <c r="BA388" s="1903"/>
      <c r="BB388" s="1903"/>
      <c r="BC388" s="1903"/>
      <c r="BD388" s="1903"/>
      <c r="BE388" s="1903"/>
      <c r="BF388" s="1903"/>
      <c r="BG388" s="1903"/>
      <c r="BH388" s="1903"/>
      <c r="BI388" s="1903"/>
      <c r="BJ388" s="1903"/>
      <c r="BK388" s="1903"/>
      <c r="BL388" s="1903"/>
      <c r="BM388" s="1903"/>
      <c r="BN388" s="1903"/>
      <c r="BO388" s="1903"/>
      <c r="BP388" s="1903"/>
      <c r="BQ388" s="1903"/>
      <c r="BR388" s="1903"/>
      <c r="BS388" s="1903"/>
      <c r="BT388" s="1903"/>
      <c r="BU388" s="1903"/>
      <c r="BV388" s="1903"/>
      <c r="BW388" s="1903"/>
      <c r="BX388" s="1903"/>
      <c r="BY388" s="1903"/>
      <c r="BZ388" s="1903"/>
      <c r="CA388" s="1903"/>
      <c r="CB388" s="1903"/>
      <c r="CC388" s="1903"/>
      <c r="CD388" s="1903"/>
      <c r="CE388" s="1903"/>
      <c r="CF388" s="1903"/>
      <c r="CG388" s="1903"/>
      <c r="CH388" s="1903"/>
      <c r="CI388" s="1903"/>
      <c r="CJ388" s="1903"/>
      <c r="CK388" s="1903"/>
      <c r="CL388" s="1903"/>
      <c r="CM388" s="1903"/>
      <c r="CN388" s="1903"/>
      <c r="CO388" s="1903"/>
      <c r="CP388" s="1903"/>
      <c r="CQ388" s="1903"/>
      <c r="CR388" s="1903"/>
      <c r="CS388" s="1903"/>
      <c r="CT388" s="1903"/>
      <c r="CU388" s="1903"/>
      <c r="CV388" s="1903"/>
      <c r="CW388" s="1903"/>
      <c r="CX388" s="1903"/>
      <c r="CY388" s="1903"/>
      <c r="CZ388" s="1903"/>
      <c r="DA388" s="1903"/>
      <c r="DB388" s="1903"/>
      <c r="DC388" s="1903"/>
      <c r="DD388" s="1903"/>
      <c r="DE388" s="1903"/>
      <c r="DF388" s="1903"/>
      <c r="DG388" s="1903"/>
      <c r="DH388" s="1903"/>
      <c r="DI388" s="1903"/>
      <c r="DJ388" s="1903"/>
      <c r="DK388" s="1903"/>
      <c r="DL388" s="1903"/>
      <c r="DM388" s="1903"/>
      <c r="DN388" s="1903"/>
      <c r="DO388" s="1903"/>
      <c r="DP388" s="1903"/>
      <c r="DQ388" s="1903"/>
      <c r="DR388" s="1903"/>
      <c r="DS388" s="1903"/>
      <c r="DT388" s="1903"/>
      <c r="DU388" s="1903"/>
      <c r="DV388" s="1903"/>
      <c r="DW388" s="1903"/>
      <c r="DX388" s="1903"/>
      <c r="DY388" s="1903"/>
      <c r="DZ388" s="1903"/>
      <c r="EA388" s="1903"/>
      <c r="EB388" s="1903"/>
      <c r="EC388" s="1903"/>
      <c r="ED388" s="1903"/>
      <c r="EE388" s="1903"/>
      <c r="EF388" s="1903"/>
      <c r="EG388" s="1903"/>
      <c r="EH388" s="1903"/>
      <c r="EI388" s="1903"/>
      <c r="EJ388" s="1903"/>
      <c r="EK388" s="1903"/>
      <c r="EL388" s="1903"/>
      <c r="EM388" s="1903"/>
      <c r="EN388" s="1903"/>
      <c r="EO388" s="1903"/>
      <c r="EP388" s="1903"/>
      <c r="EQ388" s="1903"/>
      <c r="ER388" s="1903"/>
      <c r="ES388" s="1903"/>
      <c r="ET388" s="1903"/>
      <c r="EU388" s="1903"/>
      <c r="EV388" s="1903"/>
      <c r="EW388" s="1903"/>
      <c r="EX388" s="1903"/>
      <c r="EY388" s="1903"/>
      <c r="EZ388" s="1903"/>
      <c r="FA388" s="1903"/>
      <c r="FB388" s="1903"/>
      <c r="FC388" s="1903"/>
      <c r="FD388" s="1903"/>
      <c r="FE388" s="1903"/>
      <c r="FF388" s="1903"/>
      <c r="FG388" s="1903"/>
      <c r="FH388" s="1903"/>
      <c r="FI388" s="1903"/>
      <c r="FJ388" s="1903"/>
      <c r="FK388" s="1903"/>
      <c r="FL388" s="1903"/>
      <c r="FM388" s="1903"/>
      <c r="FN388" s="1903"/>
      <c r="FO388" s="1903"/>
      <c r="FP388" s="1903"/>
      <c r="FQ388" s="1903"/>
      <c r="FR388" s="1903"/>
      <c r="FS388" s="1903"/>
      <c r="FT388" s="1903"/>
      <c r="FU388" s="1903"/>
      <c r="FV388" s="1903"/>
      <c r="FW388" s="1903"/>
      <c r="FX388" s="1903"/>
      <c r="FY388" s="1903"/>
      <c r="FZ388" s="1903"/>
      <c r="GA388" s="1903"/>
      <c r="GB388" s="1903"/>
      <c r="GC388" s="1903"/>
      <c r="GD388" s="1903"/>
      <c r="GE388" s="1903"/>
      <c r="GF388" s="1903"/>
      <c r="GG388" s="1903"/>
      <c r="GH388" s="1903"/>
      <c r="GI388" s="1903"/>
      <c r="GJ388" s="1903"/>
      <c r="GK388" s="1903"/>
      <c r="GL388" s="1903"/>
      <c r="GM388" s="1903"/>
      <c r="GN388" s="1903"/>
      <c r="GO388" s="1903"/>
      <c r="GP388" s="1903"/>
      <c r="GQ388" s="1903"/>
      <c r="GR388" s="1903"/>
      <c r="GS388" s="1903"/>
      <c r="GT388" s="1903"/>
      <c r="GU388" s="1903"/>
      <c r="GV388" s="1903"/>
      <c r="GW388" s="1903"/>
      <c r="GX388" s="1903"/>
      <c r="GY388" s="1903"/>
      <c r="GZ388" s="1903"/>
      <c r="HA388" s="1903"/>
      <c r="HB388" s="1903"/>
      <c r="HC388" s="1903"/>
      <c r="HD388" s="1903"/>
      <c r="HE388" s="1903"/>
      <c r="HF388" s="1903"/>
      <c r="HG388" s="1903"/>
      <c r="HH388" s="1903"/>
      <c r="HI388" s="1903"/>
      <c r="HJ388" s="1903"/>
      <c r="HK388" s="1903"/>
      <c r="HL388" s="1903"/>
      <c r="HM388" s="1903"/>
      <c r="HN388" s="1903"/>
      <c r="HO388" s="1903"/>
      <c r="HP388" s="1903"/>
      <c r="HQ388" s="1903"/>
      <c r="HR388" s="1903"/>
      <c r="HS388" s="1903"/>
      <c r="HT388" s="1903"/>
      <c r="HU388" s="1903"/>
      <c r="HV388" s="1903"/>
      <c r="HW388" s="1903"/>
      <c r="HX388" s="1903"/>
      <c r="HY388" s="1903"/>
      <c r="HZ388" s="1903"/>
      <c r="IA388" s="1903"/>
      <c r="IB388" s="1903"/>
      <c r="IC388" s="1903"/>
      <c r="ID388" s="1903"/>
      <c r="IE388" s="1903"/>
      <c r="IF388" s="1903"/>
      <c r="IG388" s="1903"/>
      <c r="IH388" s="1903"/>
      <c r="II388" s="1903"/>
      <c r="IJ388" s="1903"/>
      <c r="IK388" s="1903"/>
      <c r="IL388" s="1903"/>
      <c r="IM388" s="1903"/>
      <c r="IN388" s="1903"/>
      <c r="IO388" s="1903"/>
      <c r="IP388" s="1903"/>
      <c r="IQ388" s="1903"/>
      <c r="IR388" s="1903"/>
      <c r="IS388" s="1903"/>
      <c r="IT388" s="1903"/>
      <c r="IU388" s="1903"/>
      <c r="IV388" s="1903"/>
    </row>
    <row r="389" spans="1:256" s="1990" customFormat="1" ht="13.5" customHeight="1">
      <c r="A389" s="1910">
        <v>91</v>
      </c>
      <c r="B389" s="1991" t="s">
        <v>2048</v>
      </c>
      <c r="C389" s="1325" t="s">
        <v>2873</v>
      </c>
      <c r="D389" s="1985" t="s">
        <v>2874</v>
      </c>
      <c r="E389" s="1985" t="s">
        <v>210</v>
      </c>
      <c r="F389" s="1327">
        <f>SUM(F391:F391)</f>
        <v>5</v>
      </c>
      <c r="G389" s="1992"/>
      <c r="H389" s="1992">
        <f>F389*G389</f>
        <v>0</v>
      </c>
      <c r="I389" s="1993" t="s">
        <v>112</v>
      </c>
      <c r="J389" s="1994"/>
      <c r="K389" s="1994"/>
      <c r="O389" s="1995"/>
      <c r="P389" s="1994"/>
      <c r="Q389" s="1928"/>
      <c r="X389" s="1994"/>
      <c r="Y389" s="1994"/>
      <c r="Z389" s="1291"/>
      <c r="AA389" s="1291"/>
      <c r="AB389" s="1291"/>
      <c r="AC389" s="1291"/>
      <c r="AD389" s="1291"/>
      <c r="AE389" s="1291"/>
      <c r="AF389" s="1291"/>
      <c r="AG389" s="1291"/>
      <c r="AH389" s="1996"/>
    </row>
    <row r="390" spans="1:256" s="1990" customFormat="1" ht="13.5" customHeight="1">
      <c r="A390" s="1890"/>
      <c r="B390" s="1891"/>
      <c r="C390" s="342"/>
      <c r="D390" s="342" t="s">
        <v>2871</v>
      </c>
      <c r="E390" s="342"/>
      <c r="F390" s="1997"/>
      <c r="G390" s="1893"/>
      <c r="H390" s="1893"/>
      <c r="I390" s="1998"/>
      <c r="J390" s="1994"/>
      <c r="K390" s="1994"/>
      <c r="L390" s="1291"/>
      <c r="M390" s="1291"/>
      <c r="N390" s="1291"/>
      <c r="O390" s="1291"/>
      <c r="P390" s="1291"/>
      <c r="Q390" s="1291"/>
      <c r="R390" s="1291"/>
      <c r="S390" s="1291"/>
      <c r="T390" s="1291"/>
      <c r="U390" s="1291"/>
      <c r="V390" s="1602"/>
      <c r="W390" s="1291"/>
      <c r="X390" s="1994"/>
      <c r="Y390" s="1994"/>
      <c r="Z390" s="1291"/>
      <c r="AA390" s="1291"/>
      <c r="AB390" s="1291"/>
      <c r="AC390" s="1291"/>
      <c r="AD390" s="1291"/>
      <c r="AE390" s="1291"/>
      <c r="AF390" s="1291"/>
      <c r="AG390" s="1291"/>
      <c r="AH390" s="1291"/>
    </row>
    <row r="391" spans="1:256" s="1904" customFormat="1" ht="13.5" customHeight="1">
      <c r="A391" s="1898"/>
      <c r="B391" s="1899"/>
      <c r="C391" s="1899"/>
      <c r="D391" s="1899" t="s">
        <v>2686</v>
      </c>
      <c r="E391" s="1899"/>
      <c r="F391" s="1900">
        <v>5</v>
      </c>
      <c r="G391" s="1901"/>
      <c r="H391" s="1901"/>
      <c r="I391" s="1905"/>
      <c r="K391" s="1291"/>
      <c r="L391" s="1291"/>
      <c r="M391" s="1291"/>
      <c r="N391" s="1291"/>
      <c r="O391" s="1291"/>
      <c r="P391" s="1291"/>
      <c r="Q391" s="1291"/>
      <c r="R391" s="1291"/>
      <c r="S391" s="1291"/>
      <c r="T391" s="1291"/>
      <c r="U391" s="1291"/>
      <c r="V391" s="1291"/>
      <c r="W391" s="1291"/>
      <c r="X391" s="1291"/>
      <c r="Y391" s="1291"/>
      <c r="Z391" s="1291"/>
      <c r="AA391" s="1291"/>
      <c r="AB391" s="1291"/>
      <c r="AC391" s="1291"/>
      <c r="AD391" s="1291"/>
      <c r="AE391" s="1291"/>
      <c r="AF391" s="1291"/>
      <c r="AG391" s="1291"/>
      <c r="AH391" s="1291"/>
      <c r="AI391" s="1291"/>
      <c r="AJ391" s="1291"/>
      <c r="AK391" s="1291"/>
      <c r="AL391" s="1291"/>
      <c r="AM391" s="1291"/>
      <c r="AN391" s="1291"/>
      <c r="AO391" s="1291"/>
      <c r="AP391" s="1291"/>
      <c r="AQ391" s="1291"/>
      <c r="AR391" s="1903"/>
      <c r="AS391" s="1903"/>
      <c r="AT391" s="1903"/>
      <c r="AU391" s="1903"/>
      <c r="AV391" s="1903"/>
      <c r="AW391" s="1903"/>
      <c r="AX391" s="1903"/>
      <c r="AY391" s="1903"/>
      <c r="AZ391" s="1903"/>
      <c r="BA391" s="1903"/>
      <c r="BB391" s="1903"/>
      <c r="BC391" s="1903"/>
      <c r="BD391" s="1903"/>
      <c r="BE391" s="1903"/>
      <c r="BF391" s="1903"/>
      <c r="BG391" s="1903"/>
      <c r="BH391" s="1903"/>
      <c r="BI391" s="1903"/>
      <c r="BJ391" s="1903"/>
      <c r="BK391" s="1903"/>
      <c r="BL391" s="1903"/>
      <c r="BM391" s="1903"/>
      <c r="BN391" s="1903"/>
      <c r="BO391" s="1903"/>
      <c r="BP391" s="1903"/>
      <c r="BQ391" s="1903"/>
      <c r="BR391" s="1903"/>
      <c r="BS391" s="1903"/>
      <c r="BT391" s="1903"/>
      <c r="BU391" s="1903"/>
      <c r="BV391" s="1903"/>
      <c r="BW391" s="1903"/>
      <c r="BX391" s="1903"/>
      <c r="BY391" s="1903"/>
      <c r="BZ391" s="1903"/>
      <c r="CA391" s="1903"/>
      <c r="CB391" s="1903"/>
      <c r="CC391" s="1903"/>
      <c r="CD391" s="1903"/>
      <c r="CE391" s="1903"/>
      <c r="CF391" s="1903"/>
      <c r="CG391" s="1903"/>
      <c r="CH391" s="1903"/>
      <c r="CI391" s="1903"/>
      <c r="CJ391" s="1903"/>
      <c r="CK391" s="1903"/>
      <c r="CL391" s="1903"/>
      <c r="CM391" s="1903"/>
      <c r="CN391" s="1903"/>
      <c r="CO391" s="1903"/>
      <c r="CP391" s="1903"/>
      <c r="CQ391" s="1903"/>
      <c r="CR391" s="1903"/>
      <c r="CS391" s="1903"/>
      <c r="CT391" s="1903"/>
      <c r="CU391" s="1903"/>
      <c r="CV391" s="1903"/>
      <c r="CW391" s="1903"/>
      <c r="CX391" s="1903"/>
      <c r="CY391" s="1903"/>
      <c r="CZ391" s="1903"/>
      <c r="DA391" s="1903"/>
      <c r="DB391" s="1903"/>
      <c r="DC391" s="1903"/>
      <c r="DD391" s="1903"/>
      <c r="DE391" s="1903"/>
      <c r="DF391" s="1903"/>
      <c r="DG391" s="1903"/>
      <c r="DH391" s="1903"/>
      <c r="DI391" s="1903"/>
      <c r="DJ391" s="1903"/>
      <c r="DK391" s="1903"/>
      <c r="DL391" s="1903"/>
      <c r="DM391" s="1903"/>
      <c r="DN391" s="1903"/>
      <c r="DO391" s="1903"/>
      <c r="DP391" s="1903"/>
      <c r="DQ391" s="1903"/>
      <c r="DR391" s="1903"/>
      <c r="DS391" s="1903"/>
      <c r="DT391" s="1903"/>
      <c r="DU391" s="1903"/>
      <c r="DV391" s="1903"/>
      <c r="DW391" s="1903"/>
      <c r="DX391" s="1903"/>
      <c r="DY391" s="1903"/>
      <c r="DZ391" s="1903"/>
      <c r="EA391" s="1903"/>
      <c r="EB391" s="1903"/>
      <c r="EC391" s="1903"/>
      <c r="ED391" s="1903"/>
      <c r="EE391" s="1903"/>
      <c r="EF391" s="1903"/>
      <c r="EG391" s="1903"/>
      <c r="EH391" s="1903"/>
      <c r="EI391" s="1903"/>
      <c r="EJ391" s="1903"/>
      <c r="EK391" s="1903"/>
      <c r="EL391" s="1903"/>
      <c r="EM391" s="1903"/>
      <c r="EN391" s="1903"/>
      <c r="EO391" s="1903"/>
      <c r="EP391" s="1903"/>
      <c r="EQ391" s="1903"/>
      <c r="ER391" s="1903"/>
      <c r="ES391" s="1903"/>
      <c r="ET391" s="1903"/>
      <c r="EU391" s="1903"/>
      <c r="EV391" s="1903"/>
      <c r="EW391" s="1903"/>
      <c r="EX391" s="1903"/>
      <c r="EY391" s="1903"/>
      <c r="EZ391" s="1903"/>
      <c r="FA391" s="1903"/>
      <c r="FB391" s="1903"/>
      <c r="FC391" s="1903"/>
      <c r="FD391" s="1903"/>
      <c r="FE391" s="1903"/>
      <c r="FF391" s="1903"/>
      <c r="FG391" s="1903"/>
      <c r="FH391" s="1903"/>
      <c r="FI391" s="1903"/>
      <c r="FJ391" s="1903"/>
      <c r="FK391" s="1903"/>
      <c r="FL391" s="1903"/>
      <c r="FM391" s="1903"/>
      <c r="FN391" s="1903"/>
      <c r="FO391" s="1903"/>
      <c r="FP391" s="1903"/>
      <c r="FQ391" s="1903"/>
      <c r="FR391" s="1903"/>
      <c r="FS391" s="1903"/>
      <c r="FT391" s="1903"/>
      <c r="FU391" s="1903"/>
      <c r="FV391" s="1903"/>
      <c r="FW391" s="1903"/>
      <c r="FX391" s="1903"/>
      <c r="FY391" s="1903"/>
      <c r="FZ391" s="1903"/>
      <c r="GA391" s="1903"/>
      <c r="GB391" s="1903"/>
      <c r="GC391" s="1903"/>
      <c r="GD391" s="1903"/>
      <c r="GE391" s="1903"/>
      <c r="GF391" s="1903"/>
      <c r="GG391" s="1903"/>
      <c r="GH391" s="1903"/>
      <c r="GI391" s="1903"/>
      <c r="GJ391" s="1903"/>
      <c r="GK391" s="1903"/>
      <c r="GL391" s="1903"/>
      <c r="GM391" s="1903"/>
      <c r="GN391" s="1903"/>
      <c r="GO391" s="1903"/>
      <c r="GP391" s="1903"/>
      <c r="GQ391" s="1903"/>
      <c r="GR391" s="1903"/>
      <c r="GS391" s="1903"/>
      <c r="GT391" s="1903"/>
      <c r="GU391" s="1903"/>
      <c r="GV391" s="1903"/>
      <c r="GW391" s="1903"/>
      <c r="GX391" s="1903"/>
      <c r="GY391" s="1903"/>
      <c r="GZ391" s="1903"/>
      <c r="HA391" s="1903"/>
      <c r="HB391" s="1903"/>
      <c r="HC391" s="1903"/>
      <c r="HD391" s="1903"/>
      <c r="HE391" s="1903"/>
      <c r="HF391" s="1903"/>
      <c r="HG391" s="1903"/>
      <c r="HH391" s="1903"/>
      <c r="HI391" s="1903"/>
      <c r="HJ391" s="1903"/>
      <c r="HK391" s="1903"/>
      <c r="HL391" s="1903"/>
      <c r="HM391" s="1903"/>
      <c r="HN391" s="1903"/>
      <c r="HO391" s="1903"/>
      <c r="HP391" s="1903"/>
      <c r="HQ391" s="1903"/>
      <c r="HR391" s="1903"/>
      <c r="HS391" s="1903"/>
      <c r="HT391" s="1903"/>
      <c r="HU391" s="1903"/>
      <c r="HV391" s="1903"/>
      <c r="HW391" s="1903"/>
      <c r="HX391" s="1903"/>
      <c r="HY391" s="1903"/>
      <c r="HZ391" s="1903"/>
      <c r="IA391" s="1903"/>
      <c r="IB391" s="1903"/>
      <c r="IC391" s="1903"/>
      <c r="ID391" s="1903"/>
      <c r="IE391" s="1903"/>
      <c r="IF391" s="1903"/>
      <c r="IG391" s="1903"/>
      <c r="IH391" s="1903"/>
      <c r="II391" s="1903"/>
      <c r="IJ391" s="1903"/>
      <c r="IK391" s="1903"/>
      <c r="IL391" s="1903"/>
      <c r="IM391" s="1903"/>
      <c r="IN391" s="1903"/>
      <c r="IO391" s="1903"/>
      <c r="IP391" s="1903"/>
      <c r="IQ391" s="1903"/>
      <c r="IR391" s="1903"/>
      <c r="IS391" s="1903"/>
      <c r="IT391" s="1903"/>
      <c r="IU391" s="1903"/>
      <c r="IV391" s="1903"/>
    </row>
    <row r="392" spans="1:256" s="1904" customFormat="1" ht="40.5" customHeight="1">
      <c r="A392" s="1898"/>
      <c r="B392" s="1899"/>
      <c r="C392" s="1899"/>
      <c r="D392" s="342" t="s">
        <v>2872</v>
      </c>
      <c r="E392" s="1899"/>
      <c r="F392" s="1900"/>
      <c r="G392" s="1901"/>
      <c r="H392" s="1901"/>
      <c r="I392" s="1999"/>
      <c r="AP392" s="1291"/>
      <c r="AQ392" s="1291"/>
      <c r="AR392" s="1903"/>
      <c r="AS392" s="1903"/>
      <c r="AT392" s="1903"/>
      <c r="AU392" s="1903"/>
      <c r="AV392" s="1903"/>
      <c r="AW392" s="1903"/>
      <c r="AX392" s="1903"/>
      <c r="AY392" s="1903"/>
      <c r="AZ392" s="1903"/>
      <c r="BA392" s="1903"/>
      <c r="BB392" s="1903"/>
      <c r="BC392" s="1903"/>
      <c r="BD392" s="1903"/>
      <c r="BE392" s="1903"/>
      <c r="BF392" s="1903"/>
      <c r="BG392" s="1903"/>
      <c r="BH392" s="1903"/>
      <c r="BI392" s="1903"/>
      <c r="BJ392" s="1903"/>
      <c r="BK392" s="1903"/>
      <c r="BL392" s="1903"/>
      <c r="BM392" s="1903"/>
      <c r="BN392" s="1903"/>
      <c r="BO392" s="1903"/>
      <c r="BP392" s="1903"/>
      <c r="BQ392" s="1903"/>
      <c r="BR392" s="1903"/>
      <c r="BS392" s="1903"/>
      <c r="BT392" s="1903"/>
      <c r="BU392" s="1903"/>
      <c r="BV392" s="1903"/>
      <c r="BW392" s="1903"/>
      <c r="BX392" s="1903"/>
      <c r="BY392" s="1903"/>
      <c r="BZ392" s="1903"/>
      <c r="CA392" s="1903"/>
      <c r="CB392" s="1903"/>
      <c r="CC392" s="1903"/>
      <c r="CD392" s="1903"/>
      <c r="CE392" s="1903"/>
      <c r="CF392" s="1903"/>
      <c r="CG392" s="1903"/>
      <c r="CH392" s="1903"/>
      <c r="CI392" s="1903"/>
      <c r="CJ392" s="1903"/>
      <c r="CK392" s="1903"/>
      <c r="CL392" s="1903"/>
      <c r="CM392" s="1903"/>
      <c r="CN392" s="1903"/>
      <c r="CO392" s="1903"/>
      <c r="CP392" s="1903"/>
      <c r="CQ392" s="1903"/>
      <c r="CR392" s="1903"/>
      <c r="CS392" s="1903"/>
      <c r="CT392" s="1903"/>
      <c r="CU392" s="1903"/>
      <c r="CV392" s="1903"/>
      <c r="CW392" s="1903"/>
      <c r="CX392" s="1903"/>
      <c r="CY392" s="1903"/>
      <c r="CZ392" s="1903"/>
      <c r="DA392" s="1903"/>
      <c r="DB392" s="1903"/>
      <c r="DC392" s="1903"/>
      <c r="DD392" s="1903"/>
      <c r="DE392" s="1903"/>
      <c r="DF392" s="1903"/>
      <c r="DG392" s="1903"/>
      <c r="DH392" s="1903"/>
      <c r="DI392" s="1903"/>
      <c r="DJ392" s="1903"/>
      <c r="DK392" s="1903"/>
      <c r="DL392" s="1903"/>
      <c r="DM392" s="1903"/>
      <c r="DN392" s="1903"/>
      <c r="DO392" s="1903"/>
      <c r="DP392" s="1903"/>
      <c r="DQ392" s="1903"/>
      <c r="DR392" s="1903"/>
      <c r="DS392" s="1903"/>
      <c r="DT392" s="1903"/>
      <c r="DU392" s="1903"/>
      <c r="DV392" s="1903"/>
      <c r="DW392" s="1903"/>
      <c r="DX392" s="1903"/>
      <c r="DY392" s="1903"/>
      <c r="DZ392" s="1903"/>
      <c r="EA392" s="1903"/>
      <c r="EB392" s="1903"/>
      <c r="EC392" s="1903"/>
      <c r="ED392" s="1903"/>
      <c r="EE392" s="1903"/>
      <c r="EF392" s="1903"/>
      <c r="EG392" s="1903"/>
      <c r="EH392" s="1903"/>
      <c r="EI392" s="1903"/>
      <c r="EJ392" s="1903"/>
      <c r="EK392" s="1903"/>
      <c r="EL392" s="1903"/>
      <c r="EM392" s="1903"/>
      <c r="EN392" s="1903"/>
      <c r="EO392" s="1903"/>
      <c r="EP392" s="1903"/>
      <c r="EQ392" s="1903"/>
      <c r="ER392" s="1903"/>
      <c r="ES392" s="1903"/>
      <c r="ET392" s="1903"/>
      <c r="EU392" s="1903"/>
      <c r="EV392" s="1903"/>
      <c r="EW392" s="1903"/>
      <c r="EX392" s="1903"/>
      <c r="EY392" s="1903"/>
      <c r="EZ392" s="1903"/>
      <c r="FA392" s="1903"/>
      <c r="FB392" s="1903"/>
      <c r="FC392" s="1903"/>
      <c r="FD392" s="1903"/>
      <c r="FE392" s="1903"/>
      <c r="FF392" s="1903"/>
      <c r="FG392" s="1903"/>
      <c r="FH392" s="1903"/>
      <c r="FI392" s="1903"/>
      <c r="FJ392" s="1903"/>
      <c r="FK392" s="1903"/>
      <c r="FL392" s="1903"/>
      <c r="FM392" s="1903"/>
      <c r="FN392" s="1903"/>
      <c r="FO392" s="1903"/>
      <c r="FP392" s="1903"/>
      <c r="FQ392" s="1903"/>
      <c r="FR392" s="1903"/>
      <c r="FS392" s="1903"/>
      <c r="FT392" s="1903"/>
      <c r="FU392" s="1903"/>
      <c r="FV392" s="1903"/>
      <c r="FW392" s="1903"/>
      <c r="FX392" s="1903"/>
      <c r="FY392" s="1903"/>
      <c r="FZ392" s="1903"/>
      <c r="GA392" s="1903"/>
      <c r="GB392" s="1903"/>
      <c r="GC392" s="1903"/>
      <c r="GD392" s="1903"/>
      <c r="GE392" s="1903"/>
      <c r="GF392" s="1903"/>
      <c r="GG392" s="1903"/>
      <c r="GH392" s="1903"/>
      <c r="GI392" s="1903"/>
      <c r="GJ392" s="1903"/>
      <c r="GK392" s="1903"/>
      <c r="GL392" s="1903"/>
      <c r="GM392" s="1903"/>
      <c r="GN392" s="1903"/>
      <c r="GO392" s="1903"/>
      <c r="GP392" s="1903"/>
      <c r="GQ392" s="1903"/>
      <c r="GR392" s="1903"/>
      <c r="GS392" s="1903"/>
      <c r="GT392" s="1903"/>
      <c r="GU392" s="1903"/>
      <c r="GV392" s="1903"/>
      <c r="GW392" s="1903"/>
      <c r="GX392" s="1903"/>
      <c r="GY392" s="1903"/>
      <c r="GZ392" s="1903"/>
      <c r="HA392" s="1903"/>
      <c r="HB392" s="1903"/>
      <c r="HC392" s="1903"/>
      <c r="HD392" s="1903"/>
      <c r="HE392" s="1903"/>
      <c r="HF392" s="1903"/>
      <c r="HG392" s="1903"/>
      <c r="HH392" s="1903"/>
      <c r="HI392" s="1903"/>
      <c r="HJ392" s="1903"/>
      <c r="HK392" s="1903"/>
      <c r="HL392" s="1903"/>
      <c r="HM392" s="1903"/>
      <c r="HN392" s="1903"/>
      <c r="HO392" s="1903"/>
      <c r="HP392" s="1903"/>
      <c r="HQ392" s="1903"/>
      <c r="HR392" s="1903"/>
      <c r="HS392" s="1903"/>
      <c r="HT392" s="1903"/>
      <c r="HU392" s="1903"/>
      <c r="HV392" s="1903"/>
      <c r="HW392" s="1903"/>
      <c r="HX392" s="1903"/>
      <c r="HY392" s="1903"/>
      <c r="HZ392" s="1903"/>
      <c r="IA392" s="1903"/>
      <c r="IB392" s="1903"/>
      <c r="IC392" s="1903"/>
      <c r="ID392" s="1903"/>
      <c r="IE392" s="1903"/>
      <c r="IF392" s="1903"/>
      <c r="IG392" s="1903"/>
      <c r="IH392" s="1903"/>
      <c r="II392" s="1903"/>
      <c r="IJ392" s="1903"/>
      <c r="IK392" s="1903"/>
      <c r="IL392" s="1903"/>
      <c r="IM392" s="1903"/>
      <c r="IN392" s="1903"/>
      <c r="IO392" s="1903"/>
      <c r="IP392" s="1903"/>
      <c r="IQ392" s="1903"/>
      <c r="IR392" s="1903"/>
      <c r="IS392" s="1903"/>
      <c r="IT392" s="1903"/>
      <c r="IU392" s="1903"/>
      <c r="IV392" s="1903"/>
    </row>
    <row r="393" spans="1:256" s="1990" customFormat="1" ht="13.5" customHeight="1">
      <c r="A393" s="1910">
        <v>92</v>
      </c>
      <c r="B393" s="1991" t="s">
        <v>2048</v>
      </c>
      <c r="C393" s="1325" t="s">
        <v>2875</v>
      </c>
      <c r="D393" s="1985" t="s">
        <v>2876</v>
      </c>
      <c r="E393" s="1985" t="s">
        <v>210</v>
      </c>
      <c r="F393" s="1327">
        <f>SUM(F395:F395)</f>
        <v>1</v>
      </c>
      <c r="G393" s="1992"/>
      <c r="H393" s="1992">
        <f>F393*G393</f>
        <v>0</v>
      </c>
      <c r="I393" s="1993" t="s">
        <v>112</v>
      </c>
      <c r="J393" s="1994"/>
      <c r="K393" s="1994"/>
      <c r="O393" s="1995"/>
      <c r="P393" s="1994"/>
      <c r="Q393" s="1928"/>
      <c r="X393" s="1994"/>
      <c r="Y393" s="1994"/>
      <c r="Z393" s="1291"/>
      <c r="AA393" s="1291"/>
      <c r="AB393" s="1291"/>
      <c r="AC393" s="1291"/>
      <c r="AD393" s="1291"/>
      <c r="AE393" s="1291"/>
      <c r="AF393" s="1291"/>
      <c r="AG393" s="1291"/>
      <c r="AH393" s="1996"/>
    </row>
    <row r="394" spans="1:256" s="1990" customFormat="1" ht="13.5" customHeight="1">
      <c r="A394" s="1890"/>
      <c r="B394" s="1891"/>
      <c r="C394" s="342"/>
      <c r="D394" s="342" t="s">
        <v>2871</v>
      </c>
      <c r="E394" s="342"/>
      <c r="F394" s="1997"/>
      <c r="G394" s="1893"/>
      <c r="H394" s="1893"/>
      <c r="I394" s="1998"/>
      <c r="J394" s="1994"/>
      <c r="K394" s="1994"/>
      <c r="L394" s="1291"/>
      <c r="M394" s="1291"/>
      <c r="N394" s="1291"/>
      <c r="O394" s="1291"/>
      <c r="P394" s="1291"/>
      <c r="Q394" s="1291"/>
      <c r="R394" s="1291"/>
      <c r="S394" s="1291"/>
      <c r="T394" s="1291"/>
      <c r="U394" s="1291"/>
      <c r="V394" s="1602"/>
      <c r="W394" s="1291"/>
      <c r="X394" s="1994"/>
      <c r="Y394" s="1994"/>
      <c r="Z394" s="1291"/>
      <c r="AA394" s="1291"/>
      <c r="AB394" s="1291"/>
      <c r="AC394" s="1291"/>
      <c r="AD394" s="1291"/>
      <c r="AE394" s="1291"/>
      <c r="AF394" s="1291"/>
      <c r="AG394" s="1291"/>
      <c r="AH394" s="1291"/>
    </row>
    <row r="395" spans="1:256" s="1904" customFormat="1" ht="13.5" customHeight="1">
      <c r="A395" s="1898"/>
      <c r="B395" s="1899"/>
      <c r="C395" s="1899"/>
      <c r="D395" s="1899" t="s">
        <v>2686</v>
      </c>
      <c r="E395" s="1899"/>
      <c r="F395" s="1900">
        <v>1</v>
      </c>
      <c r="G395" s="1901"/>
      <c r="H395" s="1901"/>
      <c r="I395" s="1905"/>
      <c r="K395" s="1291"/>
      <c r="L395" s="1291"/>
      <c r="M395" s="1291"/>
      <c r="N395" s="1291"/>
      <c r="O395" s="1291"/>
      <c r="P395" s="1291"/>
      <c r="Q395" s="1291"/>
      <c r="R395" s="1291"/>
      <c r="S395" s="1291"/>
      <c r="T395" s="1291"/>
      <c r="U395" s="1291"/>
      <c r="V395" s="1291"/>
      <c r="W395" s="1291"/>
      <c r="X395" s="1291"/>
      <c r="Y395" s="1291"/>
      <c r="Z395" s="1291"/>
      <c r="AA395" s="1291"/>
      <c r="AB395" s="1291"/>
      <c r="AC395" s="1291"/>
      <c r="AD395" s="1291"/>
      <c r="AE395" s="1291"/>
      <c r="AF395" s="1291"/>
      <c r="AG395" s="1291"/>
      <c r="AH395" s="1291"/>
      <c r="AI395" s="1291"/>
      <c r="AJ395" s="1291"/>
      <c r="AK395" s="1291"/>
      <c r="AL395" s="1291"/>
      <c r="AM395" s="1291"/>
      <c r="AN395" s="1291"/>
      <c r="AO395" s="1291"/>
      <c r="AP395" s="1291"/>
      <c r="AQ395" s="1291"/>
      <c r="AR395" s="1903"/>
      <c r="AS395" s="1903"/>
      <c r="AT395" s="1903"/>
      <c r="AU395" s="1903"/>
      <c r="AV395" s="1903"/>
      <c r="AW395" s="1903"/>
      <c r="AX395" s="1903"/>
      <c r="AY395" s="1903"/>
      <c r="AZ395" s="1903"/>
      <c r="BA395" s="1903"/>
      <c r="BB395" s="1903"/>
      <c r="BC395" s="1903"/>
      <c r="BD395" s="1903"/>
      <c r="BE395" s="1903"/>
      <c r="BF395" s="1903"/>
      <c r="BG395" s="1903"/>
      <c r="BH395" s="1903"/>
      <c r="BI395" s="1903"/>
      <c r="BJ395" s="1903"/>
      <c r="BK395" s="1903"/>
      <c r="BL395" s="1903"/>
      <c r="BM395" s="1903"/>
      <c r="BN395" s="1903"/>
      <c r="BO395" s="1903"/>
      <c r="BP395" s="1903"/>
      <c r="BQ395" s="1903"/>
      <c r="BR395" s="1903"/>
      <c r="BS395" s="1903"/>
      <c r="BT395" s="1903"/>
      <c r="BU395" s="1903"/>
      <c r="BV395" s="1903"/>
      <c r="BW395" s="1903"/>
      <c r="BX395" s="1903"/>
      <c r="BY395" s="1903"/>
      <c r="BZ395" s="1903"/>
      <c r="CA395" s="1903"/>
      <c r="CB395" s="1903"/>
      <c r="CC395" s="1903"/>
      <c r="CD395" s="1903"/>
      <c r="CE395" s="1903"/>
      <c r="CF395" s="1903"/>
      <c r="CG395" s="1903"/>
      <c r="CH395" s="1903"/>
      <c r="CI395" s="1903"/>
      <c r="CJ395" s="1903"/>
      <c r="CK395" s="1903"/>
      <c r="CL395" s="1903"/>
      <c r="CM395" s="1903"/>
      <c r="CN395" s="1903"/>
      <c r="CO395" s="1903"/>
      <c r="CP395" s="1903"/>
      <c r="CQ395" s="1903"/>
      <c r="CR395" s="1903"/>
      <c r="CS395" s="1903"/>
      <c r="CT395" s="1903"/>
      <c r="CU395" s="1903"/>
      <c r="CV395" s="1903"/>
      <c r="CW395" s="1903"/>
      <c r="CX395" s="1903"/>
      <c r="CY395" s="1903"/>
      <c r="CZ395" s="1903"/>
      <c r="DA395" s="1903"/>
      <c r="DB395" s="1903"/>
      <c r="DC395" s="1903"/>
      <c r="DD395" s="1903"/>
      <c r="DE395" s="1903"/>
      <c r="DF395" s="1903"/>
      <c r="DG395" s="1903"/>
      <c r="DH395" s="1903"/>
      <c r="DI395" s="1903"/>
      <c r="DJ395" s="1903"/>
      <c r="DK395" s="1903"/>
      <c r="DL395" s="1903"/>
      <c r="DM395" s="1903"/>
      <c r="DN395" s="1903"/>
      <c r="DO395" s="1903"/>
      <c r="DP395" s="1903"/>
      <c r="DQ395" s="1903"/>
      <c r="DR395" s="1903"/>
      <c r="DS395" s="1903"/>
      <c r="DT395" s="1903"/>
      <c r="DU395" s="1903"/>
      <c r="DV395" s="1903"/>
      <c r="DW395" s="1903"/>
      <c r="DX395" s="1903"/>
      <c r="DY395" s="1903"/>
      <c r="DZ395" s="1903"/>
      <c r="EA395" s="1903"/>
      <c r="EB395" s="1903"/>
      <c r="EC395" s="1903"/>
      <c r="ED395" s="1903"/>
      <c r="EE395" s="1903"/>
      <c r="EF395" s="1903"/>
      <c r="EG395" s="1903"/>
      <c r="EH395" s="1903"/>
      <c r="EI395" s="1903"/>
      <c r="EJ395" s="1903"/>
      <c r="EK395" s="1903"/>
      <c r="EL395" s="1903"/>
      <c r="EM395" s="1903"/>
      <c r="EN395" s="1903"/>
      <c r="EO395" s="1903"/>
      <c r="EP395" s="1903"/>
      <c r="EQ395" s="1903"/>
      <c r="ER395" s="1903"/>
      <c r="ES395" s="1903"/>
      <c r="ET395" s="1903"/>
      <c r="EU395" s="1903"/>
      <c r="EV395" s="1903"/>
      <c r="EW395" s="1903"/>
      <c r="EX395" s="1903"/>
      <c r="EY395" s="1903"/>
      <c r="EZ395" s="1903"/>
      <c r="FA395" s="1903"/>
      <c r="FB395" s="1903"/>
      <c r="FC395" s="1903"/>
      <c r="FD395" s="1903"/>
      <c r="FE395" s="1903"/>
      <c r="FF395" s="1903"/>
      <c r="FG395" s="1903"/>
      <c r="FH395" s="1903"/>
      <c r="FI395" s="1903"/>
      <c r="FJ395" s="1903"/>
      <c r="FK395" s="1903"/>
      <c r="FL395" s="1903"/>
      <c r="FM395" s="1903"/>
      <c r="FN395" s="1903"/>
      <c r="FO395" s="1903"/>
      <c r="FP395" s="1903"/>
      <c r="FQ395" s="1903"/>
      <c r="FR395" s="1903"/>
      <c r="FS395" s="1903"/>
      <c r="FT395" s="1903"/>
      <c r="FU395" s="1903"/>
      <c r="FV395" s="1903"/>
      <c r="FW395" s="1903"/>
      <c r="FX395" s="1903"/>
      <c r="FY395" s="1903"/>
      <c r="FZ395" s="1903"/>
      <c r="GA395" s="1903"/>
      <c r="GB395" s="1903"/>
      <c r="GC395" s="1903"/>
      <c r="GD395" s="1903"/>
      <c r="GE395" s="1903"/>
      <c r="GF395" s="1903"/>
      <c r="GG395" s="1903"/>
      <c r="GH395" s="1903"/>
      <c r="GI395" s="1903"/>
      <c r="GJ395" s="1903"/>
      <c r="GK395" s="1903"/>
      <c r="GL395" s="1903"/>
      <c r="GM395" s="1903"/>
      <c r="GN395" s="1903"/>
      <c r="GO395" s="1903"/>
      <c r="GP395" s="1903"/>
      <c r="GQ395" s="1903"/>
      <c r="GR395" s="1903"/>
      <c r="GS395" s="1903"/>
      <c r="GT395" s="1903"/>
      <c r="GU395" s="1903"/>
      <c r="GV395" s="1903"/>
      <c r="GW395" s="1903"/>
      <c r="GX395" s="1903"/>
      <c r="GY395" s="1903"/>
      <c r="GZ395" s="1903"/>
      <c r="HA395" s="1903"/>
      <c r="HB395" s="1903"/>
      <c r="HC395" s="1903"/>
      <c r="HD395" s="1903"/>
      <c r="HE395" s="1903"/>
      <c r="HF395" s="1903"/>
      <c r="HG395" s="1903"/>
      <c r="HH395" s="1903"/>
      <c r="HI395" s="1903"/>
      <c r="HJ395" s="1903"/>
      <c r="HK395" s="1903"/>
      <c r="HL395" s="1903"/>
      <c r="HM395" s="1903"/>
      <c r="HN395" s="1903"/>
      <c r="HO395" s="1903"/>
      <c r="HP395" s="1903"/>
      <c r="HQ395" s="1903"/>
      <c r="HR395" s="1903"/>
      <c r="HS395" s="1903"/>
      <c r="HT395" s="1903"/>
      <c r="HU395" s="1903"/>
      <c r="HV395" s="1903"/>
      <c r="HW395" s="1903"/>
      <c r="HX395" s="1903"/>
      <c r="HY395" s="1903"/>
      <c r="HZ395" s="1903"/>
      <c r="IA395" s="1903"/>
      <c r="IB395" s="1903"/>
      <c r="IC395" s="1903"/>
      <c r="ID395" s="1903"/>
      <c r="IE395" s="1903"/>
      <c r="IF395" s="1903"/>
      <c r="IG395" s="1903"/>
      <c r="IH395" s="1903"/>
      <c r="II395" s="1903"/>
      <c r="IJ395" s="1903"/>
      <c r="IK395" s="1903"/>
      <c r="IL395" s="1903"/>
      <c r="IM395" s="1903"/>
      <c r="IN395" s="1903"/>
      <c r="IO395" s="1903"/>
      <c r="IP395" s="1903"/>
      <c r="IQ395" s="1903"/>
      <c r="IR395" s="1903"/>
      <c r="IS395" s="1903"/>
      <c r="IT395" s="1903"/>
      <c r="IU395" s="1903"/>
      <c r="IV395" s="1903"/>
    </row>
    <row r="396" spans="1:256" s="1904" customFormat="1" ht="40.5" customHeight="1">
      <c r="A396" s="1898"/>
      <c r="B396" s="1899"/>
      <c r="C396" s="1899"/>
      <c r="D396" s="342" t="s">
        <v>2872</v>
      </c>
      <c r="E396" s="1899"/>
      <c r="F396" s="1900"/>
      <c r="G396" s="1901"/>
      <c r="H396" s="1901"/>
      <c r="I396" s="1999"/>
      <c r="AP396" s="1291"/>
      <c r="AQ396" s="1291"/>
      <c r="AR396" s="1903"/>
      <c r="AS396" s="1903"/>
      <c r="AT396" s="1903"/>
      <c r="AU396" s="1903"/>
      <c r="AV396" s="1903"/>
      <c r="AW396" s="1903"/>
      <c r="AX396" s="1903"/>
      <c r="AY396" s="1903"/>
      <c r="AZ396" s="1903"/>
      <c r="BA396" s="1903"/>
      <c r="BB396" s="1903"/>
      <c r="BC396" s="1903"/>
      <c r="BD396" s="1903"/>
      <c r="BE396" s="1903"/>
      <c r="BF396" s="1903"/>
      <c r="BG396" s="1903"/>
      <c r="BH396" s="1903"/>
      <c r="BI396" s="1903"/>
      <c r="BJ396" s="1903"/>
      <c r="BK396" s="1903"/>
      <c r="BL396" s="1903"/>
      <c r="BM396" s="1903"/>
      <c r="BN396" s="1903"/>
      <c r="BO396" s="1903"/>
      <c r="BP396" s="1903"/>
      <c r="BQ396" s="1903"/>
      <c r="BR396" s="1903"/>
      <c r="BS396" s="1903"/>
      <c r="BT396" s="1903"/>
      <c r="BU396" s="1903"/>
      <c r="BV396" s="1903"/>
      <c r="BW396" s="1903"/>
      <c r="BX396" s="1903"/>
      <c r="BY396" s="1903"/>
      <c r="BZ396" s="1903"/>
      <c r="CA396" s="1903"/>
      <c r="CB396" s="1903"/>
      <c r="CC396" s="1903"/>
      <c r="CD396" s="1903"/>
      <c r="CE396" s="1903"/>
      <c r="CF396" s="1903"/>
      <c r="CG396" s="1903"/>
      <c r="CH396" s="1903"/>
      <c r="CI396" s="1903"/>
      <c r="CJ396" s="1903"/>
      <c r="CK396" s="1903"/>
      <c r="CL396" s="1903"/>
      <c r="CM396" s="1903"/>
      <c r="CN396" s="1903"/>
      <c r="CO396" s="1903"/>
      <c r="CP396" s="1903"/>
      <c r="CQ396" s="1903"/>
      <c r="CR396" s="1903"/>
      <c r="CS396" s="1903"/>
      <c r="CT396" s="1903"/>
      <c r="CU396" s="1903"/>
      <c r="CV396" s="1903"/>
      <c r="CW396" s="1903"/>
      <c r="CX396" s="1903"/>
      <c r="CY396" s="1903"/>
      <c r="CZ396" s="1903"/>
      <c r="DA396" s="1903"/>
      <c r="DB396" s="1903"/>
      <c r="DC396" s="1903"/>
      <c r="DD396" s="1903"/>
      <c r="DE396" s="1903"/>
      <c r="DF396" s="1903"/>
      <c r="DG396" s="1903"/>
      <c r="DH396" s="1903"/>
      <c r="DI396" s="1903"/>
      <c r="DJ396" s="1903"/>
      <c r="DK396" s="1903"/>
      <c r="DL396" s="1903"/>
      <c r="DM396" s="1903"/>
      <c r="DN396" s="1903"/>
      <c r="DO396" s="1903"/>
      <c r="DP396" s="1903"/>
      <c r="DQ396" s="1903"/>
      <c r="DR396" s="1903"/>
      <c r="DS396" s="1903"/>
      <c r="DT396" s="1903"/>
      <c r="DU396" s="1903"/>
      <c r="DV396" s="1903"/>
      <c r="DW396" s="1903"/>
      <c r="DX396" s="1903"/>
      <c r="DY396" s="1903"/>
      <c r="DZ396" s="1903"/>
      <c r="EA396" s="1903"/>
      <c r="EB396" s="1903"/>
      <c r="EC396" s="1903"/>
      <c r="ED396" s="1903"/>
      <c r="EE396" s="1903"/>
      <c r="EF396" s="1903"/>
      <c r="EG396" s="1903"/>
      <c r="EH396" s="1903"/>
      <c r="EI396" s="1903"/>
      <c r="EJ396" s="1903"/>
      <c r="EK396" s="1903"/>
      <c r="EL396" s="1903"/>
      <c r="EM396" s="1903"/>
      <c r="EN396" s="1903"/>
      <c r="EO396" s="1903"/>
      <c r="EP396" s="1903"/>
      <c r="EQ396" s="1903"/>
      <c r="ER396" s="1903"/>
      <c r="ES396" s="1903"/>
      <c r="ET396" s="1903"/>
      <c r="EU396" s="1903"/>
      <c r="EV396" s="1903"/>
      <c r="EW396" s="1903"/>
      <c r="EX396" s="1903"/>
      <c r="EY396" s="1903"/>
      <c r="EZ396" s="1903"/>
      <c r="FA396" s="1903"/>
      <c r="FB396" s="1903"/>
      <c r="FC396" s="1903"/>
      <c r="FD396" s="1903"/>
      <c r="FE396" s="1903"/>
      <c r="FF396" s="1903"/>
      <c r="FG396" s="1903"/>
      <c r="FH396" s="1903"/>
      <c r="FI396" s="1903"/>
      <c r="FJ396" s="1903"/>
      <c r="FK396" s="1903"/>
      <c r="FL396" s="1903"/>
      <c r="FM396" s="1903"/>
      <c r="FN396" s="1903"/>
      <c r="FO396" s="1903"/>
      <c r="FP396" s="1903"/>
      <c r="FQ396" s="1903"/>
      <c r="FR396" s="1903"/>
      <c r="FS396" s="1903"/>
      <c r="FT396" s="1903"/>
      <c r="FU396" s="1903"/>
      <c r="FV396" s="1903"/>
      <c r="FW396" s="1903"/>
      <c r="FX396" s="1903"/>
      <c r="FY396" s="1903"/>
      <c r="FZ396" s="1903"/>
      <c r="GA396" s="1903"/>
      <c r="GB396" s="1903"/>
      <c r="GC396" s="1903"/>
      <c r="GD396" s="1903"/>
      <c r="GE396" s="1903"/>
      <c r="GF396" s="1903"/>
      <c r="GG396" s="1903"/>
      <c r="GH396" s="1903"/>
      <c r="GI396" s="1903"/>
      <c r="GJ396" s="1903"/>
      <c r="GK396" s="1903"/>
      <c r="GL396" s="1903"/>
      <c r="GM396" s="1903"/>
      <c r="GN396" s="1903"/>
      <c r="GO396" s="1903"/>
      <c r="GP396" s="1903"/>
      <c r="GQ396" s="1903"/>
      <c r="GR396" s="1903"/>
      <c r="GS396" s="1903"/>
      <c r="GT396" s="1903"/>
      <c r="GU396" s="1903"/>
      <c r="GV396" s="1903"/>
      <c r="GW396" s="1903"/>
      <c r="GX396" s="1903"/>
      <c r="GY396" s="1903"/>
      <c r="GZ396" s="1903"/>
      <c r="HA396" s="1903"/>
      <c r="HB396" s="1903"/>
      <c r="HC396" s="1903"/>
      <c r="HD396" s="1903"/>
      <c r="HE396" s="1903"/>
      <c r="HF396" s="1903"/>
      <c r="HG396" s="1903"/>
      <c r="HH396" s="1903"/>
      <c r="HI396" s="1903"/>
      <c r="HJ396" s="1903"/>
      <c r="HK396" s="1903"/>
      <c r="HL396" s="1903"/>
      <c r="HM396" s="1903"/>
      <c r="HN396" s="1903"/>
      <c r="HO396" s="1903"/>
      <c r="HP396" s="1903"/>
      <c r="HQ396" s="1903"/>
      <c r="HR396" s="1903"/>
      <c r="HS396" s="1903"/>
      <c r="HT396" s="1903"/>
      <c r="HU396" s="1903"/>
      <c r="HV396" s="1903"/>
      <c r="HW396" s="1903"/>
      <c r="HX396" s="1903"/>
      <c r="HY396" s="1903"/>
      <c r="HZ396" s="1903"/>
      <c r="IA396" s="1903"/>
      <c r="IB396" s="1903"/>
      <c r="IC396" s="1903"/>
      <c r="ID396" s="1903"/>
      <c r="IE396" s="1903"/>
      <c r="IF396" s="1903"/>
      <c r="IG396" s="1903"/>
      <c r="IH396" s="1903"/>
      <c r="II396" s="1903"/>
      <c r="IJ396" s="1903"/>
      <c r="IK396" s="1903"/>
      <c r="IL396" s="1903"/>
      <c r="IM396" s="1903"/>
      <c r="IN396" s="1903"/>
      <c r="IO396" s="1903"/>
      <c r="IP396" s="1903"/>
      <c r="IQ396" s="1903"/>
      <c r="IR396" s="1903"/>
      <c r="IS396" s="1903"/>
      <c r="IT396" s="1903"/>
      <c r="IU396" s="1903"/>
      <c r="IV396" s="1903"/>
    </row>
    <row r="397" spans="1:256" s="1990" customFormat="1" ht="13.5" customHeight="1">
      <c r="A397" s="1910">
        <v>93</v>
      </c>
      <c r="B397" s="1991" t="s">
        <v>2048</v>
      </c>
      <c r="C397" s="1325" t="s">
        <v>2877</v>
      </c>
      <c r="D397" s="1985" t="s">
        <v>2878</v>
      </c>
      <c r="E397" s="1985" t="s">
        <v>210</v>
      </c>
      <c r="F397" s="1327">
        <f>SUM(F399:F399)</f>
        <v>1</v>
      </c>
      <c r="G397" s="1992"/>
      <c r="H397" s="1992">
        <f>F397*G397</f>
        <v>0</v>
      </c>
      <c r="I397" s="1993" t="s">
        <v>112</v>
      </c>
      <c r="J397" s="1994"/>
      <c r="K397" s="1994"/>
      <c r="O397" s="1995"/>
      <c r="P397" s="1994"/>
      <c r="Q397" s="1928"/>
      <c r="X397" s="1994"/>
      <c r="Y397" s="1994"/>
      <c r="Z397" s="1291"/>
      <c r="AA397" s="1291"/>
      <c r="AB397" s="1291"/>
      <c r="AC397" s="1291"/>
      <c r="AD397" s="1291"/>
      <c r="AE397" s="1291"/>
      <c r="AF397" s="1291"/>
      <c r="AG397" s="1291"/>
      <c r="AH397" s="1996"/>
    </row>
    <row r="398" spans="1:256" s="1990" customFormat="1" ht="13.5" customHeight="1">
      <c r="A398" s="1890"/>
      <c r="B398" s="1891"/>
      <c r="C398" s="342"/>
      <c r="D398" s="342" t="s">
        <v>2871</v>
      </c>
      <c r="E398" s="342"/>
      <c r="F398" s="1997"/>
      <c r="G398" s="1893"/>
      <c r="H398" s="1893"/>
      <c r="I398" s="1998"/>
      <c r="J398" s="1994"/>
      <c r="K398" s="1994"/>
      <c r="L398" s="1291"/>
      <c r="M398" s="1291"/>
      <c r="N398" s="1291"/>
      <c r="O398" s="1291"/>
      <c r="P398" s="1291"/>
      <c r="Q398" s="1291"/>
      <c r="R398" s="1291"/>
      <c r="S398" s="1291"/>
      <c r="T398" s="1291"/>
      <c r="U398" s="1291"/>
      <c r="V398" s="1602"/>
      <c r="W398" s="1291"/>
      <c r="X398" s="1994"/>
      <c r="Y398" s="1994"/>
      <c r="Z398" s="1291"/>
      <c r="AA398" s="1291"/>
      <c r="AB398" s="1291"/>
      <c r="AC398" s="1291"/>
      <c r="AD398" s="1291"/>
      <c r="AE398" s="1291"/>
      <c r="AF398" s="1291"/>
      <c r="AG398" s="1291"/>
      <c r="AH398" s="1291"/>
    </row>
    <row r="399" spans="1:256" s="1904" customFormat="1" ht="13.5" customHeight="1">
      <c r="A399" s="1898"/>
      <c r="B399" s="1899"/>
      <c r="C399" s="1899"/>
      <c r="D399" s="1899" t="s">
        <v>2686</v>
      </c>
      <c r="E399" s="1899"/>
      <c r="F399" s="1900">
        <v>1</v>
      </c>
      <c r="G399" s="1901"/>
      <c r="H399" s="1901"/>
      <c r="I399" s="1905"/>
      <c r="K399" s="1291"/>
      <c r="L399" s="1291"/>
      <c r="M399" s="1291"/>
      <c r="N399" s="1291"/>
      <c r="O399" s="1291"/>
      <c r="P399" s="1291"/>
      <c r="Q399" s="1291"/>
      <c r="R399" s="1291"/>
      <c r="S399" s="1291"/>
      <c r="T399" s="1291"/>
      <c r="U399" s="1291"/>
      <c r="V399" s="1291"/>
      <c r="W399" s="1291"/>
      <c r="X399" s="1291"/>
      <c r="Y399" s="1291"/>
      <c r="Z399" s="1291"/>
      <c r="AA399" s="1291"/>
      <c r="AB399" s="1291"/>
      <c r="AC399" s="1291"/>
      <c r="AD399" s="1291"/>
      <c r="AE399" s="1291"/>
      <c r="AF399" s="1291"/>
      <c r="AG399" s="1291"/>
      <c r="AH399" s="1291"/>
      <c r="AI399" s="1291"/>
      <c r="AJ399" s="1291"/>
      <c r="AK399" s="1291"/>
      <c r="AL399" s="1291"/>
      <c r="AM399" s="1291"/>
      <c r="AN399" s="1291"/>
      <c r="AO399" s="1291"/>
      <c r="AP399" s="1291"/>
      <c r="AQ399" s="1291"/>
      <c r="AR399" s="1903"/>
      <c r="AS399" s="1903"/>
      <c r="AT399" s="1903"/>
      <c r="AU399" s="1903"/>
      <c r="AV399" s="1903"/>
      <c r="AW399" s="1903"/>
      <c r="AX399" s="1903"/>
      <c r="AY399" s="1903"/>
      <c r="AZ399" s="1903"/>
      <c r="BA399" s="1903"/>
      <c r="BB399" s="1903"/>
      <c r="BC399" s="1903"/>
      <c r="BD399" s="1903"/>
      <c r="BE399" s="1903"/>
      <c r="BF399" s="1903"/>
      <c r="BG399" s="1903"/>
      <c r="BH399" s="1903"/>
      <c r="BI399" s="1903"/>
      <c r="BJ399" s="1903"/>
      <c r="BK399" s="1903"/>
      <c r="BL399" s="1903"/>
      <c r="BM399" s="1903"/>
      <c r="BN399" s="1903"/>
      <c r="BO399" s="1903"/>
      <c r="BP399" s="1903"/>
      <c r="BQ399" s="1903"/>
      <c r="BR399" s="1903"/>
      <c r="BS399" s="1903"/>
      <c r="BT399" s="1903"/>
      <c r="BU399" s="1903"/>
      <c r="BV399" s="1903"/>
      <c r="BW399" s="1903"/>
      <c r="BX399" s="1903"/>
      <c r="BY399" s="1903"/>
      <c r="BZ399" s="1903"/>
      <c r="CA399" s="1903"/>
      <c r="CB399" s="1903"/>
      <c r="CC399" s="1903"/>
      <c r="CD399" s="1903"/>
      <c r="CE399" s="1903"/>
      <c r="CF399" s="1903"/>
      <c r="CG399" s="1903"/>
      <c r="CH399" s="1903"/>
      <c r="CI399" s="1903"/>
      <c r="CJ399" s="1903"/>
      <c r="CK399" s="1903"/>
      <c r="CL399" s="1903"/>
      <c r="CM399" s="1903"/>
      <c r="CN399" s="1903"/>
      <c r="CO399" s="1903"/>
      <c r="CP399" s="1903"/>
      <c r="CQ399" s="1903"/>
      <c r="CR399" s="1903"/>
      <c r="CS399" s="1903"/>
      <c r="CT399" s="1903"/>
      <c r="CU399" s="1903"/>
      <c r="CV399" s="1903"/>
      <c r="CW399" s="1903"/>
      <c r="CX399" s="1903"/>
      <c r="CY399" s="1903"/>
      <c r="CZ399" s="1903"/>
      <c r="DA399" s="1903"/>
      <c r="DB399" s="1903"/>
      <c r="DC399" s="1903"/>
      <c r="DD399" s="1903"/>
      <c r="DE399" s="1903"/>
      <c r="DF399" s="1903"/>
      <c r="DG399" s="1903"/>
      <c r="DH399" s="1903"/>
      <c r="DI399" s="1903"/>
      <c r="DJ399" s="1903"/>
      <c r="DK399" s="1903"/>
      <c r="DL399" s="1903"/>
      <c r="DM399" s="1903"/>
      <c r="DN399" s="1903"/>
      <c r="DO399" s="1903"/>
      <c r="DP399" s="1903"/>
      <c r="DQ399" s="1903"/>
      <c r="DR399" s="1903"/>
      <c r="DS399" s="1903"/>
      <c r="DT399" s="1903"/>
      <c r="DU399" s="1903"/>
      <c r="DV399" s="1903"/>
      <c r="DW399" s="1903"/>
      <c r="DX399" s="1903"/>
      <c r="DY399" s="1903"/>
      <c r="DZ399" s="1903"/>
      <c r="EA399" s="1903"/>
      <c r="EB399" s="1903"/>
      <c r="EC399" s="1903"/>
      <c r="ED399" s="1903"/>
      <c r="EE399" s="1903"/>
      <c r="EF399" s="1903"/>
      <c r="EG399" s="1903"/>
      <c r="EH399" s="1903"/>
      <c r="EI399" s="1903"/>
      <c r="EJ399" s="1903"/>
      <c r="EK399" s="1903"/>
      <c r="EL399" s="1903"/>
      <c r="EM399" s="1903"/>
      <c r="EN399" s="1903"/>
      <c r="EO399" s="1903"/>
      <c r="EP399" s="1903"/>
      <c r="EQ399" s="1903"/>
      <c r="ER399" s="1903"/>
      <c r="ES399" s="1903"/>
      <c r="ET399" s="1903"/>
      <c r="EU399" s="1903"/>
      <c r="EV399" s="1903"/>
      <c r="EW399" s="1903"/>
      <c r="EX399" s="1903"/>
      <c r="EY399" s="1903"/>
      <c r="EZ399" s="1903"/>
      <c r="FA399" s="1903"/>
      <c r="FB399" s="1903"/>
      <c r="FC399" s="1903"/>
      <c r="FD399" s="1903"/>
      <c r="FE399" s="1903"/>
      <c r="FF399" s="1903"/>
      <c r="FG399" s="1903"/>
      <c r="FH399" s="1903"/>
      <c r="FI399" s="1903"/>
      <c r="FJ399" s="1903"/>
      <c r="FK399" s="1903"/>
      <c r="FL399" s="1903"/>
      <c r="FM399" s="1903"/>
      <c r="FN399" s="1903"/>
      <c r="FO399" s="1903"/>
      <c r="FP399" s="1903"/>
      <c r="FQ399" s="1903"/>
      <c r="FR399" s="1903"/>
      <c r="FS399" s="1903"/>
      <c r="FT399" s="1903"/>
      <c r="FU399" s="1903"/>
      <c r="FV399" s="1903"/>
      <c r="FW399" s="1903"/>
      <c r="FX399" s="1903"/>
      <c r="FY399" s="1903"/>
      <c r="FZ399" s="1903"/>
      <c r="GA399" s="1903"/>
      <c r="GB399" s="1903"/>
      <c r="GC399" s="1903"/>
      <c r="GD399" s="1903"/>
      <c r="GE399" s="1903"/>
      <c r="GF399" s="1903"/>
      <c r="GG399" s="1903"/>
      <c r="GH399" s="1903"/>
      <c r="GI399" s="1903"/>
      <c r="GJ399" s="1903"/>
      <c r="GK399" s="1903"/>
      <c r="GL399" s="1903"/>
      <c r="GM399" s="1903"/>
      <c r="GN399" s="1903"/>
      <c r="GO399" s="1903"/>
      <c r="GP399" s="1903"/>
      <c r="GQ399" s="1903"/>
      <c r="GR399" s="1903"/>
      <c r="GS399" s="1903"/>
      <c r="GT399" s="1903"/>
      <c r="GU399" s="1903"/>
      <c r="GV399" s="1903"/>
      <c r="GW399" s="1903"/>
      <c r="GX399" s="1903"/>
      <c r="GY399" s="1903"/>
      <c r="GZ399" s="1903"/>
      <c r="HA399" s="1903"/>
      <c r="HB399" s="1903"/>
      <c r="HC399" s="1903"/>
      <c r="HD399" s="1903"/>
      <c r="HE399" s="1903"/>
      <c r="HF399" s="1903"/>
      <c r="HG399" s="1903"/>
      <c r="HH399" s="1903"/>
      <c r="HI399" s="1903"/>
      <c r="HJ399" s="1903"/>
      <c r="HK399" s="1903"/>
      <c r="HL399" s="1903"/>
      <c r="HM399" s="1903"/>
      <c r="HN399" s="1903"/>
      <c r="HO399" s="1903"/>
      <c r="HP399" s="1903"/>
      <c r="HQ399" s="1903"/>
      <c r="HR399" s="1903"/>
      <c r="HS399" s="1903"/>
      <c r="HT399" s="1903"/>
      <c r="HU399" s="1903"/>
      <c r="HV399" s="1903"/>
      <c r="HW399" s="1903"/>
      <c r="HX399" s="1903"/>
      <c r="HY399" s="1903"/>
      <c r="HZ399" s="1903"/>
      <c r="IA399" s="1903"/>
      <c r="IB399" s="1903"/>
      <c r="IC399" s="1903"/>
      <c r="ID399" s="1903"/>
      <c r="IE399" s="1903"/>
      <c r="IF399" s="1903"/>
      <c r="IG399" s="1903"/>
      <c r="IH399" s="1903"/>
      <c r="II399" s="1903"/>
      <c r="IJ399" s="1903"/>
      <c r="IK399" s="1903"/>
      <c r="IL399" s="1903"/>
      <c r="IM399" s="1903"/>
      <c r="IN399" s="1903"/>
      <c r="IO399" s="1903"/>
      <c r="IP399" s="1903"/>
      <c r="IQ399" s="1903"/>
      <c r="IR399" s="1903"/>
      <c r="IS399" s="1903"/>
      <c r="IT399" s="1903"/>
      <c r="IU399" s="1903"/>
      <c r="IV399" s="1903"/>
    </row>
    <row r="400" spans="1:256" s="1904" customFormat="1" ht="40.5" customHeight="1">
      <c r="A400" s="1898"/>
      <c r="B400" s="1899"/>
      <c r="C400" s="1899"/>
      <c r="D400" s="342" t="s">
        <v>2872</v>
      </c>
      <c r="E400" s="1899"/>
      <c r="F400" s="1900"/>
      <c r="G400" s="1901"/>
      <c r="H400" s="1901"/>
      <c r="I400" s="1999"/>
      <c r="AP400" s="1291"/>
      <c r="AQ400" s="1291"/>
      <c r="AR400" s="1903"/>
      <c r="AS400" s="1903"/>
      <c r="AT400" s="1903"/>
      <c r="AU400" s="1903"/>
      <c r="AV400" s="1903"/>
      <c r="AW400" s="1903"/>
      <c r="AX400" s="1903"/>
      <c r="AY400" s="1903"/>
      <c r="AZ400" s="1903"/>
      <c r="BA400" s="1903"/>
      <c r="BB400" s="1903"/>
      <c r="BC400" s="1903"/>
      <c r="BD400" s="1903"/>
      <c r="BE400" s="1903"/>
      <c r="BF400" s="1903"/>
      <c r="BG400" s="1903"/>
      <c r="BH400" s="1903"/>
      <c r="BI400" s="1903"/>
      <c r="BJ400" s="1903"/>
      <c r="BK400" s="1903"/>
      <c r="BL400" s="1903"/>
      <c r="BM400" s="1903"/>
      <c r="BN400" s="1903"/>
      <c r="BO400" s="1903"/>
      <c r="BP400" s="1903"/>
      <c r="BQ400" s="1903"/>
      <c r="BR400" s="1903"/>
      <c r="BS400" s="1903"/>
      <c r="BT400" s="1903"/>
      <c r="BU400" s="1903"/>
      <c r="BV400" s="1903"/>
      <c r="BW400" s="1903"/>
      <c r="BX400" s="1903"/>
      <c r="BY400" s="1903"/>
      <c r="BZ400" s="1903"/>
      <c r="CA400" s="1903"/>
      <c r="CB400" s="1903"/>
      <c r="CC400" s="1903"/>
      <c r="CD400" s="1903"/>
      <c r="CE400" s="1903"/>
      <c r="CF400" s="1903"/>
      <c r="CG400" s="1903"/>
      <c r="CH400" s="1903"/>
      <c r="CI400" s="1903"/>
      <c r="CJ400" s="1903"/>
      <c r="CK400" s="1903"/>
      <c r="CL400" s="1903"/>
      <c r="CM400" s="1903"/>
      <c r="CN400" s="1903"/>
      <c r="CO400" s="1903"/>
      <c r="CP400" s="1903"/>
      <c r="CQ400" s="1903"/>
      <c r="CR400" s="1903"/>
      <c r="CS400" s="1903"/>
      <c r="CT400" s="1903"/>
      <c r="CU400" s="1903"/>
      <c r="CV400" s="1903"/>
      <c r="CW400" s="1903"/>
      <c r="CX400" s="1903"/>
      <c r="CY400" s="1903"/>
      <c r="CZ400" s="1903"/>
      <c r="DA400" s="1903"/>
      <c r="DB400" s="1903"/>
      <c r="DC400" s="1903"/>
      <c r="DD400" s="1903"/>
      <c r="DE400" s="1903"/>
      <c r="DF400" s="1903"/>
      <c r="DG400" s="1903"/>
      <c r="DH400" s="1903"/>
      <c r="DI400" s="1903"/>
      <c r="DJ400" s="1903"/>
      <c r="DK400" s="1903"/>
      <c r="DL400" s="1903"/>
      <c r="DM400" s="1903"/>
      <c r="DN400" s="1903"/>
      <c r="DO400" s="1903"/>
      <c r="DP400" s="1903"/>
      <c r="DQ400" s="1903"/>
      <c r="DR400" s="1903"/>
      <c r="DS400" s="1903"/>
      <c r="DT400" s="1903"/>
      <c r="DU400" s="1903"/>
      <c r="DV400" s="1903"/>
      <c r="DW400" s="1903"/>
      <c r="DX400" s="1903"/>
      <c r="DY400" s="1903"/>
      <c r="DZ400" s="1903"/>
      <c r="EA400" s="1903"/>
      <c r="EB400" s="1903"/>
      <c r="EC400" s="1903"/>
      <c r="ED400" s="1903"/>
      <c r="EE400" s="1903"/>
      <c r="EF400" s="1903"/>
      <c r="EG400" s="1903"/>
      <c r="EH400" s="1903"/>
      <c r="EI400" s="1903"/>
      <c r="EJ400" s="1903"/>
      <c r="EK400" s="1903"/>
      <c r="EL400" s="1903"/>
      <c r="EM400" s="1903"/>
      <c r="EN400" s="1903"/>
      <c r="EO400" s="1903"/>
      <c r="EP400" s="1903"/>
      <c r="EQ400" s="1903"/>
      <c r="ER400" s="1903"/>
      <c r="ES400" s="1903"/>
      <c r="ET400" s="1903"/>
      <c r="EU400" s="1903"/>
      <c r="EV400" s="1903"/>
      <c r="EW400" s="1903"/>
      <c r="EX400" s="1903"/>
      <c r="EY400" s="1903"/>
      <c r="EZ400" s="1903"/>
      <c r="FA400" s="1903"/>
      <c r="FB400" s="1903"/>
      <c r="FC400" s="1903"/>
      <c r="FD400" s="1903"/>
      <c r="FE400" s="1903"/>
      <c r="FF400" s="1903"/>
      <c r="FG400" s="1903"/>
      <c r="FH400" s="1903"/>
      <c r="FI400" s="1903"/>
      <c r="FJ400" s="1903"/>
      <c r="FK400" s="1903"/>
      <c r="FL400" s="1903"/>
      <c r="FM400" s="1903"/>
      <c r="FN400" s="1903"/>
      <c r="FO400" s="1903"/>
      <c r="FP400" s="1903"/>
      <c r="FQ400" s="1903"/>
      <c r="FR400" s="1903"/>
      <c r="FS400" s="1903"/>
      <c r="FT400" s="1903"/>
      <c r="FU400" s="1903"/>
      <c r="FV400" s="1903"/>
      <c r="FW400" s="1903"/>
      <c r="FX400" s="1903"/>
      <c r="FY400" s="1903"/>
      <c r="FZ400" s="1903"/>
      <c r="GA400" s="1903"/>
      <c r="GB400" s="1903"/>
      <c r="GC400" s="1903"/>
      <c r="GD400" s="1903"/>
      <c r="GE400" s="1903"/>
      <c r="GF400" s="1903"/>
      <c r="GG400" s="1903"/>
      <c r="GH400" s="1903"/>
      <c r="GI400" s="1903"/>
      <c r="GJ400" s="1903"/>
      <c r="GK400" s="1903"/>
      <c r="GL400" s="1903"/>
      <c r="GM400" s="1903"/>
      <c r="GN400" s="1903"/>
      <c r="GO400" s="1903"/>
      <c r="GP400" s="1903"/>
      <c r="GQ400" s="1903"/>
      <c r="GR400" s="1903"/>
      <c r="GS400" s="1903"/>
      <c r="GT400" s="1903"/>
      <c r="GU400" s="1903"/>
      <c r="GV400" s="1903"/>
      <c r="GW400" s="1903"/>
      <c r="GX400" s="1903"/>
      <c r="GY400" s="1903"/>
      <c r="GZ400" s="1903"/>
      <c r="HA400" s="1903"/>
      <c r="HB400" s="1903"/>
      <c r="HC400" s="1903"/>
      <c r="HD400" s="1903"/>
      <c r="HE400" s="1903"/>
      <c r="HF400" s="1903"/>
      <c r="HG400" s="1903"/>
      <c r="HH400" s="1903"/>
      <c r="HI400" s="1903"/>
      <c r="HJ400" s="1903"/>
      <c r="HK400" s="1903"/>
      <c r="HL400" s="1903"/>
      <c r="HM400" s="1903"/>
      <c r="HN400" s="1903"/>
      <c r="HO400" s="1903"/>
      <c r="HP400" s="1903"/>
      <c r="HQ400" s="1903"/>
      <c r="HR400" s="1903"/>
      <c r="HS400" s="1903"/>
      <c r="HT400" s="1903"/>
      <c r="HU400" s="1903"/>
      <c r="HV400" s="1903"/>
      <c r="HW400" s="1903"/>
      <c r="HX400" s="1903"/>
      <c r="HY400" s="1903"/>
      <c r="HZ400" s="1903"/>
      <c r="IA400" s="1903"/>
      <c r="IB400" s="1903"/>
      <c r="IC400" s="1903"/>
      <c r="ID400" s="1903"/>
      <c r="IE400" s="1903"/>
      <c r="IF400" s="1903"/>
      <c r="IG400" s="1903"/>
      <c r="IH400" s="1903"/>
      <c r="II400" s="1903"/>
      <c r="IJ400" s="1903"/>
      <c r="IK400" s="1903"/>
      <c r="IL400" s="1903"/>
      <c r="IM400" s="1903"/>
      <c r="IN400" s="1903"/>
      <c r="IO400" s="1903"/>
      <c r="IP400" s="1903"/>
      <c r="IQ400" s="1903"/>
      <c r="IR400" s="1903"/>
      <c r="IS400" s="1903"/>
      <c r="IT400" s="1903"/>
      <c r="IU400" s="1903"/>
      <c r="IV400" s="1903"/>
    </row>
    <row r="401" spans="1:256" s="1990" customFormat="1" ht="13.5" customHeight="1">
      <c r="A401" s="1910">
        <v>94</v>
      </c>
      <c r="B401" s="1991" t="s">
        <v>2048</v>
      </c>
      <c r="C401" s="1325" t="s">
        <v>2879</v>
      </c>
      <c r="D401" s="1985" t="s">
        <v>2880</v>
      </c>
      <c r="E401" s="1985" t="s">
        <v>210</v>
      </c>
      <c r="F401" s="1327">
        <f>SUM(F403:F403)</f>
        <v>9</v>
      </c>
      <c r="G401" s="1992"/>
      <c r="H401" s="1992">
        <f>F401*G401</f>
        <v>0</v>
      </c>
      <c r="I401" s="1993" t="s">
        <v>112</v>
      </c>
      <c r="J401" s="1994"/>
      <c r="K401" s="1994"/>
      <c r="O401" s="1995"/>
      <c r="P401" s="1994"/>
      <c r="Q401" s="1928"/>
      <c r="X401" s="1994"/>
      <c r="Y401" s="1994"/>
      <c r="Z401" s="1291"/>
      <c r="AA401" s="1291"/>
      <c r="AB401" s="1291"/>
      <c r="AC401" s="1291"/>
      <c r="AD401" s="1291"/>
      <c r="AE401" s="1291"/>
      <c r="AF401" s="1291"/>
      <c r="AG401" s="1291"/>
      <c r="AH401" s="1996"/>
    </row>
    <row r="402" spans="1:256" s="1990" customFormat="1" ht="13.5" customHeight="1">
      <c r="A402" s="1890"/>
      <c r="B402" s="1891"/>
      <c r="C402" s="342"/>
      <c r="D402" s="342" t="s">
        <v>2871</v>
      </c>
      <c r="E402" s="342"/>
      <c r="F402" s="1997"/>
      <c r="G402" s="1893"/>
      <c r="H402" s="1893"/>
      <c r="I402" s="1998"/>
      <c r="J402" s="1994"/>
      <c r="K402" s="1994"/>
      <c r="L402" s="1291"/>
      <c r="M402" s="1291"/>
      <c r="N402" s="1291"/>
      <c r="O402" s="1291"/>
      <c r="P402" s="1291"/>
      <c r="Q402" s="1291"/>
      <c r="R402" s="1291"/>
      <c r="S402" s="1291"/>
      <c r="T402" s="1291"/>
      <c r="U402" s="1291"/>
      <c r="V402" s="1602"/>
      <c r="W402" s="1291"/>
      <c r="X402" s="1994"/>
      <c r="Y402" s="1994"/>
      <c r="Z402" s="1291"/>
      <c r="AA402" s="1291"/>
      <c r="AB402" s="1291"/>
      <c r="AC402" s="1291"/>
      <c r="AD402" s="1291"/>
      <c r="AE402" s="1291"/>
      <c r="AF402" s="1291"/>
      <c r="AG402" s="1291"/>
      <c r="AH402" s="1291"/>
    </row>
    <row r="403" spans="1:256" s="1904" customFormat="1" ht="13.5" customHeight="1">
      <c r="A403" s="1898"/>
      <c r="B403" s="1899"/>
      <c r="C403" s="1899"/>
      <c r="D403" s="1899" t="s">
        <v>2686</v>
      </c>
      <c r="E403" s="1899"/>
      <c r="F403" s="1900">
        <v>9</v>
      </c>
      <c r="G403" s="1901"/>
      <c r="H403" s="1901"/>
      <c r="I403" s="1905"/>
      <c r="K403" s="1291"/>
      <c r="L403" s="1291"/>
      <c r="M403" s="1291"/>
      <c r="N403" s="1291"/>
      <c r="O403" s="1291"/>
      <c r="P403" s="1291"/>
      <c r="Q403" s="1291"/>
      <c r="R403" s="1291"/>
      <c r="S403" s="1291"/>
      <c r="T403" s="1291"/>
      <c r="U403" s="1291"/>
      <c r="V403" s="1291"/>
      <c r="W403" s="1291"/>
      <c r="X403" s="1291"/>
      <c r="Y403" s="1291"/>
      <c r="Z403" s="1291"/>
      <c r="AA403" s="1291"/>
      <c r="AB403" s="1291"/>
      <c r="AC403" s="1291"/>
      <c r="AD403" s="1291"/>
      <c r="AE403" s="1291"/>
      <c r="AF403" s="1291"/>
      <c r="AG403" s="1291"/>
      <c r="AH403" s="1291"/>
      <c r="AI403" s="1291"/>
      <c r="AJ403" s="1291"/>
      <c r="AK403" s="1291"/>
      <c r="AL403" s="1291"/>
      <c r="AM403" s="1291"/>
      <c r="AN403" s="1291"/>
      <c r="AO403" s="1291"/>
      <c r="AP403" s="1291"/>
      <c r="AQ403" s="1291"/>
      <c r="AR403" s="1903"/>
      <c r="AS403" s="1903"/>
      <c r="AT403" s="1903"/>
      <c r="AU403" s="1903"/>
      <c r="AV403" s="1903"/>
      <c r="AW403" s="1903"/>
      <c r="AX403" s="1903"/>
      <c r="AY403" s="1903"/>
      <c r="AZ403" s="1903"/>
      <c r="BA403" s="1903"/>
      <c r="BB403" s="1903"/>
      <c r="BC403" s="1903"/>
      <c r="BD403" s="1903"/>
      <c r="BE403" s="1903"/>
      <c r="BF403" s="1903"/>
      <c r="BG403" s="1903"/>
      <c r="BH403" s="1903"/>
      <c r="BI403" s="1903"/>
      <c r="BJ403" s="1903"/>
      <c r="BK403" s="1903"/>
      <c r="BL403" s="1903"/>
      <c r="BM403" s="1903"/>
      <c r="BN403" s="1903"/>
      <c r="BO403" s="1903"/>
      <c r="BP403" s="1903"/>
      <c r="BQ403" s="1903"/>
      <c r="BR403" s="1903"/>
      <c r="BS403" s="1903"/>
      <c r="BT403" s="1903"/>
      <c r="BU403" s="1903"/>
      <c r="BV403" s="1903"/>
      <c r="BW403" s="1903"/>
      <c r="BX403" s="1903"/>
      <c r="BY403" s="1903"/>
      <c r="BZ403" s="1903"/>
      <c r="CA403" s="1903"/>
      <c r="CB403" s="1903"/>
      <c r="CC403" s="1903"/>
      <c r="CD403" s="1903"/>
      <c r="CE403" s="1903"/>
      <c r="CF403" s="1903"/>
      <c r="CG403" s="1903"/>
      <c r="CH403" s="1903"/>
      <c r="CI403" s="1903"/>
      <c r="CJ403" s="1903"/>
      <c r="CK403" s="1903"/>
      <c r="CL403" s="1903"/>
      <c r="CM403" s="1903"/>
      <c r="CN403" s="1903"/>
      <c r="CO403" s="1903"/>
      <c r="CP403" s="1903"/>
      <c r="CQ403" s="1903"/>
      <c r="CR403" s="1903"/>
      <c r="CS403" s="1903"/>
      <c r="CT403" s="1903"/>
      <c r="CU403" s="1903"/>
      <c r="CV403" s="1903"/>
      <c r="CW403" s="1903"/>
      <c r="CX403" s="1903"/>
      <c r="CY403" s="1903"/>
      <c r="CZ403" s="1903"/>
      <c r="DA403" s="1903"/>
      <c r="DB403" s="1903"/>
      <c r="DC403" s="1903"/>
      <c r="DD403" s="1903"/>
      <c r="DE403" s="1903"/>
      <c r="DF403" s="1903"/>
      <c r="DG403" s="1903"/>
      <c r="DH403" s="1903"/>
      <c r="DI403" s="1903"/>
      <c r="DJ403" s="1903"/>
      <c r="DK403" s="1903"/>
      <c r="DL403" s="1903"/>
      <c r="DM403" s="1903"/>
      <c r="DN403" s="1903"/>
      <c r="DO403" s="1903"/>
      <c r="DP403" s="1903"/>
      <c r="DQ403" s="1903"/>
      <c r="DR403" s="1903"/>
      <c r="DS403" s="1903"/>
      <c r="DT403" s="1903"/>
      <c r="DU403" s="1903"/>
      <c r="DV403" s="1903"/>
      <c r="DW403" s="1903"/>
      <c r="DX403" s="1903"/>
      <c r="DY403" s="1903"/>
      <c r="DZ403" s="1903"/>
      <c r="EA403" s="1903"/>
      <c r="EB403" s="1903"/>
      <c r="EC403" s="1903"/>
      <c r="ED403" s="1903"/>
      <c r="EE403" s="1903"/>
      <c r="EF403" s="1903"/>
      <c r="EG403" s="1903"/>
      <c r="EH403" s="1903"/>
      <c r="EI403" s="1903"/>
      <c r="EJ403" s="1903"/>
      <c r="EK403" s="1903"/>
      <c r="EL403" s="1903"/>
      <c r="EM403" s="1903"/>
      <c r="EN403" s="1903"/>
      <c r="EO403" s="1903"/>
      <c r="EP403" s="1903"/>
      <c r="EQ403" s="1903"/>
      <c r="ER403" s="1903"/>
      <c r="ES403" s="1903"/>
      <c r="ET403" s="1903"/>
      <c r="EU403" s="1903"/>
      <c r="EV403" s="1903"/>
      <c r="EW403" s="1903"/>
      <c r="EX403" s="1903"/>
      <c r="EY403" s="1903"/>
      <c r="EZ403" s="1903"/>
      <c r="FA403" s="1903"/>
      <c r="FB403" s="1903"/>
      <c r="FC403" s="1903"/>
      <c r="FD403" s="1903"/>
      <c r="FE403" s="1903"/>
      <c r="FF403" s="1903"/>
      <c r="FG403" s="1903"/>
      <c r="FH403" s="1903"/>
      <c r="FI403" s="1903"/>
      <c r="FJ403" s="1903"/>
      <c r="FK403" s="1903"/>
      <c r="FL403" s="1903"/>
      <c r="FM403" s="1903"/>
      <c r="FN403" s="1903"/>
      <c r="FO403" s="1903"/>
      <c r="FP403" s="1903"/>
      <c r="FQ403" s="1903"/>
      <c r="FR403" s="1903"/>
      <c r="FS403" s="1903"/>
      <c r="FT403" s="1903"/>
      <c r="FU403" s="1903"/>
      <c r="FV403" s="1903"/>
      <c r="FW403" s="1903"/>
      <c r="FX403" s="1903"/>
      <c r="FY403" s="1903"/>
      <c r="FZ403" s="1903"/>
      <c r="GA403" s="1903"/>
      <c r="GB403" s="1903"/>
      <c r="GC403" s="1903"/>
      <c r="GD403" s="1903"/>
      <c r="GE403" s="1903"/>
      <c r="GF403" s="1903"/>
      <c r="GG403" s="1903"/>
      <c r="GH403" s="1903"/>
      <c r="GI403" s="1903"/>
      <c r="GJ403" s="1903"/>
      <c r="GK403" s="1903"/>
      <c r="GL403" s="1903"/>
      <c r="GM403" s="1903"/>
      <c r="GN403" s="1903"/>
      <c r="GO403" s="1903"/>
      <c r="GP403" s="1903"/>
      <c r="GQ403" s="1903"/>
      <c r="GR403" s="1903"/>
      <c r="GS403" s="1903"/>
      <c r="GT403" s="1903"/>
      <c r="GU403" s="1903"/>
      <c r="GV403" s="1903"/>
      <c r="GW403" s="1903"/>
      <c r="GX403" s="1903"/>
      <c r="GY403" s="1903"/>
      <c r="GZ403" s="1903"/>
      <c r="HA403" s="1903"/>
      <c r="HB403" s="1903"/>
      <c r="HC403" s="1903"/>
      <c r="HD403" s="1903"/>
      <c r="HE403" s="1903"/>
      <c r="HF403" s="1903"/>
      <c r="HG403" s="1903"/>
      <c r="HH403" s="1903"/>
      <c r="HI403" s="1903"/>
      <c r="HJ403" s="1903"/>
      <c r="HK403" s="1903"/>
      <c r="HL403" s="1903"/>
      <c r="HM403" s="1903"/>
      <c r="HN403" s="1903"/>
      <c r="HO403" s="1903"/>
      <c r="HP403" s="1903"/>
      <c r="HQ403" s="1903"/>
      <c r="HR403" s="1903"/>
      <c r="HS403" s="1903"/>
      <c r="HT403" s="1903"/>
      <c r="HU403" s="1903"/>
      <c r="HV403" s="1903"/>
      <c r="HW403" s="1903"/>
      <c r="HX403" s="1903"/>
      <c r="HY403" s="1903"/>
      <c r="HZ403" s="1903"/>
      <c r="IA403" s="1903"/>
      <c r="IB403" s="1903"/>
      <c r="IC403" s="1903"/>
      <c r="ID403" s="1903"/>
      <c r="IE403" s="1903"/>
      <c r="IF403" s="1903"/>
      <c r="IG403" s="1903"/>
      <c r="IH403" s="1903"/>
      <c r="II403" s="1903"/>
      <c r="IJ403" s="1903"/>
      <c r="IK403" s="1903"/>
      <c r="IL403" s="1903"/>
      <c r="IM403" s="1903"/>
      <c r="IN403" s="1903"/>
      <c r="IO403" s="1903"/>
      <c r="IP403" s="1903"/>
      <c r="IQ403" s="1903"/>
      <c r="IR403" s="1903"/>
      <c r="IS403" s="1903"/>
      <c r="IT403" s="1903"/>
      <c r="IU403" s="1903"/>
      <c r="IV403" s="1903"/>
    </row>
    <row r="404" spans="1:256" s="1904" customFormat="1" ht="40.5" customHeight="1">
      <c r="A404" s="1898"/>
      <c r="B404" s="1899"/>
      <c r="C404" s="1899"/>
      <c r="D404" s="342" t="s">
        <v>2872</v>
      </c>
      <c r="E404" s="1899"/>
      <c r="F404" s="1900"/>
      <c r="G404" s="1901"/>
      <c r="H404" s="1901"/>
      <c r="I404" s="1999"/>
      <c r="AP404" s="1291"/>
      <c r="AQ404" s="1291"/>
      <c r="AR404" s="1903"/>
      <c r="AS404" s="1903"/>
      <c r="AT404" s="1903"/>
      <c r="AU404" s="1903"/>
      <c r="AV404" s="1903"/>
      <c r="AW404" s="1903"/>
      <c r="AX404" s="1903"/>
      <c r="AY404" s="1903"/>
      <c r="AZ404" s="1903"/>
      <c r="BA404" s="1903"/>
      <c r="BB404" s="1903"/>
      <c r="BC404" s="1903"/>
      <c r="BD404" s="1903"/>
      <c r="BE404" s="1903"/>
      <c r="BF404" s="1903"/>
      <c r="BG404" s="1903"/>
      <c r="BH404" s="1903"/>
      <c r="BI404" s="1903"/>
      <c r="BJ404" s="1903"/>
      <c r="BK404" s="1903"/>
      <c r="BL404" s="1903"/>
      <c r="BM404" s="1903"/>
      <c r="BN404" s="1903"/>
      <c r="BO404" s="1903"/>
      <c r="BP404" s="1903"/>
      <c r="BQ404" s="1903"/>
      <c r="BR404" s="1903"/>
      <c r="BS404" s="1903"/>
      <c r="BT404" s="1903"/>
      <c r="BU404" s="1903"/>
      <c r="BV404" s="1903"/>
      <c r="BW404" s="1903"/>
      <c r="BX404" s="1903"/>
      <c r="BY404" s="1903"/>
      <c r="BZ404" s="1903"/>
      <c r="CA404" s="1903"/>
      <c r="CB404" s="1903"/>
      <c r="CC404" s="1903"/>
      <c r="CD404" s="1903"/>
      <c r="CE404" s="1903"/>
      <c r="CF404" s="1903"/>
      <c r="CG404" s="1903"/>
      <c r="CH404" s="1903"/>
      <c r="CI404" s="1903"/>
      <c r="CJ404" s="1903"/>
      <c r="CK404" s="1903"/>
      <c r="CL404" s="1903"/>
      <c r="CM404" s="1903"/>
      <c r="CN404" s="1903"/>
      <c r="CO404" s="1903"/>
      <c r="CP404" s="1903"/>
      <c r="CQ404" s="1903"/>
      <c r="CR404" s="1903"/>
      <c r="CS404" s="1903"/>
      <c r="CT404" s="1903"/>
      <c r="CU404" s="1903"/>
      <c r="CV404" s="1903"/>
      <c r="CW404" s="1903"/>
      <c r="CX404" s="1903"/>
      <c r="CY404" s="1903"/>
      <c r="CZ404" s="1903"/>
      <c r="DA404" s="1903"/>
      <c r="DB404" s="1903"/>
      <c r="DC404" s="1903"/>
      <c r="DD404" s="1903"/>
      <c r="DE404" s="1903"/>
      <c r="DF404" s="1903"/>
      <c r="DG404" s="1903"/>
      <c r="DH404" s="1903"/>
      <c r="DI404" s="1903"/>
      <c r="DJ404" s="1903"/>
      <c r="DK404" s="1903"/>
      <c r="DL404" s="1903"/>
      <c r="DM404" s="1903"/>
      <c r="DN404" s="1903"/>
      <c r="DO404" s="1903"/>
      <c r="DP404" s="1903"/>
      <c r="DQ404" s="1903"/>
      <c r="DR404" s="1903"/>
      <c r="DS404" s="1903"/>
      <c r="DT404" s="1903"/>
      <c r="DU404" s="1903"/>
      <c r="DV404" s="1903"/>
      <c r="DW404" s="1903"/>
      <c r="DX404" s="1903"/>
      <c r="DY404" s="1903"/>
      <c r="DZ404" s="1903"/>
      <c r="EA404" s="1903"/>
      <c r="EB404" s="1903"/>
      <c r="EC404" s="1903"/>
      <c r="ED404" s="1903"/>
      <c r="EE404" s="1903"/>
      <c r="EF404" s="1903"/>
      <c r="EG404" s="1903"/>
      <c r="EH404" s="1903"/>
      <c r="EI404" s="1903"/>
      <c r="EJ404" s="1903"/>
      <c r="EK404" s="1903"/>
      <c r="EL404" s="1903"/>
      <c r="EM404" s="1903"/>
      <c r="EN404" s="1903"/>
      <c r="EO404" s="1903"/>
      <c r="EP404" s="1903"/>
      <c r="EQ404" s="1903"/>
      <c r="ER404" s="1903"/>
      <c r="ES404" s="1903"/>
      <c r="ET404" s="1903"/>
      <c r="EU404" s="1903"/>
      <c r="EV404" s="1903"/>
      <c r="EW404" s="1903"/>
      <c r="EX404" s="1903"/>
      <c r="EY404" s="1903"/>
      <c r="EZ404" s="1903"/>
      <c r="FA404" s="1903"/>
      <c r="FB404" s="1903"/>
      <c r="FC404" s="1903"/>
      <c r="FD404" s="1903"/>
      <c r="FE404" s="1903"/>
      <c r="FF404" s="1903"/>
      <c r="FG404" s="1903"/>
      <c r="FH404" s="1903"/>
      <c r="FI404" s="1903"/>
      <c r="FJ404" s="1903"/>
      <c r="FK404" s="1903"/>
      <c r="FL404" s="1903"/>
      <c r="FM404" s="1903"/>
      <c r="FN404" s="1903"/>
      <c r="FO404" s="1903"/>
      <c r="FP404" s="1903"/>
      <c r="FQ404" s="1903"/>
      <c r="FR404" s="1903"/>
      <c r="FS404" s="1903"/>
      <c r="FT404" s="1903"/>
      <c r="FU404" s="1903"/>
      <c r="FV404" s="1903"/>
      <c r="FW404" s="1903"/>
      <c r="FX404" s="1903"/>
      <c r="FY404" s="1903"/>
      <c r="FZ404" s="1903"/>
      <c r="GA404" s="1903"/>
      <c r="GB404" s="1903"/>
      <c r="GC404" s="1903"/>
      <c r="GD404" s="1903"/>
      <c r="GE404" s="1903"/>
      <c r="GF404" s="1903"/>
      <c r="GG404" s="1903"/>
      <c r="GH404" s="1903"/>
      <c r="GI404" s="1903"/>
      <c r="GJ404" s="1903"/>
      <c r="GK404" s="1903"/>
      <c r="GL404" s="1903"/>
      <c r="GM404" s="1903"/>
      <c r="GN404" s="1903"/>
      <c r="GO404" s="1903"/>
      <c r="GP404" s="1903"/>
      <c r="GQ404" s="1903"/>
      <c r="GR404" s="1903"/>
      <c r="GS404" s="1903"/>
      <c r="GT404" s="1903"/>
      <c r="GU404" s="1903"/>
      <c r="GV404" s="1903"/>
      <c r="GW404" s="1903"/>
      <c r="GX404" s="1903"/>
      <c r="GY404" s="1903"/>
      <c r="GZ404" s="1903"/>
      <c r="HA404" s="1903"/>
      <c r="HB404" s="1903"/>
      <c r="HC404" s="1903"/>
      <c r="HD404" s="1903"/>
      <c r="HE404" s="1903"/>
      <c r="HF404" s="1903"/>
      <c r="HG404" s="1903"/>
      <c r="HH404" s="1903"/>
      <c r="HI404" s="1903"/>
      <c r="HJ404" s="1903"/>
      <c r="HK404" s="1903"/>
      <c r="HL404" s="1903"/>
      <c r="HM404" s="1903"/>
      <c r="HN404" s="1903"/>
      <c r="HO404" s="1903"/>
      <c r="HP404" s="1903"/>
      <c r="HQ404" s="1903"/>
      <c r="HR404" s="1903"/>
      <c r="HS404" s="1903"/>
      <c r="HT404" s="1903"/>
      <c r="HU404" s="1903"/>
      <c r="HV404" s="1903"/>
      <c r="HW404" s="1903"/>
      <c r="HX404" s="1903"/>
      <c r="HY404" s="1903"/>
      <c r="HZ404" s="1903"/>
      <c r="IA404" s="1903"/>
      <c r="IB404" s="1903"/>
      <c r="IC404" s="1903"/>
      <c r="ID404" s="1903"/>
      <c r="IE404" s="1903"/>
      <c r="IF404" s="1903"/>
      <c r="IG404" s="1903"/>
      <c r="IH404" s="1903"/>
      <c r="II404" s="1903"/>
      <c r="IJ404" s="1903"/>
      <c r="IK404" s="1903"/>
      <c r="IL404" s="1903"/>
      <c r="IM404" s="1903"/>
      <c r="IN404" s="1903"/>
      <c r="IO404" s="1903"/>
      <c r="IP404" s="1903"/>
      <c r="IQ404" s="1903"/>
      <c r="IR404" s="1903"/>
      <c r="IS404" s="1903"/>
      <c r="IT404" s="1903"/>
      <c r="IU404" s="1903"/>
      <c r="IV404" s="1903"/>
    </row>
    <row r="405" spans="1:256" s="1990" customFormat="1" ht="13.5" customHeight="1">
      <c r="A405" s="1910">
        <v>95</v>
      </c>
      <c r="B405" s="1991" t="s">
        <v>2048</v>
      </c>
      <c r="C405" s="1325" t="s">
        <v>2881</v>
      </c>
      <c r="D405" s="1985" t="s">
        <v>2882</v>
      </c>
      <c r="E405" s="1985" t="s">
        <v>210</v>
      </c>
      <c r="F405" s="1327">
        <f>SUM(F407:F407)</f>
        <v>19</v>
      </c>
      <c r="G405" s="1992"/>
      <c r="H405" s="1992">
        <f>F405*G405</f>
        <v>0</v>
      </c>
      <c r="I405" s="1993" t="s">
        <v>112</v>
      </c>
      <c r="J405" s="1994"/>
      <c r="K405" s="1994"/>
      <c r="O405" s="1995"/>
      <c r="P405" s="1994"/>
      <c r="Q405" s="1928"/>
      <c r="X405" s="1994"/>
      <c r="Y405" s="1994"/>
      <c r="Z405" s="1291"/>
      <c r="AA405" s="1291"/>
      <c r="AB405" s="1291"/>
      <c r="AC405" s="1291"/>
      <c r="AD405" s="1291"/>
      <c r="AE405" s="1291"/>
      <c r="AF405" s="1291"/>
      <c r="AG405" s="1291"/>
      <c r="AH405" s="1996"/>
    </row>
    <row r="406" spans="1:256" s="1990" customFormat="1" ht="13.5" customHeight="1">
      <c r="A406" s="1890"/>
      <c r="B406" s="1891"/>
      <c r="C406" s="342"/>
      <c r="D406" s="342" t="s">
        <v>2871</v>
      </c>
      <c r="E406" s="342"/>
      <c r="F406" s="1997"/>
      <c r="G406" s="1893"/>
      <c r="H406" s="1893"/>
      <c r="I406" s="1998"/>
      <c r="J406" s="1994"/>
      <c r="K406" s="1994"/>
      <c r="L406" s="1291"/>
      <c r="M406" s="1291"/>
      <c r="N406" s="1291"/>
      <c r="O406" s="1291"/>
      <c r="P406" s="1291"/>
      <c r="Q406" s="1291"/>
      <c r="R406" s="1291"/>
      <c r="S406" s="1291"/>
      <c r="T406" s="1291"/>
      <c r="U406" s="1291"/>
      <c r="V406" s="1602"/>
      <c r="W406" s="1291"/>
      <c r="X406" s="1994"/>
      <c r="Y406" s="1994"/>
      <c r="Z406" s="1291"/>
      <c r="AA406" s="1291"/>
      <c r="AB406" s="1291"/>
      <c r="AC406" s="1291"/>
      <c r="AD406" s="1291"/>
      <c r="AE406" s="1291"/>
      <c r="AF406" s="1291"/>
      <c r="AG406" s="1291"/>
      <c r="AH406" s="1291"/>
    </row>
    <row r="407" spans="1:256" s="1904" customFormat="1" ht="13.5" customHeight="1">
      <c r="A407" s="1898"/>
      <c r="B407" s="1899"/>
      <c r="C407" s="1899"/>
      <c r="D407" s="1899" t="s">
        <v>2686</v>
      </c>
      <c r="E407" s="1899"/>
      <c r="F407" s="1900">
        <v>19</v>
      </c>
      <c r="G407" s="1901"/>
      <c r="H407" s="1901"/>
      <c r="I407" s="1905"/>
      <c r="K407" s="1291"/>
      <c r="L407" s="1291"/>
      <c r="M407" s="1291"/>
      <c r="N407" s="1291"/>
      <c r="O407" s="1291"/>
      <c r="P407" s="1291"/>
      <c r="Q407" s="1291"/>
      <c r="R407" s="1291"/>
      <c r="S407" s="1291"/>
      <c r="T407" s="1291"/>
      <c r="U407" s="1291"/>
      <c r="V407" s="1291"/>
      <c r="W407" s="1291"/>
      <c r="X407" s="1291"/>
      <c r="Y407" s="1291"/>
      <c r="Z407" s="1291"/>
      <c r="AA407" s="1291"/>
      <c r="AB407" s="1291"/>
      <c r="AC407" s="1291"/>
      <c r="AD407" s="1291"/>
      <c r="AE407" s="1291"/>
      <c r="AF407" s="1291"/>
      <c r="AG407" s="1291"/>
      <c r="AH407" s="1291"/>
      <c r="AI407" s="1291"/>
      <c r="AJ407" s="1291"/>
      <c r="AK407" s="1291"/>
      <c r="AL407" s="1291"/>
      <c r="AM407" s="1291"/>
      <c r="AN407" s="1291"/>
      <c r="AO407" s="1291"/>
      <c r="AP407" s="1291"/>
      <c r="AQ407" s="1291"/>
      <c r="AR407" s="1903"/>
      <c r="AS407" s="1903"/>
      <c r="AT407" s="1903"/>
      <c r="AU407" s="1903"/>
      <c r="AV407" s="1903"/>
      <c r="AW407" s="1903"/>
      <c r="AX407" s="1903"/>
      <c r="AY407" s="1903"/>
      <c r="AZ407" s="1903"/>
      <c r="BA407" s="1903"/>
      <c r="BB407" s="1903"/>
      <c r="BC407" s="1903"/>
      <c r="BD407" s="1903"/>
      <c r="BE407" s="1903"/>
      <c r="BF407" s="1903"/>
      <c r="BG407" s="1903"/>
      <c r="BH407" s="1903"/>
      <c r="BI407" s="1903"/>
      <c r="BJ407" s="1903"/>
      <c r="BK407" s="1903"/>
      <c r="BL407" s="1903"/>
      <c r="BM407" s="1903"/>
      <c r="BN407" s="1903"/>
      <c r="BO407" s="1903"/>
      <c r="BP407" s="1903"/>
      <c r="BQ407" s="1903"/>
      <c r="BR407" s="1903"/>
      <c r="BS407" s="1903"/>
      <c r="BT407" s="1903"/>
      <c r="BU407" s="1903"/>
      <c r="BV407" s="1903"/>
      <c r="BW407" s="1903"/>
      <c r="BX407" s="1903"/>
      <c r="BY407" s="1903"/>
      <c r="BZ407" s="1903"/>
      <c r="CA407" s="1903"/>
      <c r="CB407" s="1903"/>
      <c r="CC407" s="1903"/>
      <c r="CD407" s="1903"/>
      <c r="CE407" s="1903"/>
      <c r="CF407" s="1903"/>
      <c r="CG407" s="1903"/>
      <c r="CH407" s="1903"/>
      <c r="CI407" s="1903"/>
      <c r="CJ407" s="1903"/>
      <c r="CK407" s="1903"/>
      <c r="CL407" s="1903"/>
      <c r="CM407" s="1903"/>
      <c r="CN407" s="1903"/>
      <c r="CO407" s="1903"/>
      <c r="CP407" s="1903"/>
      <c r="CQ407" s="1903"/>
      <c r="CR407" s="1903"/>
      <c r="CS407" s="1903"/>
      <c r="CT407" s="1903"/>
      <c r="CU407" s="1903"/>
      <c r="CV407" s="1903"/>
      <c r="CW407" s="1903"/>
      <c r="CX407" s="1903"/>
      <c r="CY407" s="1903"/>
      <c r="CZ407" s="1903"/>
      <c r="DA407" s="1903"/>
      <c r="DB407" s="1903"/>
      <c r="DC407" s="1903"/>
      <c r="DD407" s="1903"/>
      <c r="DE407" s="1903"/>
      <c r="DF407" s="1903"/>
      <c r="DG407" s="1903"/>
      <c r="DH407" s="1903"/>
      <c r="DI407" s="1903"/>
      <c r="DJ407" s="1903"/>
      <c r="DK407" s="1903"/>
      <c r="DL407" s="1903"/>
      <c r="DM407" s="1903"/>
      <c r="DN407" s="1903"/>
      <c r="DO407" s="1903"/>
      <c r="DP407" s="1903"/>
      <c r="DQ407" s="1903"/>
      <c r="DR407" s="1903"/>
      <c r="DS407" s="1903"/>
      <c r="DT407" s="1903"/>
      <c r="DU407" s="1903"/>
      <c r="DV407" s="1903"/>
      <c r="DW407" s="1903"/>
      <c r="DX407" s="1903"/>
      <c r="DY407" s="1903"/>
      <c r="DZ407" s="1903"/>
      <c r="EA407" s="1903"/>
      <c r="EB407" s="1903"/>
      <c r="EC407" s="1903"/>
      <c r="ED407" s="1903"/>
      <c r="EE407" s="1903"/>
      <c r="EF407" s="1903"/>
      <c r="EG407" s="1903"/>
      <c r="EH407" s="1903"/>
      <c r="EI407" s="1903"/>
      <c r="EJ407" s="1903"/>
      <c r="EK407" s="1903"/>
      <c r="EL407" s="1903"/>
      <c r="EM407" s="1903"/>
      <c r="EN407" s="1903"/>
      <c r="EO407" s="1903"/>
      <c r="EP407" s="1903"/>
      <c r="EQ407" s="1903"/>
      <c r="ER407" s="1903"/>
      <c r="ES407" s="1903"/>
      <c r="ET407" s="1903"/>
      <c r="EU407" s="1903"/>
      <c r="EV407" s="1903"/>
      <c r="EW407" s="1903"/>
      <c r="EX407" s="1903"/>
      <c r="EY407" s="1903"/>
      <c r="EZ407" s="1903"/>
      <c r="FA407" s="1903"/>
      <c r="FB407" s="1903"/>
      <c r="FC407" s="1903"/>
      <c r="FD407" s="1903"/>
      <c r="FE407" s="1903"/>
      <c r="FF407" s="1903"/>
      <c r="FG407" s="1903"/>
      <c r="FH407" s="1903"/>
      <c r="FI407" s="1903"/>
      <c r="FJ407" s="1903"/>
      <c r="FK407" s="1903"/>
      <c r="FL407" s="1903"/>
      <c r="FM407" s="1903"/>
      <c r="FN407" s="1903"/>
      <c r="FO407" s="1903"/>
      <c r="FP407" s="1903"/>
      <c r="FQ407" s="1903"/>
      <c r="FR407" s="1903"/>
      <c r="FS407" s="1903"/>
      <c r="FT407" s="1903"/>
      <c r="FU407" s="1903"/>
      <c r="FV407" s="1903"/>
      <c r="FW407" s="1903"/>
      <c r="FX407" s="1903"/>
      <c r="FY407" s="1903"/>
      <c r="FZ407" s="1903"/>
      <c r="GA407" s="1903"/>
      <c r="GB407" s="1903"/>
      <c r="GC407" s="1903"/>
      <c r="GD407" s="1903"/>
      <c r="GE407" s="1903"/>
      <c r="GF407" s="1903"/>
      <c r="GG407" s="1903"/>
      <c r="GH407" s="1903"/>
      <c r="GI407" s="1903"/>
      <c r="GJ407" s="1903"/>
      <c r="GK407" s="1903"/>
      <c r="GL407" s="1903"/>
      <c r="GM407" s="1903"/>
      <c r="GN407" s="1903"/>
      <c r="GO407" s="1903"/>
      <c r="GP407" s="1903"/>
      <c r="GQ407" s="1903"/>
      <c r="GR407" s="1903"/>
      <c r="GS407" s="1903"/>
      <c r="GT407" s="1903"/>
      <c r="GU407" s="1903"/>
      <c r="GV407" s="1903"/>
      <c r="GW407" s="1903"/>
      <c r="GX407" s="1903"/>
      <c r="GY407" s="1903"/>
      <c r="GZ407" s="1903"/>
      <c r="HA407" s="1903"/>
      <c r="HB407" s="1903"/>
      <c r="HC407" s="1903"/>
      <c r="HD407" s="1903"/>
      <c r="HE407" s="1903"/>
      <c r="HF407" s="1903"/>
      <c r="HG407" s="1903"/>
      <c r="HH407" s="1903"/>
      <c r="HI407" s="1903"/>
      <c r="HJ407" s="1903"/>
      <c r="HK407" s="1903"/>
      <c r="HL407" s="1903"/>
      <c r="HM407" s="1903"/>
      <c r="HN407" s="1903"/>
      <c r="HO407" s="1903"/>
      <c r="HP407" s="1903"/>
      <c r="HQ407" s="1903"/>
      <c r="HR407" s="1903"/>
      <c r="HS407" s="1903"/>
      <c r="HT407" s="1903"/>
      <c r="HU407" s="1903"/>
      <c r="HV407" s="1903"/>
      <c r="HW407" s="1903"/>
      <c r="HX407" s="1903"/>
      <c r="HY407" s="1903"/>
      <c r="HZ407" s="1903"/>
      <c r="IA407" s="1903"/>
      <c r="IB407" s="1903"/>
      <c r="IC407" s="1903"/>
      <c r="ID407" s="1903"/>
      <c r="IE407" s="1903"/>
      <c r="IF407" s="1903"/>
      <c r="IG407" s="1903"/>
      <c r="IH407" s="1903"/>
      <c r="II407" s="1903"/>
      <c r="IJ407" s="1903"/>
      <c r="IK407" s="1903"/>
      <c r="IL407" s="1903"/>
      <c r="IM407" s="1903"/>
      <c r="IN407" s="1903"/>
      <c r="IO407" s="1903"/>
      <c r="IP407" s="1903"/>
      <c r="IQ407" s="1903"/>
      <c r="IR407" s="1903"/>
      <c r="IS407" s="1903"/>
      <c r="IT407" s="1903"/>
      <c r="IU407" s="1903"/>
      <c r="IV407" s="1903"/>
    </row>
    <row r="408" spans="1:256" s="1904" customFormat="1" ht="40.5" customHeight="1">
      <c r="A408" s="1898"/>
      <c r="B408" s="1899"/>
      <c r="C408" s="1899"/>
      <c r="D408" s="342" t="s">
        <v>2872</v>
      </c>
      <c r="E408" s="1899"/>
      <c r="F408" s="1900"/>
      <c r="G408" s="1901"/>
      <c r="H408" s="1901"/>
      <c r="I408" s="1999"/>
      <c r="AP408" s="1291"/>
      <c r="AQ408" s="1291"/>
      <c r="AR408" s="1903"/>
      <c r="AS408" s="1903"/>
      <c r="AT408" s="1903"/>
      <c r="AU408" s="1903"/>
      <c r="AV408" s="1903"/>
      <c r="AW408" s="1903"/>
      <c r="AX408" s="1903"/>
      <c r="AY408" s="1903"/>
      <c r="AZ408" s="1903"/>
      <c r="BA408" s="1903"/>
      <c r="BB408" s="1903"/>
      <c r="BC408" s="1903"/>
      <c r="BD408" s="1903"/>
      <c r="BE408" s="1903"/>
      <c r="BF408" s="1903"/>
      <c r="BG408" s="1903"/>
      <c r="BH408" s="1903"/>
      <c r="BI408" s="1903"/>
      <c r="BJ408" s="1903"/>
      <c r="BK408" s="1903"/>
      <c r="BL408" s="1903"/>
      <c r="BM408" s="1903"/>
      <c r="BN408" s="1903"/>
      <c r="BO408" s="1903"/>
      <c r="BP408" s="1903"/>
      <c r="BQ408" s="1903"/>
      <c r="BR408" s="1903"/>
      <c r="BS408" s="1903"/>
      <c r="BT408" s="1903"/>
      <c r="BU408" s="1903"/>
      <c r="BV408" s="1903"/>
      <c r="BW408" s="1903"/>
      <c r="BX408" s="1903"/>
      <c r="BY408" s="1903"/>
      <c r="BZ408" s="1903"/>
      <c r="CA408" s="1903"/>
      <c r="CB408" s="1903"/>
      <c r="CC408" s="1903"/>
      <c r="CD408" s="1903"/>
      <c r="CE408" s="1903"/>
      <c r="CF408" s="1903"/>
      <c r="CG408" s="1903"/>
      <c r="CH408" s="1903"/>
      <c r="CI408" s="1903"/>
      <c r="CJ408" s="1903"/>
      <c r="CK408" s="1903"/>
      <c r="CL408" s="1903"/>
      <c r="CM408" s="1903"/>
      <c r="CN408" s="1903"/>
      <c r="CO408" s="1903"/>
      <c r="CP408" s="1903"/>
      <c r="CQ408" s="1903"/>
      <c r="CR408" s="1903"/>
      <c r="CS408" s="1903"/>
      <c r="CT408" s="1903"/>
      <c r="CU408" s="1903"/>
      <c r="CV408" s="1903"/>
      <c r="CW408" s="1903"/>
      <c r="CX408" s="1903"/>
      <c r="CY408" s="1903"/>
      <c r="CZ408" s="1903"/>
      <c r="DA408" s="1903"/>
      <c r="DB408" s="1903"/>
      <c r="DC408" s="1903"/>
      <c r="DD408" s="1903"/>
      <c r="DE408" s="1903"/>
      <c r="DF408" s="1903"/>
      <c r="DG408" s="1903"/>
      <c r="DH408" s="1903"/>
      <c r="DI408" s="1903"/>
      <c r="DJ408" s="1903"/>
      <c r="DK408" s="1903"/>
      <c r="DL408" s="1903"/>
      <c r="DM408" s="1903"/>
      <c r="DN408" s="1903"/>
      <c r="DO408" s="1903"/>
      <c r="DP408" s="1903"/>
      <c r="DQ408" s="1903"/>
      <c r="DR408" s="1903"/>
      <c r="DS408" s="1903"/>
      <c r="DT408" s="1903"/>
      <c r="DU408" s="1903"/>
      <c r="DV408" s="1903"/>
      <c r="DW408" s="1903"/>
      <c r="DX408" s="1903"/>
      <c r="DY408" s="1903"/>
      <c r="DZ408" s="1903"/>
      <c r="EA408" s="1903"/>
      <c r="EB408" s="1903"/>
      <c r="EC408" s="1903"/>
      <c r="ED408" s="1903"/>
      <c r="EE408" s="1903"/>
      <c r="EF408" s="1903"/>
      <c r="EG408" s="1903"/>
      <c r="EH408" s="1903"/>
      <c r="EI408" s="1903"/>
      <c r="EJ408" s="1903"/>
      <c r="EK408" s="1903"/>
      <c r="EL408" s="1903"/>
      <c r="EM408" s="1903"/>
      <c r="EN408" s="1903"/>
      <c r="EO408" s="1903"/>
      <c r="EP408" s="1903"/>
      <c r="EQ408" s="1903"/>
      <c r="ER408" s="1903"/>
      <c r="ES408" s="1903"/>
      <c r="ET408" s="1903"/>
      <c r="EU408" s="1903"/>
      <c r="EV408" s="1903"/>
      <c r="EW408" s="1903"/>
      <c r="EX408" s="1903"/>
      <c r="EY408" s="1903"/>
      <c r="EZ408" s="1903"/>
      <c r="FA408" s="1903"/>
      <c r="FB408" s="1903"/>
      <c r="FC408" s="1903"/>
      <c r="FD408" s="1903"/>
      <c r="FE408" s="1903"/>
      <c r="FF408" s="1903"/>
      <c r="FG408" s="1903"/>
      <c r="FH408" s="1903"/>
      <c r="FI408" s="1903"/>
      <c r="FJ408" s="1903"/>
      <c r="FK408" s="1903"/>
      <c r="FL408" s="1903"/>
      <c r="FM408" s="1903"/>
      <c r="FN408" s="1903"/>
      <c r="FO408" s="1903"/>
      <c r="FP408" s="1903"/>
      <c r="FQ408" s="1903"/>
      <c r="FR408" s="1903"/>
      <c r="FS408" s="1903"/>
      <c r="FT408" s="1903"/>
      <c r="FU408" s="1903"/>
      <c r="FV408" s="1903"/>
      <c r="FW408" s="1903"/>
      <c r="FX408" s="1903"/>
      <c r="FY408" s="1903"/>
      <c r="FZ408" s="1903"/>
      <c r="GA408" s="1903"/>
      <c r="GB408" s="1903"/>
      <c r="GC408" s="1903"/>
      <c r="GD408" s="1903"/>
      <c r="GE408" s="1903"/>
      <c r="GF408" s="1903"/>
      <c r="GG408" s="1903"/>
      <c r="GH408" s="1903"/>
      <c r="GI408" s="1903"/>
      <c r="GJ408" s="1903"/>
      <c r="GK408" s="1903"/>
      <c r="GL408" s="1903"/>
      <c r="GM408" s="1903"/>
      <c r="GN408" s="1903"/>
      <c r="GO408" s="1903"/>
      <c r="GP408" s="1903"/>
      <c r="GQ408" s="1903"/>
      <c r="GR408" s="1903"/>
      <c r="GS408" s="1903"/>
      <c r="GT408" s="1903"/>
      <c r="GU408" s="1903"/>
      <c r="GV408" s="1903"/>
      <c r="GW408" s="1903"/>
      <c r="GX408" s="1903"/>
      <c r="GY408" s="1903"/>
      <c r="GZ408" s="1903"/>
      <c r="HA408" s="1903"/>
      <c r="HB408" s="1903"/>
      <c r="HC408" s="1903"/>
      <c r="HD408" s="1903"/>
      <c r="HE408" s="1903"/>
      <c r="HF408" s="1903"/>
      <c r="HG408" s="1903"/>
      <c r="HH408" s="1903"/>
      <c r="HI408" s="1903"/>
      <c r="HJ408" s="1903"/>
      <c r="HK408" s="1903"/>
      <c r="HL408" s="1903"/>
      <c r="HM408" s="1903"/>
      <c r="HN408" s="1903"/>
      <c r="HO408" s="1903"/>
      <c r="HP408" s="1903"/>
      <c r="HQ408" s="1903"/>
      <c r="HR408" s="1903"/>
      <c r="HS408" s="1903"/>
      <c r="HT408" s="1903"/>
      <c r="HU408" s="1903"/>
      <c r="HV408" s="1903"/>
      <c r="HW408" s="1903"/>
      <c r="HX408" s="1903"/>
      <c r="HY408" s="1903"/>
      <c r="HZ408" s="1903"/>
      <c r="IA408" s="1903"/>
      <c r="IB408" s="1903"/>
      <c r="IC408" s="1903"/>
      <c r="ID408" s="1903"/>
      <c r="IE408" s="1903"/>
      <c r="IF408" s="1903"/>
      <c r="IG408" s="1903"/>
      <c r="IH408" s="1903"/>
      <c r="II408" s="1903"/>
      <c r="IJ408" s="1903"/>
      <c r="IK408" s="1903"/>
      <c r="IL408" s="1903"/>
      <c r="IM408" s="1903"/>
      <c r="IN408" s="1903"/>
      <c r="IO408" s="1903"/>
      <c r="IP408" s="1903"/>
      <c r="IQ408" s="1903"/>
      <c r="IR408" s="1903"/>
      <c r="IS408" s="1903"/>
      <c r="IT408" s="1903"/>
      <c r="IU408" s="1903"/>
      <c r="IV408" s="1903"/>
    </row>
    <row r="409" spans="1:256" s="1990" customFormat="1" ht="13.5" customHeight="1">
      <c r="A409" s="1910">
        <v>96</v>
      </c>
      <c r="B409" s="1991" t="s">
        <v>2048</v>
      </c>
      <c r="C409" s="1325" t="s">
        <v>2883</v>
      </c>
      <c r="D409" s="1985" t="s">
        <v>2884</v>
      </c>
      <c r="E409" s="1985" t="s">
        <v>210</v>
      </c>
      <c r="F409" s="1327">
        <f>SUM(F411:F411)</f>
        <v>1</v>
      </c>
      <c r="G409" s="1992"/>
      <c r="H409" s="1992">
        <f>F409*G409</f>
        <v>0</v>
      </c>
      <c r="I409" s="1993" t="s">
        <v>112</v>
      </c>
      <c r="J409" s="1994"/>
      <c r="K409" s="1994"/>
      <c r="O409" s="1995"/>
      <c r="P409" s="1994"/>
      <c r="Q409" s="1928"/>
      <c r="X409" s="1994"/>
      <c r="Y409" s="1994"/>
      <c r="Z409" s="1291"/>
      <c r="AA409" s="1291"/>
      <c r="AB409" s="1291"/>
      <c r="AC409" s="1291"/>
      <c r="AD409" s="1291"/>
      <c r="AE409" s="1291"/>
      <c r="AF409" s="1291"/>
      <c r="AG409" s="1291"/>
      <c r="AH409" s="1996"/>
    </row>
    <row r="410" spans="1:256" s="1990" customFormat="1" ht="13.5" customHeight="1">
      <c r="A410" s="1890"/>
      <c r="B410" s="1891"/>
      <c r="C410" s="342"/>
      <c r="D410" s="342" t="s">
        <v>2871</v>
      </c>
      <c r="E410" s="342"/>
      <c r="F410" s="1997"/>
      <c r="G410" s="1893"/>
      <c r="H410" s="1893"/>
      <c r="I410" s="1998"/>
      <c r="J410" s="1994"/>
      <c r="K410" s="1994"/>
      <c r="L410" s="1291"/>
      <c r="M410" s="1291"/>
      <c r="N410" s="1291"/>
      <c r="O410" s="1291"/>
      <c r="P410" s="1291"/>
      <c r="Q410" s="1291"/>
      <c r="R410" s="1291"/>
      <c r="S410" s="1291"/>
      <c r="T410" s="1291"/>
      <c r="U410" s="1291"/>
      <c r="V410" s="1602"/>
      <c r="W410" s="1291"/>
      <c r="X410" s="1994"/>
      <c r="Y410" s="1994"/>
      <c r="Z410" s="1291"/>
      <c r="AA410" s="1291"/>
      <c r="AB410" s="1291"/>
      <c r="AC410" s="1291"/>
      <c r="AD410" s="1291"/>
      <c r="AE410" s="1291"/>
      <c r="AF410" s="1291"/>
      <c r="AG410" s="1291"/>
      <c r="AH410" s="1291"/>
    </row>
    <row r="411" spans="1:256" s="1904" customFormat="1" ht="13.5" customHeight="1">
      <c r="A411" s="1898"/>
      <c r="B411" s="1899"/>
      <c r="C411" s="1899"/>
      <c r="D411" s="1899" t="s">
        <v>2686</v>
      </c>
      <c r="E411" s="1899"/>
      <c r="F411" s="1900">
        <v>1</v>
      </c>
      <c r="G411" s="1901"/>
      <c r="H411" s="1901"/>
      <c r="I411" s="1905"/>
      <c r="K411" s="1291"/>
      <c r="L411" s="1291"/>
      <c r="M411" s="1291"/>
      <c r="N411" s="1291"/>
      <c r="O411" s="1291"/>
      <c r="P411" s="1291"/>
      <c r="Q411" s="1291"/>
      <c r="R411" s="1291"/>
      <c r="S411" s="1291"/>
      <c r="T411" s="1291"/>
      <c r="U411" s="1291"/>
      <c r="V411" s="1291"/>
      <c r="W411" s="1291"/>
      <c r="X411" s="1291"/>
      <c r="Y411" s="1291"/>
      <c r="Z411" s="1291"/>
      <c r="AA411" s="1291"/>
      <c r="AB411" s="1291"/>
      <c r="AC411" s="1291"/>
      <c r="AD411" s="1291"/>
      <c r="AE411" s="1291"/>
      <c r="AF411" s="1291"/>
      <c r="AG411" s="1291"/>
      <c r="AH411" s="1291"/>
      <c r="AI411" s="1291"/>
      <c r="AJ411" s="1291"/>
      <c r="AK411" s="1291"/>
      <c r="AL411" s="1291"/>
      <c r="AM411" s="1291"/>
      <c r="AN411" s="1291"/>
      <c r="AO411" s="1291"/>
      <c r="AP411" s="1291"/>
      <c r="AQ411" s="1291"/>
      <c r="AR411" s="1903"/>
      <c r="AS411" s="1903"/>
      <c r="AT411" s="1903"/>
      <c r="AU411" s="1903"/>
      <c r="AV411" s="1903"/>
      <c r="AW411" s="1903"/>
      <c r="AX411" s="1903"/>
      <c r="AY411" s="1903"/>
      <c r="AZ411" s="1903"/>
      <c r="BA411" s="1903"/>
      <c r="BB411" s="1903"/>
      <c r="BC411" s="1903"/>
      <c r="BD411" s="1903"/>
      <c r="BE411" s="1903"/>
      <c r="BF411" s="1903"/>
      <c r="BG411" s="1903"/>
      <c r="BH411" s="1903"/>
      <c r="BI411" s="1903"/>
      <c r="BJ411" s="1903"/>
      <c r="BK411" s="1903"/>
      <c r="BL411" s="1903"/>
      <c r="BM411" s="1903"/>
      <c r="BN411" s="1903"/>
      <c r="BO411" s="1903"/>
      <c r="BP411" s="1903"/>
      <c r="BQ411" s="1903"/>
      <c r="BR411" s="1903"/>
      <c r="BS411" s="1903"/>
      <c r="BT411" s="1903"/>
      <c r="BU411" s="1903"/>
      <c r="BV411" s="1903"/>
      <c r="BW411" s="1903"/>
      <c r="BX411" s="1903"/>
      <c r="BY411" s="1903"/>
      <c r="BZ411" s="1903"/>
      <c r="CA411" s="1903"/>
      <c r="CB411" s="1903"/>
      <c r="CC411" s="1903"/>
      <c r="CD411" s="1903"/>
      <c r="CE411" s="1903"/>
      <c r="CF411" s="1903"/>
      <c r="CG411" s="1903"/>
      <c r="CH411" s="1903"/>
      <c r="CI411" s="1903"/>
      <c r="CJ411" s="1903"/>
      <c r="CK411" s="1903"/>
      <c r="CL411" s="1903"/>
      <c r="CM411" s="1903"/>
      <c r="CN411" s="1903"/>
      <c r="CO411" s="1903"/>
      <c r="CP411" s="1903"/>
      <c r="CQ411" s="1903"/>
      <c r="CR411" s="1903"/>
      <c r="CS411" s="1903"/>
      <c r="CT411" s="1903"/>
      <c r="CU411" s="1903"/>
      <c r="CV411" s="1903"/>
      <c r="CW411" s="1903"/>
      <c r="CX411" s="1903"/>
      <c r="CY411" s="1903"/>
      <c r="CZ411" s="1903"/>
      <c r="DA411" s="1903"/>
      <c r="DB411" s="1903"/>
      <c r="DC411" s="1903"/>
      <c r="DD411" s="1903"/>
      <c r="DE411" s="1903"/>
      <c r="DF411" s="1903"/>
      <c r="DG411" s="1903"/>
      <c r="DH411" s="1903"/>
      <c r="DI411" s="1903"/>
      <c r="DJ411" s="1903"/>
      <c r="DK411" s="1903"/>
      <c r="DL411" s="1903"/>
      <c r="DM411" s="1903"/>
      <c r="DN411" s="1903"/>
      <c r="DO411" s="1903"/>
      <c r="DP411" s="1903"/>
      <c r="DQ411" s="1903"/>
      <c r="DR411" s="1903"/>
      <c r="DS411" s="1903"/>
      <c r="DT411" s="1903"/>
      <c r="DU411" s="1903"/>
      <c r="DV411" s="1903"/>
      <c r="DW411" s="1903"/>
      <c r="DX411" s="1903"/>
      <c r="DY411" s="1903"/>
      <c r="DZ411" s="1903"/>
      <c r="EA411" s="1903"/>
      <c r="EB411" s="1903"/>
      <c r="EC411" s="1903"/>
      <c r="ED411" s="1903"/>
      <c r="EE411" s="1903"/>
      <c r="EF411" s="1903"/>
      <c r="EG411" s="1903"/>
      <c r="EH411" s="1903"/>
      <c r="EI411" s="1903"/>
      <c r="EJ411" s="1903"/>
      <c r="EK411" s="1903"/>
      <c r="EL411" s="1903"/>
      <c r="EM411" s="1903"/>
      <c r="EN411" s="1903"/>
      <c r="EO411" s="1903"/>
      <c r="EP411" s="1903"/>
      <c r="EQ411" s="1903"/>
      <c r="ER411" s="1903"/>
      <c r="ES411" s="1903"/>
      <c r="ET411" s="1903"/>
      <c r="EU411" s="1903"/>
      <c r="EV411" s="1903"/>
      <c r="EW411" s="1903"/>
      <c r="EX411" s="1903"/>
      <c r="EY411" s="1903"/>
      <c r="EZ411" s="1903"/>
      <c r="FA411" s="1903"/>
      <c r="FB411" s="1903"/>
      <c r="FC411" s="1903"/>
      <c r="FD411" s="1903"/>
      <c r="FE411" s="1903"/>
      <c r="FF411" s="1903"/>
      <c r="FG411" s="1903"/>
      <c r="FH411" s="1903"/>
      <c r="FI411" s="1903"/>
      <c r="FJ411" s="1903"/>
      <c r="FK411" s="1903"/>
      <c r="FL411" s="1903"/>
      <c r="FM411" s="1903"/>
      <c r="FN411" s="1903"/>
      <c r="FO411" s="1903"/>
      <c r="FP411" s="1903"/>
      <c r="FQ411" s="1903"/>
      <c r="FR411" s="1903"/>
      <c r="FS411" s="1903"/>
      <c r="FT411" s="1903"/>
      <c r="FU411" s="1903"/>
      <c r="FV411" s="1903"/>
      <c r="FW411" s="1903"/>
      <c r="FX411" s="1903"/>
      <c r="FY411" s="1903"/>
      <c r="FZ411" s="1903"/>
      <c r="GA411" s="1903"/>
      <c r="GB411" s="1903"/>
      <c r="GC411" s="1903"/>
      <c r="GD411" s="1903"/>
      <c r="GE411" s="1903"/>
      <c r="GF411" s="1903"/>
      <c r="GG411" s="1903"/>
      <c r="GH411" s="1903"/>
      <c r="GI411" s="1903"/>
      <c r="GJ411" s="1903"/>
      <c r="GK411" s="1903"/>
      <c r="GL411" s="1903"/>
      <c r="GM411" s="1903"/>
      <c r="GN411" s="1903"/>
      <c r="GO411" s="1903"/>
      <c r="GP411" s="1903"/>
      <c r="GQ411" s="1903"/>
      <c r="GR411" s="1903"/>
      <c r="GS411" s="1903"/>
      <c r="GT411" s="1903"/>
      <c r="GU411" s="1903"/>
      <c r="GV411" s="1903"/>
      <c r="GW411" s="1903"/>
      <c r="GX411" s="1903"/>
      <c r="GY411" s="1903"/>
      <c r="GZ411" s="1903"/>
      <c r="HA411" s="1903"/>
      <c r="HB411" s="1903"/>
      <c r="HC411" s="1903"/>
      <c r="HD411" s="1903"/>
      <c r="HE411" s="1903"/>
      <c r="HF411" s="1903"/>
      <c r="HG411" s="1903"/>
      <c r="HH411" s="1903"/>
      <c r="HI411" s="1903"/>
      <c r="HJ411" s="1903"/>
      <c r="HK411" s="1903"/>
      <c r="HL411" s="1903"/>
      <c r="HM411" s="1903"/>
      <c r="HN411" s="1903"/>
      <c r="HO411" s="1903"/>
      <c r="HP411" s="1903"/>
      <c r="HQ411" s="1903"/>
      <c r="HR411" s="1903"/>
      <c r="HS411" s="1903"/>
      <c r="HT411" s="1903"/>
      <c r="HU411" s="1903"/>
      <c r="HV411" s="1903"/>
      <c r="HW411" s="1903"/>
      <c r="HX411" s="1903"/>
      <c r="HY411" s="1903"/>
      <c r="HZ411" s="1903"/>
      <c r="IA411" s="1903"/>
      <c r="IB411" s="1903"/>
      <c r="IC411" s="1903"/>
      <c r="ID411" s="1903"/>
      <c r="IE411" s="1903"/>
      <c r="IF411" s="1903"/>
      <c r="IG411" s="1903"/>
      <c r="IH411" s="1903"/>
      <c r="II411" s="1903"/>
      <c r="IJ411" s="1903"/>
      <c r="IK411" s="1903"/>
      <c r="IL411" s="1903"/>
      <c r="IM411" s="1903"/>
      <c r="IN411" s="1903"/>
      <c r="IO411" s="1903"/>
      <c r="IP411" s="1903"/>
      <c r="IQ411" s="1903"/>
      <c r="IR411" s="1903"/>
      <c r="IS411" s="1903"/>
      <c r="IT411" s="1903"/>
      <c r="IU411" s="1903"/>
      <c r="IV411" s="1903"/>
    </row>
    <row r="412" spans="1:256" s="1904" customFormat="1" ht="40.5" customHeight="1">
      <c r="A412" s="1898"/>
      <c r="B412" s="1899"/>
      <c r="C412" s="1899"/>
      <c r="D412" s="342" t="s">
        <v>2872</v>
      </c>
      <c r="E412" s="1899"/>
      <c r="F412" s="1900"/>
      <c r="G412" s="1901"/>
      <c r="H412" s="1901"/>
      <c r="I412" s="1999"/>
      <c r="AP412" s="1291"/>
      <c r="AQ412" s="1291"/>
      <c r="AR412" s="1903"/>
      <c r="AS412" s="1903"/>
      <c r="AT412" s="1903"/>
      <c r="AU412" s="1903"/>
      <c r="AV412" s="1903"/>
      <c r="AW412" s="1903"/>
      <c r="AX412" s="1903"/>
      <c r="AY412" s="1903"/>
      <c r="AZ412" s="1903"/>
      <c r="BA412" s="1903"/>
      <c r="BB412" s="1903"/>
      <c r="BC412" s="1903"/>
      <c r="BD412" s="1903"/>
      <c r="BE412" s="1903"/>
      <c r="BF412" s="1903"/>
      <c r="BG412" s="1903"/>
      <c r="BH412" s="1903"/>
      <c r="BI412" s="1903"/>
      <c r="BJ412" s="1903"/>
      <c r="BK412" s="1903"/>
      <c r="BL412" s="1903"/>
      <c r="BM412" s="1903"/>
      <c r="BN412" s="1903"/>
      <c r="BO412" s="1903"/>
      <c r="BP412" s="1903"/>
      <c r="BQ412" s="1903"/>
      <c r="BR412" s="1903"/>
      <c r="BS412" s="1903"/>
      <c r="BT412" s="1903"/>
      <c r="BU412" s="1903"/>
      <c r="BV412" s="1903"/>
      <c r="BW412" s="1903"/>
      <c r="BX412" s="1903"/>
      <c r="BY412" s="1903"/>
      <c r="BZ412" s="1903"/>
      <c r="CA412" s="1903"/>
      <c r="CB412" s="1903"/>
      <c r="CC412" s="1903"/>
      <c r="CD412" s="1903"/>
      <c r="CE412" s="1903"/>
      <c r="CF412" s="1903"/>
      <c r="CG412" s="1903"/>
      <c r="CH412" s="1903"/>
      <c r="CI412" s="1903"/>
      <c r="CJ412" s="1903"/>
      <c r="CK412" s="1903"/>
      <c r="CL412" s="1903"/>
      <c r="CM412" s="1903"/>
      <c r="CN412" s="1903"/>
      <c r="CO412" s="1903"/>
      <c r="CP412" s="1903"/>
      <c r="CQ412" s="1903"/>
      <c r="CR412" s="1903"/>
      <c r="CS412" s="1903"/>
      <c r="CT412" s="1903"/>
      <c r="CU412" s="1903"/>
      <c r="CV412" s="1903"/>
      <c r="CW412" s="1903"/>
      <c r="CX412" s="1903"/>
      <c r="CY412" s="1903"/>
      <c r="CZ412" s="1903"/>
      <c r="DA412" s="1903"/>
      <c r="DB412" s="1903"/>
      <c r="DC412" s="1903"/>
      <c r="DD412" s="1903"/>
      <c r="DE412" s="1903"/>
      <c r="DF412" s="1903"/>
      <c r="DG412" s="1903"/>
      <c r="DH412" s="1903"/>
      <c r="DI412" s="1903"/>
      <c r="DJ412" s="1903"/>
      <c r="DK412" s="1903"/>
      <c r="DL412" s="1903"/>
      <c r="DM412" s="1903"/>
      <c r="DN412" s="1903"/>
      <c r="DO412" s="1903"/>
      <c r="DP412" s="1903"/>
      <c r="DQ412" s="1903"/>
      <c r="DR412" s="1903"/>
      <c r="DS412" s="1903"/>
      <c r="DT412" s="1903"/>
      <c r="DU412" s="1903"/>
      <c r="DV412" s="1903"/>
      <c r="DW412" s="1903"/>
      <c r="DX412" s="1903"/>
      <c r="DY412" s="1903"/>
      <c r="DZ412" s="1903"/>
      <c r="EA412" s="1903"/>
      <c r="EB412" s="1903"/>
      <c r="EC412" s="1903"/>
      <c r="ED412" s="1903"/>
      <c r="EE412" s="1903"/>
      <c r="EF412" s="1903"/>
      <c r="EG412" s="1903"/>
      <c r="EH412" s="1903"/>
      <c r="EI412" s="1903"/>
      <c r="EJ412" s="1903"/>
      <c r="EK412" s="1903"/>
      <c r="EL412" s="1903"/>
      <c r="EM412" s="1903"/>
      <c r="EN412" s="1903"/>
      <c r="EO412" s="1903"/>
      <c r="EP412" s="1903"/>
      <c r="EQ412" s="1903"/>
      <c r="ER412" s="1903"/>
      <c r="ES412" s="1903"/>
      <c r="ET412" s="1903"/>
      <c r="EU412" s="1903"/>
      <c r="EV412" s="1903"/>
      <c r="EW412" s="1903"/>
      <c r="EX412" s="1903"/>
      <c r="EY412" s="1903"/>
      <c r="EZ412" s="1903"/>
      <c r="FA412" s="1903"/>
      <c r="FB412" s="1903"/>
      <c r="FC412" s="1903"/>
      <c r="FD412" s="1903"/>
      <c r="FE412" s="1903"/>
      <c r="FF412" s="1903"/>
      <c r="FG412" s="1903"/>
      <c r="FH412" s="1903"/>
      <c r="FI412" s="1903"/>
      <c r="FJ412" s="1903"/>
      <c r="FK412" s="1903"/>
      <c r="FL412" s="1903"/>
      <c r="FM412" s="1903"/>
      <c r="FN412" s="1903"/>
      <c r="FO412" s="1903"/>
      <c r="FP412" s="1903"/>
      <c r="FQ412" s="1903"/>
      <c r="FR412" s="1903"/>
      <c r="FS412" s="1903"/>
      <c r="FT412" s="1903"/>
      <c r="FU412" s="1903"/>
      <c r="FV412" s="1903"/>
      <c r="FW412" s="1903"/>
      <c r="FX412" s="1903"/>
      <c r="FY412" s="1903"/>
      <c r="FZ412" s="1903"/>
      <c r="GA412" s="1903"/>
      <c r="GB412" s="1903"/>
      <c r="GC412" s="1903"/>
      <c r="GD412" s="1903"/>
      <c r="GE412" s="1903"/>
      <c r="GF412" s="1903"/>
      <c r="GG412" s="1903"/>
      <c r="GH412" s="1903"/>
      <c r="GI412" s="1903"/>
      <c r="GJ412" s="1903"/>
      <c r="GK412" s="1903"/>
      <c r="GL412" s="1903"/>
      <c r="GM412" s="1903"/>
      <c r="GN412" s="1903"/>
      <c r="GO412" s="1903"/>
      <c r="GP412" s="1903"/>
      <c r="GQ412" s="1903"/>
      <c r="GR412" s="1903"/>
      <c r="GS412" s="1903"/>
      <c r="GT412" s="1903"/>
      <c r="GU412" s="1903"/>
      <c r="GV412" s="1903"/>
      <c r="GW412" s="1903"/>
      <c r="GX412" s="1903"/>
      <c r="GY412" s="1903"/>
      <c r="GZ412" s="1903"/>
      <c r="HA412" s="1903"/>
      <c r="HB412" s="1903"/>
      <c r="HC412" s="1903"/>
      <c r="HD412" s="1903"/>
      <c r="HE412" s="1903"/>
      <c r="HF412" s="1903"/>
      <c r="HG412" s="1903"/>
      <c r="HH412" s="1903"/>
      <c r="HI412" s="1903"/>
      <c r="HJ412" s="1903"/>
      <c r="HK412" s="1903"/>
      <c r="HL412" s="1903"/>
      <c r="HM412" s="1903"/>
      <c r="HN412" s="1903"/>
      <c r="HO412" s="1903"/>
      <c r="HP412" s="1903"/>
      <c r="HQ412" s="1903"/>
      <c r="HR412" s="1903"/>
      <c r="HS412" s="1903"/>
      <c r="HT412" s="1903"/>
      <c r="HU412" s="1903"/>
      <c r="HV412" s="1903"/>
      <c r="HW412" s="1903"/>
      <c r="HX412" s="1903"/>
      <c r="HY412" s="1903"/>
      <c r="HZ412" s="1903"/>
      <c r="IA412" s="1903"/>
      <c r="IB412" s="1903"/>
      <c r="IC412" s="1903"/>
      <c r="ID412" s="1903"/>
      <c r="IE412" s="1903"/>
      <c r="IF412" s="1903"/>
      <c r="IG412" s="1903"/>
      <c r="IH412" s="1903"/>
      <c r="II412" s="1903"/>
      <c r="IJ412" s="1903"/>
      <c r="IK412" s="1903"/>
      <c r="IL412" s="1903"/>
      <c r="IM412" s="1903"/>
      <c r="IN412" s="1903"/>
      <c r="IO412" s="1903"/>
      <c r="IP412" s="1903"/>
      <c r="IQ412" s="1903"/>
      <c r="IR412" s="1903"/>
      <c r="IS412" s="1903"/>
      <c r="IT412" s="1903"/>
      <c r="IU412" s="1903"/>
      <c r="IV412" s="1903"/>
    </row>
    <row r="413" spans="1:256" s="1990" customFormat="1" ht="13.5" customHeight="1">
      <c r="A413" s="1910">
        <v>97</v>
      </c>
      <c r="B413" s="1991" t="s">
        <v>2048</v>
      </c>
      <c r="C413" s="1325" t="s">
        <v>2885</v>
      </c>
      <c r="D413" s="1985" t="s">
        <v>2886</v>
      </c>
      <c r="E413" s="1985" t="s">
        <v>210</v>
      </c>
      <c r="F413" s="1327">
        <f>SUM(F415:F415)</f>
        <v>1</v>
      </c>
      <c r="G413" s="1992"/>
      <c r="H413" s="1992">
        <f>F413*G413</f>
        <v>0</v>
      </c>
      <c r="I413" s="1993" t="s">
        <v>112</v>
      </c>
      <c r="J413" s="1994"/>
      <c r="K413" s="1994"/>
      <c r="O413" s="1995"/>
      <c r="P413" s="1994"/>
      <c r="Q413" s="1928"/>
      <c r="X413" s="1994"/>
      <c r="Y413" s="1994"/>
      <c r="Z413" s="1291"/>
      <c r="AA413" s="1291"/>
      <c r="AB413" s="1291"/>
      <c r="AC413" s="1291"/>
      <c r="AD413" s="1291"/>
      <c r="AE413" s="1291"/>
      <c r="AF413" s="1291"/>
      <c r="AG413" s="1291"/>
      <c r="AH413" s="1996"/>
    </row>
    <row r="414" spans="1:256" s="1990" customFormat="1" ht="13.5" customHeight="1">
      <c r="A414" s="1890"/>
      <c r="B414" s="1891"/>
      <c r="C414" s="342"/>
      <c r="D414" s="342" t="s">
        <v>2871</v>
      </c>
      <c r="E414" s="342"/>
      <c r="F414" s="1997"/>
      <c r="G414" s="1893"/>
      <c r="H414" s="1893"/>
      <c r="I414" s="1998"/>
      <c r="J414" s="1994"/>
      <c r="K414" s="1994"/>
      <c r="L414" s="1291"/>
      <c r="M414" s="1291"/>
      <c r="N414" s="1291"/>
      <c r="O414" s="1291"/>
      <c r="P414" s="1291"/>
      <c r="Q414" s="1291"/>
      <c r="R414" s="1291"/>
      <c r="S414" s="1291"/>
      <c r="T414" s="1291"/>
      <c r="U414" s="1291"/>
      <c r="V414" s="1602"/>
      <c r="W414" s="1291"/>
      <c r="X414" s="1994"/>
      <c r="Y414" s="1994"/>
      <c r="Z414" s="1291"/>
      <c r="AA414" s="1291"/>
      <c r="AB414" s="1291"/>
      <c r="AC414" s="1291"/>
      <c r="AD414" s="1291"/>
      <c r="AE414" s="1291"/>
      <c r="AF414" s="1291"/>
      <c r="AG414" s="1291"/>
      <c r="AH414" s="1291"/>
    </row>
    <row r="415" spans="1:256" s="1904" customFormat="1" ht="13.5" customHeight="1">
      <c r="A415" s="1898"/>
      <c r="B415" s="1899"/>
      <c r="C415" s="1899"/>
      <c r="D415" s="1899" t="s">
        <v>2686</v>
      </c>
      <c r="E415" s="1899"/>
      <c r="F415" s="1900">
        <v>1</v>
      </c>
      <c r="G415" s="1901"/>
      <c r="H415" s="1901"/>
      <c r="I415" s="1905"/>
      <c r="K415" s="1291"/>
      <c r="L415" s="1291"/>
      <c r="M415" s="1291"/>
      <c r="N415" s="1291"/>
      <c r="O415" s="1291"/>
      <c r="P415" s="1291"/>
      <c r="Q415" s="1291"/>
      <c r="R415" s="1291"/>
      <c r="S415" s="1291"/>
      <c r="T415" s="1291"/>
      <c r="U415" s="1291"/>
      <c r="V415" s="1291"/>
      <c r="W415" s="1291"/>
      <c r="X415" s="1291"/>
      <c r="Y415" s="1291"/>
      <c r="Z415" s="1291"/>
      <c r="AA415" s="1291"/>
      <c r="AB415" s="1291"/>
      <c r="AC415" s="1291"/>
      <c r="AD415" s="1291"/>
      <c r="AE415" s="1291"/>
      <c r="AF415" s="1291"/>
      <c r="AG415" s="1291"/>
      <c r="AH415" s="1291"/>
      <c r="AI415" s="1291"/>
      <c r="AJ415" s="1291"/>
      <c r="AK415" s="1291"/>
      <c r="AL415" s="1291"/>
      <c r="AM415" s="1291"/>
      <c r="AN415" s="1291"/>
      <c r="AO415" s="1291"/>
      <c r="AP415" s="1291"/>
      <c r="AQ415" s="1291"/>
      <c r="AR415" s="1903"/>
      <c r="AS415" s="1903"/>
      <c r="AT415" s="1903"/>
      <c r="AU415" s="1903"/>
      <c r="AV415" s="1903"/>
      <c r="AW415" s="1903"/>
      <c r="AX415" s="1903"/>
      <c r="AY415" s="1903"/>
      <c r="AZ415" s="1903"/>
      <c r="BA415" s="1903"/>
      <c r="BB415" s="1903"/>
      <c r="BC415" s="1903"/>
      <c r="BD415" s="1903"/>
      <c r="BE415" s="1903"/>
      <c r="BF415" s="1903"/>
      <c r="BG415" s="1903"/>
      <c r="BH415" s="1903"/>
      <c r="BI415" s="1903"/>
      <c r="BJ415" s="1903"/>
      <c r="BK415" s="1903"/>
      <c r="BL415" s="1903"/>
      <c r="BM415" s="1903"/>
      <c r="BN415" s="1903"/>
      <c r="BO415" s="1903"/>
      <c r="BP415" s="1903"/>
      <c r="BQ415" s="1903"/>
      <c r="BR415" s="1903"/>
      <c r="BS415" s="1903"/>
      <c r="BT415" s="1903"/>
      <c r="BU415" s="1903"/>
      <c r="BV415" s="1903"/>
      <c r="BW415" s="1903"/>
      <c r="BX415" s="1903"/>
      <c r="BY415" s="1903"/>
      <c r="BZ415" s="1903"/>
      <c r="CA415" s="1903"/>
      <c r="CB415" s="1903"/>
      <c r="CC415" s="1903"/>
      <c r="CD415" s="1903"/>
      <c r="CE415" s="1903"/>
      <c r="CF415" s="1903"/>
      <c r="CG415" s="1903"/>
      <c r="CH415" s="1903"/>
      <c r="CI415" s="1903"/>
      <c r="CJ415" s="1903"/>
      <c r="CK415" s="1903"/>
      <c r="CL415" s="1903"/>
      <c r="CM415" s="1903"/>
      <c r="CN415" s="1903"/>
      <c r="CO415" s="1903"/>
      <c r="CP415" s="1903"/>
      <c r="CQ415" s="1903"/>
      <c r="CR415" s="1903"/>
      <c r="CS415" s="1903"/>
      <c r="CT415" s="1903"/>
      <c r="CU415" s="1903"/>
      <c r="CV415" s="1903"/>
      <c r="CW415" s="1903"/>
      <c r="CX415" s="1903"/>
      <c r="CY415" s="1903"/>
      <c r="CZ415" s="1903"/>
      <c r="DA415" s="1903"/>
      <c r="DB415" s="1903"/>
      <c r="DC415" s="1903"/>
      <c r="DD415" s="1903"/>
      <c r="DE415" s="1903"/>
      <c r="DF415" s="1903"/>
      <c r="DG415" s="1903"/>
      <c r="DH415" s="1903"/>
      <c r="DI415" s="1903"/>
      <c r="DJ415" s="1903"/>
      <c r="DK415" s="1903"/>
      <c r="DL415" s="1903"/>
      <c r="DM415" s="1903"/>
      <c r="DN415" s="1903"/>
      <c r="DO415" s="1903"/>
      <c r="DP415" s="1903"/>
      <c r="DQ415" s="1903"/>
      <c r="DR415" s="1903"/>
      <c r="DS415" s="1903"/>
      <c r="DT415" s="1903"/>
      <c r="DU415" s="1903"/>
      <c r="DV415" s="1903"/>
      <c r="DW415" s="1903"/>
      <c r="DX415" s="1903"/>
      <c r="DY415" s="1903"/>
      <c r="DZ415" s="1903"/>
      <c r="EA415" s="1903"/>
      <c r="EB415" s="1903"/>
      <c r="EC415" s="1903"/>
      <c r="ED415" s="1903"/>
      <c r="EE415" s="1903"/>
      <c r="EF415" s="1903"/>
      <c r="EG415" s="1903"/>
      <c r="EH415" s="1903"/>
      <c r="EI415" s="1903"/>
      <c r="EJ415" s="1903"/>
      <c r="EK415" s="1903"/>
      <c r="EL415" s="1903"/>
      <c r="EM415" s="1903"/>
      <c r="EN415" s="1903"/>
      <c r="EO415" s="1903"/>
      <c r="EP415" s="1903"/>
      <c r="EQ415" s="1903"/>
      <c r="ER415" s="1903"/>
      <c r="ES415" s="1903"/>
      <c r="ET415" s="1903"/>
      <c r="EU415" s="1903"/>
      <c r="EV415" s="1903"/>
      <c r="EW415" s="1903"/>
      <c r="EX415" s="1903"/>
      <c r="EY415" s="1903"/>
      <c r="EZ415" s="1903"/>
      <c r="FA415" s="1903"/>
      <c r="FB415" s="1903"/>
      <c r="FC415" s="1903"/>
      <c r="FD415" s="1903"/>
      <c r="FE415" s="1903"/>
      <c r="FF415" s="1903"/>
      <c r="FG415" s="1903"/>
      <c r="FH415" s="1903"/>
      <c r="FI415" s="1903"/>
      <c r="FJ415" s="1903"/>
      <c r="FK415" s="1903"/>
      <c r="FL415" s="1903"/>
      <c r="FM415" s="1903"/>
      <c r="FN415" s="1903"/>
      <c r="FO415" s="1903"/>
      <c r="FP415" s="1903"/>
      <c r="FQ415" s="1903"/>
      <c r="FR415" s="1903"/>
      <c r="FS415" s="1903"/>
      <c r="FT415" s="1903"/>
      <c r="FU415" s="1903"/>
      <c r="FV415" s="1903"/>
      <c r="FW415" s="1903"/>
      <c r="FX415" s="1903"/>
      <c r="FY415" s="1903"/>
      <c r="FZ415" s="1903"/>
      <c r="GA415" s="1903"/>
      <c r="GB415" s="1903"/>
      <c r="GC415" s="1903"/>
      <c r="GD415" s="1903"/>
      <c r="GE415" s="1903"/>
      <c r="GF415" s="1903"/>
      <c r="GG415" s="1903"/>
      <c r="GH415" s="1903"/>
      <c r="GI415" s="1903"/>
      <c r="GJ415" s="1903"/>
      <c r="GK415" s="1903"/>
      <c r="GL415" s="1903"/>
      <c r="GM415" s="1903"/>
      <c r="GN415" s="1903"/>
      <c r="GO415" s="1903"/>
      <c r="GP415" s="1903"/>
      <c r="GQ415" s="1903"/>
      <c r="GR415" s="1903"/>
      <c r="GS415" s="1903"/>
      <c r="GT415" s="1903"/>
      <c r="GU415" s="1903"/>
      <c r="GV415" s="1903"/>
      <c r="GW415" s="1903"/>
      <c r="GX415" s="1903"/>
      <c r="GY415" s="1903"/>
      <c r="GZ415" s="1903"/>
      <c r="HA415" s="1903"/>
      <c r="HB415" s="1903"/>
      <c r="HC415" s="1903"/>
      <c r="HD415" s="1903"/>
      <c r="HE415" s="1903"/>
      <c r="HF415" s="1903"/>
      <c r="HG415" s="1903"/>
      <c r="HH415" s="1903"/>
      <c r="HI415" s="1903"/>
      <c r="HJ415" s="1903"/>
      <c r="HK415" s="1903"/>
      <c r="HL415" s="1903"/>
      <c r="HM415" s="1903"/>
      <c r="HN415" s="1903"/>
      <c r="HO415" s="1903"/>
      <c r="HP415" s="1903"/>
      <c r="HQ415" s="1903"/>
      <c r="HR415" s="1903"/>
      <c r="HS415" s="1903"/>
      <c r="HT415" s="1903"/>
      <c r="HU415" s="1903"/>
      <c r="HV415" s="1903"/>
      <c r="HW415" s="1903"/>
      <c r="HX415" s="1903"/>
      <c r="HY415" s="1903"/>
      <c r="HZ415" s="1903"/>
      <c r="IA415" s="1903"/>
      <c r="IB415" s="1903"/>
      <c r="IC415" s="1903"/>
      <c r="ID415" s="1903"/>
      <c r="IE415" s="1903"/>
      <c r="IF415" s="1903"/>
      <c r="IG415" s="1903"/>
      <c r="IH415" s="1903"/>
      <c r="II415" s="1903"/>
      <c r="IJ415" s="1903"/>
      <c r="IK415" s="1903"/>
      <c r="IL415" s="1903"/>
      <c r="IM415" s="1903"/>
      <c r="IN415" s="1903"/>
      <c r="IO415" s="1903"/>
      <c r="IP415" s="1903"/>
      <c r="IQ415" s="1903"/>
      <c r="IR415" s="1903"/>
      <c r="IS415" s="1903"/>
      <c r="IT415" s="1903"/>
      <c r="IU415" s="1903"/>
      <c r="IV415" s="1903"/>
    </row>
    <row r="416" spans="1:256" s="1904" customFormat="1" ht="40.5" customHeight="1">
      <c r="A416" s="1898"/>
      <c r="B416" s="1899"/>
      <c r="C416" s="1899"/>
      <c r="D416" s="342" t="s">
        <v>2872</v>
      </c>
      <c r="E416" s="1899"/>
      <c r="F416" s="1900"/>
      <c r="G416" s="1901"/>
      <c r="H416" s="1901"/>
      <c r="I416" s="1999"/>
      <c r="AP416" s="1291"/>
      <c r="AQ416" s="1291"/>
      <c r="AR416" s="1903"/>
      <c r="AS416" s="1903"/>
      <c r="AT416" s="1903"/>
      <c r="AU416" s="1903"/>
      <c r="AV416" s="1903"/>
      <c r="AW416" s="1903"/>
      <c r="AX416" s="1903"/>
      <c r="AY416" s="1903"/>
      <c r="AZ416" s="1903"/>
      <c r="BA416" s="1903"/>
      <c r="BB416" s="1903"/>
      <c r="BC416" s="1903"/>
      <c r="BD416" s="1903"/>
      <c r="BE416" s="1903"/>
      <c r="BF416" s="1903"/>
      <c r="BG416" s="1903"/>
      <c r="BH416" s="1903"/>
      <c r="BI416" s="1903"/>
      <c r="BJ416" s="1903"/>
      <c r="BK416" s="1903"/>
      <c r="BL416" s="1903"/>
      <c r="BM416" s="1903"/>
      <c r="BN416" s="1903"/>
      <c r="BO416" s="1903"/>
      <c r="BP416" s="1903"/>
      <c r="BQ416" s="1903"/>
      <c r="BR416" s="1903"/>
      <c r="BS416" s="1903"/>
      <c r="BT416" s="1903"/>
      <c r="BU416" s="1903"/>
      <c r="BV416" s="1903"/>
      <c r="BW416" s="1903"/>
      <c r="BX416" s="1903"/>
      <c r="BY416" s="1903"/>
      <c r="BZ416" s="1903"/>
      <c r="CA416" s="1903"/>
      <c r="CB416" s="1903"/>
      <c r="CC416" s="1903"/>
      <c r="CD416" s="1903"/>
      <c r="CE416" s="1903"/>
      <c r="CF416" s="1903"/>
      <c r="CG416" s="1903"/>
      <c r="CH416" s="1903"/>
      <c r="CI416" s="1903"/>
      <c r="CJ416" s="1903"/>
      <c r="CK416" s="1903"/>
      <c r="CL416" s="1903"/>
      <c r="CM416" s="1903"/>
      <c r="CN416" s="1903"/>
      <c r="CO416" s="1903"/>
      <c r="CP416" s="1903"/>
      <c r="CQ416" s="1903"/>
      <c r="CR416" s="1903"/>
      <c r="CS416" s="1903"/>
      <c r="CT416" s="1903"/>
      <c r="CU416" s="1903"/>
      <c r="CV416" s="1903"/>
      <c r="CW416" s="1903"/>
      <c r="CX416" s="1903"/>
      <c r="CY416" s="1903"/>
      <c r="CZ416" s="1903"/>
      <c r="DA416" s="1903"/>
      <c r="DB416" s="1903"/>
      <c r="DC416" s="1903"/>
      <c r="DD416" s="1903"/>
      <c r="DE416" s="1903"/>
      <c r="DF416" s="1903"/>
      <c r="DG416" s="1903"/>
      <c r="DH416" s="1903"/>
      <c r="DI416" s="1903"/>
      <c r="DJ416" s="1903"/>
      <c r="DK416" s="1903"/>
      <c r="DL416" s="1903"/>
      <c r="DM416" s="1903"/>
      <c r="DN416" s="1903"/>
      <c r="DO416" s="1903"/>
      <c r="DP416" s="1903"/>
      <c r="DQ416" s="1903"/>
      <c r="DR416" s="1903"/>
      <c r="DS416" s="1903"/>
      <c r="DT416" s="1903"/>
      <c r="DU416" s="1903"/>
      <c r="DV416" s="1903"/>
      <c r="DW416" s="1903"/>
      <c r="DX416" s="1903"/>
      <c r="DY416" s="1903"/>
      <c r="DZ416" s="1903"/>
      <c r="EA416" s="1903"/>
      <c r="EB416" s="1903"/>
      <c r="EC416" s="1903"/>
      <c r="ED416" s="1903"/>
      <c r="EE416" s="1903"/>
      <c r="EF416" s="1903"/>
      <c r="EG416" s="1903"/>
      <c r="EH416" s="1903"/>
      <c r="EI416" s="1903"/>
      <c r="EJ416" s="1903"/>
      <c r="EK416" s="1903"/>
      <c r="EL416" s="1903"/>
      <c r="EM416" s="1903"/>
      <c r="EN416" s="1903"/>
      <c r="EO416" s="1903"/>
      <c r="EP416" s="1903"/>
      <c r="EQ416" s="1903"/>
      <c r="ER416" s="1903"/>
      <c r="ES416" s="1903"/>
      <c r="ET416" s="1903"/>
      <c r="EU416" s="1903"/>
      <c r="EV416" s="1903"/>
      <c r="EW416" s="1903"/>
      <c r="EX416" s="1903"/>
      <c r="EY416" s="1903"/>
      <c r="EZ416" s="1903"/>
      <c r="FA416" s="1903"/>
      <c r="FB416" s="1903"/>
      <c r="FC416" s="1903"/>
      <c r="FD416" s="1903"/>
      <c r="FE416" s="1903"/>
      <c r="FF416" s="1903"/>
      <c r="FG416" s="1903"/>
      <c r="FH416" s="1903"/>
      <c r="FI416" s="1903"/>
      <c r="FJ416" s="1903"/>
      <c r="FK416" s="1903"/>
      <c r="FL416" s="1903"/>
      <c r="FM416" s="1903"/>
      <c r="FN416" s="1903"/>
      <c r="FO416" s="1903"/>
      <c r="FP416" s="1903"/>
      <c r="FQ416" s="1903"/>
      <c r="FR416" s="1903"/>
      <c r="FS416" s="1903"/>
      <c r="FT416" s="1903"/>
      <c r="FU416" s="1903"/>
      <c r="FV416" s="1903"/>
      <c r="FW416" s="1903"/>
      <c r="FX416" s="1903"/>
      <c r="FY416" s="1903"/>
      <c r="FZ416" s="1903"/>
      <c r="GA416" s="1903"/>
      <c r="GB416" s="1903"/>
      <c r="GC416" s="1903"/>
      <c r="GD416" s="1903"/>
      <c r="GE416" s="1903"/>
      <c r="GF416" s="1903"/>
      <c r="GG416" s="1903"/>
      <c r="GH416" s="1903"/>
      <c r="GI416" s="1903"/>
      <c r="GJ416" s="1903"/>
      <c r="GK416" s="1903"/>
      <c r="GL416" s="1903"/>
      <c r="GM416" s="1903"/>
      <c r="GN416" s="1903"/>
      <c r="GO416" s="1903"/>
      <c r="GP416" s="1903"/>
      <c r="GQ416" s="1903"/>
      <c r="GR416" s="1903"/>
      <c r="GS416" s="1903"/>
      <c r="GT416" s="1903"/>
      <c r="GU416" s="1903"/>
      <c r="GV416" s="1903"/>
      <c r="GW416" s="1903"/>
      <c r="GX416" s="1903"/>
      <c r="GY416" s="1903"/>
      <c r="GZ416" s="1903"/>
      <c r="HA416" s="1903"/>
      <c r="HB416" s="1903"/>
      <c r="HC416" s="1903"/>
      <c r="HD416" s="1903"/>
      <c r="HE416" s="1903"/>
      <c r="HF416" s="1903"/>
      <c r="HG416" s="1903"/>
      <c r="HH416" s="1903"/>
      <c r="HI416" s="1903"/>
      <c r="HJ416" s="1903"/>
      <c r="HK416" s="1903"/>
      <c r="HL416" s="1903"/>
      <c r="HM416" s="1903"/>
      <c r="HN416" s="1903"/>
      <c r="HO416" s="1903"/>
      <c r="HP416" s="1903"/>
      <c r="HQ416" s="1903"/>
      <c r="HR416" s="1903"/>
      <c r="HS416" s="1903"/>
      <c r="HT416" s="1903"/>
      <c r="HU416" s="1903"/>
      <c r="HV416" s="1903"/>
      <c r="HW416" s="1903"/>
      <c r="HX416" s="1903"/>
      <c r="HY416" s="1903"/>
      <c r="HZ416" s="1903"/>
      <c r="IA416" s="1903"/>
      <c r="IB416" s="1903"/>
      <c r="IC416" s="1903"/>
      <c r="ID416" s="1903"/>
      <c r="IE416" s="1903"/>
      <c r="IF416" s="1903"/>
      <c r="IG416" s="1903"/>
      <c r="IH416" s="1903"/>
      <c r="II416" s="1903"/>
      <c r="IJ416" s="1903"/>
      <c r="IK416" s="1903"/>
      <c r="IL416" s="1903"/>
      <c r="IM416" s="1903"/>
      <c r="IN416" s="1903"/>
      <c r="IO416" s="1903"/>
      <c r="IP416" s="1903"/>
      <c r="IQ416" s="1903"/>
      <c r="IR416" s="1903"/>
      <c r="IS416" s="1903"/>
      <c r="IT416" s="1903"/>
      <c r="IU416" s="1903"/>
      <c r="IV416" s="1903"/>
    </row>
    <row r="417" spans="1:256" s="1990" customFormat="1" ht="13.5" customHeight="1">
      <c r="A417" s="1910">
        <v>98</v>
      </c>
      <c r="B417" s="1991" t="s">
        <v>2048</v>
      </c>
      <c r="C417" s="1325" t="s">
        <v>2887</v>
      </c>
      <c r="D417" s="1985" t="s">
        <v>2888</v>
      </c>
      <c r="E417" s="1985" t="s">
        <v>210</v>
      </c>
      <c r="F417" s="1327">
        <f>SUM(F419:F419)</f>
        <v>9</v>
      </c>
      <c r="G417" s="1992"/>
      <c r="H417" s="1992">
        <f>F417*G417</f>
        <v>0</v>
      </c>
      <c r="I417" s="1993" t="s">
        <v>112</v>
      </c>
      <c r="J417" s="1994"/>
      <c r="K417" s="1994"/>
      <c r="O417" s="1995"/>
      <c r="P417" s="1994"/>
      <c r="Q417" s="1928"/>
      <c r="X417" s="1994"/>
      <c r="Y417" s="1994"/>
      <c r="Z417" s="1291"/>
      <c r="AA417" s="1291"/>
      <c r="AB417" s="1291"/>
      <c r="AC417" s="1291"/>
      <c r="AD417" s="1291"/>
      <c r="AE417" s="1291"/>
      <c r="AF417" s="1291"/>
      <c r="AG417" s="1291"/>
      <c r="AH417" s="1996"/>
    </row>
    <row r="418" spans="1:256" s="1990" customFormat="1" ht="13.5" customHeight="1">
      <c r="A418" s="1890"/>
      <c r="B418" s="1891"/>
      <c r="C418" s="342"/>
      <c r="D418" s="342" t="s">
        <v>2871</v>
      </c>
      <c r="E418" s="342"/>
      <c r="F418" s="1997"/>
      <c r="G418" s="1893"/>
      <c r="H418" s="1893"/>
      <c r="I418" s="1998"/>
      <c r="J418" s="1994"/>
      <c r="K418" s="1994"/>
      <c r="L418" s="1291"/>
      <c r="M418" s="1291"/>
      <c r="N418" s="1291"/>
      <c r="O418" s="1291"/>
      <c r="P418" s="1291"/>
      <c r="Q418" s="1291"/>
      <c r="R418" s="1291"/>
      <c r="S418" s="1291"/>
      <c r="T418" s="1291"/>
      <c r="U418" s="1291"/>
      <c r="V418" s="1602"/>
      <c r="W418" s="1291"/>
      <c r="X418" s="1994"/>
      <c r="Y418" s="1994"/>
      <c r="Z418" s="1291"/>
      <c r="AA418" s="1291"/>
      <c r="AB418" s="1291"/>
      <c r="AC418" s="1291"/>
      <c r="AD418" s="1291"/>
      <c r="AE418" s="1291"/>
      <c r="AF418" s="1291"/>
      <c r="AG418" s="1291"/>
      <c r="AH418" s="1291"/>
    </row>
    <row r="419" spans="1:256" s="1904" customFormat="1" ht="13.5" customHeight="1">
      <c r="A419" s="1898"/>
      <c r="B419" s="1899"/>
      <c r="C419" s="1899"/>
      <c r="D419" s="1899" t="s">
        <v>2686</v>
      </c>
      <c r="E419" s="1899"/>
      <c r="F419" s="1900">
        <v>9</v>
      </c>
      <c r="G419" s="1901"/>
      <c r="H419" s="1901"/>
      <c r="I419" s="1905"/>
      <c r="K419" s="1291"/>
      <c r="L419" s="1291"/>
      <c r="M419" s="1291"/>
      <c r="N419" s="1291"/>
      <c r="O419" s="1291"/>
      <c r="P419" s="1291"/>
      <c r="Q419" s="1291"/>
      <c r="R419" s="1291"/>
      <c r="S419" s="1291"/>
      <c r="T419" s="1291"/>
      <c r="U419" s="1291"/>
      <c r="V419" s="1291"/>
      <c r="W419" s="1291"/>
      <c r="X419" s="1291"/>
      <c r="Y419" s="1291"/>
      <c r="Z419" s="1291"/>
      <c r="AA419" s="1291"/>
      <c r="AB419" s="1291"/>
      <c r="AC419" s="1291"/>
      <c r="AD419" s="1291"/>
      <c r="AE419" s="1291"/>
      <c r="AF419" s="1291"/>
      <c r="AG419" s="1291"/>
      <c r="AH419" s="1291"/>
      <c r="AI419" s="1291"/>
      <c r="AJ419" s="1291"/>
      <c r="AK419" s="1291"/>
      <c r="AL419" s="1291"/>
      <c r="AM419" s="1291"/>
      <c r="AN419" s="1291"/>
      <c r="AO419" s="1291"/>
      <c r="AP419" s="1291"/>
      <c r="AQ419" s="1291"/>
      <c r="AR419" s="1903"/>
      <c r="AS419" s="1903"/>
      <c r="AT419" s="1903"/>
      <c r="AU419" s="1903"/>
      <c r="AV419" s="1903"/>
      <c r="AW419" s="1903"/>
      <c r="AX419" s="1903"/>
      <c r="AY419" s="1903"/>
      <c r="AZ419" s="1903"/>
      <c r="BA419" s="1903"/>
      <c r="BB419" s="1903"/>
      <c r="BC419" s="1903"/>
      <c r="BD419" s="1903"/>
      <c r="BE419" s="1903"/>
      <c r="BF419" s="1903"/>
      <c r="BG419" s="1903"/>
      <c r="BH419" s="1903"/>
      <c r="BI419" s="1903"/>
      <c r="BJ419" s="1903"/>
      <c r="BK419" s="1903"/>
      <c r="BL419" s="1903"/>
      <c r="BM419" s="1903"/>
      <c r="BN419" s="1903"/>
      <c r="BO419" s="1903"/>
      <c r="BP419" s="1903"/>
      <c r="BQ419" s="1903"/>
      <c r="BR419" s="1903"/>
      <c r="BS419" s="1903"/>
      <c r="BT419" s="1903"/>
      <c r="BU419" s="1903"/>
      <c r="BV419" s="1903"/>
      <c r="BW419" s="1903"/>
      <c r="BX419" s="1903"/>
      <c r="BY419" s="1903"/>
      <c r="BZ419" s="1903"/>
      <c r="CA419" s="1903"/>
      <c r="CB419" s="1903"/>
      <c r="CC419" s="1903"/>
      <c r="CD419" s="1903"/>
      <c r="CE419" s="1903"/>
      <c r="CF419" s="1903"/>
      <c r="CG419" s="1903"/>
      <c r="CH419" s="1903"/>
      <c r="CI419" s="1903"/>
      <c r="CJ419" s="1903"/>
      <c r="CK419" s="1903"/>
      <c r="CL419" s="1903"/>
      <c r="CM419" s="1903"/>
      <c r="CN419" s="1903"/>
      <c r="CO419" s="1903"/>
      <c r="CP419" s="1903"/>
      <c r="CQ419" s="1903"/>
      <c r="CR419" s="1903"/>
      <c r="CS419" s="1903"/>
      <c r="CT419" s="1903"/>
      <c r="CU419" s="1903"/>
      <c r="CV419" s="1903"/>
      <c r="CW419" s="1903"/>
      <c r="CX419" s="1903"/>
      <c r="CY419" s="1903"/>
      <c r="CZ419" s="1903"/>
      <c r="DA419" s="1903"/>
      <c r="DB419" s="1903"/>
      <c r="DC419" s="1903"/>
      <c r="DD419" s="1903"/>
      <c r="DE419" s="1903"/>
      <c r="DF419" s="1903"/>
      <c r="DG419" s="1903"/>
      <c r="DH419" s="1903"/>
      <c r="DI419" s="1903"/>
      <c r="DJ419" s="1903"/>
      <c r="DK419" s="1903"/>
      <c r="DL419" s="1903"/>
      <c r="DM419" s="1903"/>
      <c r="DN419" s="1903"/>
      <c r="DO419" s="1903"/>
      <c r="DP419" s="1903"/>
      <c r="DQ419" s="1903"/>
      <c r="DR419" s="1903"/>
      <c r="DS419" s="1903"/>
      <c r="DT419" s="1903"/>
      <c r="DU419" s="1903"/>
      <c r="DV419" s="1903"/>
      <c r="DW419" s="1903"/>
      <c r="DX419" s="1903"/>
      <c r="DY419" s="1903"/>
      <c r="DZ419" s="1903"/>
      <c r="EA419" s="1903"/>
      <c r="EB419" s="1903"/>
      <c r="EC419" s="1903"/>
      <c r="ED419" s="1903"/>
      <c r="EE419" s="1903"/>
      <c r="EF419" s="1903"/>
      <c r="EG419" s="1903"/>
      <c r="EH419" s="1903"/>
      <c r="EI419" s="1903"/>
      <c r="EJ419" s="1903"/>
      <c r="EK419" s="1903"/>
      <c r="EL419" s="1903"/>
      <c r="EM419" s="1903"/>
      <c r="EN419" s="1903"/>
      <c r="EO419" s="1903"/>
      <c r="EP419" s="1903"/>
      <c r="EQ419" s="1903"/>
      <c r="ER419" s="1903"/>
      <c r="ES419" s="1903"/>
      <c r="ET419" s="1903"/>
      <c r="EU419" s="1903"/>
      <c r="EV419" s="1903"/>
      <c r="EW419" s="1903"/>
      <c r="EX419" s="1903"/>
      <c r="EY419" s="1903"/>
      <c r="EZ419" s="1903"/>
      <c r="FA419" s="1903"/>
      <c r="FB419" s="1903"/>
      <c r="FC419" s="1903"/>
      <c r="FD419" s="1903"/>
      <c r="FE419" s="1903"/>
      <c r="FF419" s="1903"/>
      <c r="FG419" s="1903"/>
      <c r="FH419" s="1903"/>
      <c r="FI419" s="1903"/>
      <c r="FJ419" s="1903"/>
      <c r="FK419" s="1903"/>
      <c r="FL419" s="1903"/>
      <c r="FM419" s="1903"/>
      <c r="FN419" s="1903"/>
      <c r="FO419" s="1903"/>
      <c r="FP419" s="1903"/>
      <c r="FQ419" s="1903"/>
      <c r="FR419" s="1903"/>
      <c r="FS419" s="1903"/>
      <c r="FT419" s="1903"/>
      <c r="FU419" s="1903"/>
      <c r="FV419" s="1903"/>
      <c r="FW419" s="1903"/>
      <c r="FX419" s="1903"/>
      <c r="FY419" s="1903"/>
      <c r="FZ419" s="1903"/>
      <c r="GA419" s="1903"/>
      <c r="GB419" s="1903"/>
      <c r="GC419" s="1903"/>
      <c r="GD419" s="1903"/>
      <c r="GE419" s="1903"/>
      <c r="GF419" s="1903"/>
      <c r="GG419" s="1903"/>
      <c r="GH419" s="1903"/>
      <c r="GI419" s="1903"/>
      <c r="GJ419" s="1903"/>
      <c r="GK419" s="1903"/>
      <c r="GL419" s="1903"/>
      <c r="GM419" s="1903"/>
      <c r="GN419" s="1903"/>
      <c r="GO419" s="1903"/>
      <c r="GP419" s="1903"/>
      <c r="GQ419" s="1903"/>
      <c r="GR419" s="1903"/>
      <c r="GS419" s="1903"/>
      <c r="GT419" s="1903"/>
      <c r="GU419" s="1903"/>
      <c r="GV419" s="1903"/>
      <c r="GW419" s="1903"/>
      <c r="GX419" s="1903"/>
      <c r="GY419" s="1903"/>
      <c r="GZ419" s="1903"/>
      <c r="HA419" s="1903"/>
      <c r="HB419" s="1903"/>
      <c r="HC419" s="1903"/>
      <c r="HD419" s="1903"/>
      <c r="HE419" s="1903"/>
      <c r="HF419" s="1903"/>
      <c r="HG419" s="1903"/>
      <c r="HH419" s="1903"/>
      <c r="HI419" s="1903"/>
      <c r="HJ419" s="1903"/>
      <c r="HK419" s="1903"/>
      <c r="HL419" s="1903"/>
      <c r="HM419" s="1903"/>
      <c r="HN419" s="1903"/>
      <c r="HO419" s="1903"/>
      <c r="HP419" s="1903"/>
      <c r="HQ419" s="1903"/>
      <c r="HR419" s="1903"/>
      <c r="HS419" s="1903"/>
      <c r="HT419" s="1903"/>
      <c r="HU419" s="1903"/>
      <c r="HV419" s="1903"/>
      <c r="HW419" s="1903"/>
      <c r="HX419" s="1903"/>
      <c r="HY419" s="1903"/>
      <c r="HZ419" s="1903"/>
      <c r="IA419" s="1903"/>
      <c r="IB419" s="1903"/>
      <c r="IC419" s="1903"/>
      <c r="ID419" s="1903"/>
      <c r="IE419" s="1903"/>
      <c r="IF419" s="1903"/>
      <c r="IG419" s="1903"/>
      <c r="IH419" s="1903"/>
      <c r="II419" s="1903"/>
      <c r="IJ419" s="1903"/>
      <c r="IK419" s="1903"/>
      <c r="IL419" s="1903"/>
      <c r="IM419" s="1903"/>
      <c r="IN419" s="1903"/>
      <c r="IO419" s="1903"/>
      <c r="IP419" s="1903"/>
      <c r="IQ419" s="1903"/>
      <c r="IR419" s="1903"/>
      <c r="IS419" s="1903"/>
      <c r="IT419" s="1903"/>
      <c r="IU419" s="1903"/>
      <c r="IV419" s="1903"/>
    </row>
    <row r="420" spans="1:256" s="1904" customFormat="1" ht="40.5" customHeight="1">
      <c r="A420" s="1898"/>
      <c r="B420" s="1899"/>
      <c r="C420" s="1899"/>
      <c r="D420" s="342" t="s">
        <v>2872</v>
      </c>
      <c r="E420" s="1899"/>
      <c r="F420" s="1900"/>
      <c r="G420" s="1901"/>
      <c r="H420" s="1901"/>
      <c r="I420" s="1999"/>
      <c r="AP420" s="1291"/>
      <c r="AQ420" s="1291"/>
      <c r="AR420" s="1903"/>
      <c r="AS420" s="1903"/>
      <c r="AT420" s="1903"/>
      <c r="AU420" s="1903"/>
      <c r="AV420" s="1903"/>
      <c r="AW420" s="1903"/>
      <c r="AX420" s="1903"/>
      <c r="AY420" s="1903"/>
      <c r="AZ420" s="1903"/>
      <c r="BA420" s="1903"/>
      <c r="BB420" s="1903"/>
      <c r="BC420" s="1903"/>
      <c r="BD420" s="1903"/>
      <c r="BE420" s="1903"/>
      <c r="BF420" s="1903"/>
      <c r="BG420" s="1903"/>
      <c r="BH420" s="1903"/>
      <c r="BI420" s="1903"/>
      <c r="BJ420" s="1903"/>
      <c r="BK420" s="1903"/>
      <c r="BL420" s="1903"/>
      <c r="BM420" s="1903"/>
      <c r="BN420" s="1903"/>
      <c r="BO420" s="1903"/>
      <c r="BP420" s="1903"/>
      <c r="BQ420" s="1903"/>
      <c r="BR420" s="1903"/>
      <c r="BS420" s="1903"/>
      <c r="BT420" s="1903"/>
      <c r="BU420" s="1903"/>
      <c r="BV420" s="1903"/>
      <c r="BW420" s="1903"/>
      <c r="BX420" s="1903"/>
      <c r="BY420" s="1903"/>
      <c r="BZ420" s="1903"/>
      <c r="CA420" s="1903"/>
      <c r="CB420" s="1903"/>
      <c r="CC420" s="1903"/>
      <c r="CD420" s="1903"/>
      <c r="CE420" s="1903"/>
      <c r="CF420" s="1903"/>
      <c r="CG420" s="1903"/>
      <c r="CH420" s="1903"/>
      <c r="CI420" s="1903"/>
      <c r="CJ420" s="1903"/>
      <c r="CK420" s="1903"/>
      <c r="CL420" s="1903"/>
      <c r="CM420" s="1903"/>
      <c r="CN420" s="1903"/>
      <c r="CO420" s="1903"/>
      <c r="CP420" s="1903"/>
      <c r="CQ420" s="1903"/>
      <c r="CR420" s="1903"/>
      <c r="CS420" s="1903"/>
      <c r="CT420" s="1903"/>
      <c r="CU420" s="1903"/>
      <c r="CV420" s="1903"/>
      <c r="CW420" s="1903"/>
      <c r="CX420" s="1903"/>
      <c r="CY420" s="1903"/>
      <c r="CZ420" s="1903"/>
      <c r="DA420" s="1903"/>
      <c r="DB420" s="1903"/>
      <c r="DC420" s="1903"/>
      <c r="DD420" s="1903"/>
      <c r="DE420" s="1903"/>
      <c r="DF420" s="1903"/>
      <c r="DG420" s="1903"/>
      <c r="DH420" s="1903"/>
      <c r="DI420" s="1903"/>
      <c r="DJ420" s="1903"/>
      <c r="DK420" s="1903"/>
      <c r="DL420" s="1903"/>
      <c r="DM420" s="1903"/>
      <c r="DN420" s="1903"/>
      <c r="DO420" s="1903"/>
      <c r="DP420" s="1903"/>
      <c r="DQ420" s="1903"/>
      <c r="DR420" s="1903"/>
      <c r="DS420" s="1903"/>
      <c r="DT420" s="1903"/>
      <c r="DU420" s="1903"/>
      <c r="DV420" s="1903"/>
      <c r="DW420" s="1903"/>
      <c r="DX420" s="1903"/>
      <c r="DY420" s="1903"/>
      <c r="DZ420" s="1903"/>
      <c r="EA420" s="1903"/>
      <c r="EB420" s="1903"/>
      <c r="EC420" s="1903"/>
      <c r="ED420" s="1903"/>
      <c r="EE420" s="1903"/>
      <c r="EF420" s="1903"/>
      <c r="EG420" s="1903"/>
      <c r="EH420" s="1903"/>
      <c r="EI420" s="1903"/>
      <c r="EJ420" s="1903"/>
      <c r="EK420" s="1903"/>
      <c r="EL420" s="1903"/>
      <c r="EM420" s="1903"/>
      <c r="EN420" s="1903"/>
      <c r="EO420" s="1903"/>
      <c r="EP420" s="1903"/>
      <c r="EQ420" s="1903"/>
      <c r="ER420" s="1903"/>
      <c r="ES420" s="1903"/>
      <c r="ET420" s="1903"/>
      <c r="EU420" s="1903"/>
      <c r="EV420" s="1903"/>
      <c r="EW420" s="1903"/>
      <c r="EX420" s="1903"/>
      <c r="EY420" s="1903"/>
      <c r="EZ420" s="1903"/>
      <c r="FA420" s="1903"/>
      <c r="FB420" s="1903"/>
      <c r="FC420" s="1903"/>
      <c r="FD420" s="1903"/>
      <c r="FE420" s="1903"/>
      <c r="FF420" s="1903"/>
      <c r="FG420" s="1903"/>
      <c r="FH420" s="1903"/>
      <c r="FI420" s="1903"/>
      <c r="FJ420" s="1903"/>
      <c r="FK420" s="1903"/>
      <c r="FL420" s="1903"/>
      <c r="FM420" s="1903"/>
      <c r="FN420" s="1903"/>
      <c r="FO420" s="1903"/>
      <c r="FP420" s="1903"/>
      <c r="FQ420" s="1903"/>
      <c r="FR420" s="1903"/>
      <c r="FS420" s="1903"/>
      <c r="FT420" s="1903"/>
      <c r="FU420" s="1903"/>
      <c r="FV420" s="1903"/>
      <c r="FW420" s="1903"/>
      <c r="FX420" s="1903"/>
      <c r="FY420" s="1903"/>
      <c r="FZ420" s="1903"/>
      <c r="GA420" s="1903"/>
      <c r="GB420" s="1903"/>
      <c r="GC420" s="1903"/>
      <c r="GD420" s="1903"/>
      <c r="GE420" s="1903"/>
      <c r="GF420" s="1903"/>
      <c r="GG420" s="1903"/>
      <c r="GH420" s="1903"/>
      <c r="GI420" s="1903"/>
      <c r="GJ420" s="1903"/>
      <c r="GK420" s="1903"/>
      <c r="GL420" s="1903"/>
      <c r="GM420" s="1903"/>
      <c r="GN420" s="1903"/>
      <c r="GO420" s="1903"/>
      <c r="GP420" s="1903"/>
      <c r="GQ420" s="1903"/>
      <c r="GR420" s="1903"/>
      <c r="GS420" s="1903"/>
      <c r="GT420" s="1903"/>
      <c r="GU420" s="1903"/>
      <c r="GV420" s="1903"/>
      <c r="GW420" s="1903"/>
      <c r="GX420" s="1903"/>
      <c r="GY420" s="1903"/>
      <c r="GZ420" s="1903"/>
      <c r="HA420" s="1903"/>
      <c r="HB420" s="1903"/>
      <c r="HC420" s="1903"/>
      <c r="HD420" s="1903"/>
      <c r="HE420" s="1903"/>
      <c r="HF420" s="1903"/>
      <c r="HG420" s="1903"/>
      <c r="HH420" s="1903"/>
      <c r="HI420" s="1903"/>
      <c r="HJ420" s="1903"/>
      <c r="HK420" s="1903"/>
      <c r="HL420" s="1903"/>
      <c r="HM420" s="1903"/>
      <c r="HN420" s="1903"/>
      <c r="HO420" s="1903"/>
      <c r="HP420" s="1903"/>
      <c r="HQ420" s="1903"/>
      <c r="HR420" s="1903"/>
      <c r="HS420" s="1903"/>
      <c r="HT420" s="1903"/>
      <c r="HU420" s="1903"/>
      <c r="HV420" s="1903"/>
      <c r="HW420" s="1903"/>
      <c r="HX420" s="1903"/>
      <c r="HY420" s="1903"/>
      <c r="HZ420" s="1903"/>
      <c r="IA420" s="1903"/>
      <c r="IB420" s="1903"/>
      <c r="IC420" s="1903"/>
      <c r="ID420" s="1903"/>
      <c r="IE420" s="1903"/>
      <c r="IF420" s="1903"/>
      <c r="IG420" s="1903"/>
      <c r="IH420" s="1903"/>
      <c r="II420" s="1903"/>
      <c r="IJ420" s="1903"/>
      <c r="IK420" s="1903"/>
      <c r="IL420" s="1903"/>
      <c r="IM420" s="1903"/>
      <c r="IN420" s="1903"/>
      <c r="IO420" s="1903"/>
      <c r="IP420" s="1903"/>
      <c r="IQ420" s="1903"/>
      <c r="IR420" s="1903"/>
      <c r="IS420" s="1903"/>
      <c r="IT420" s="1903"/>
      <c r="IU420" s="1903"/>
      <c r="IV420" s="1903"/>
    </row>
    <row r="421" spans="1:256" s="1990" customFormat="1" ht="27" customHeight="1">
      <c r="A421" s="1910">
        <v>99</v>
      </c>
      <c r="B421" s="1991" t="s">
        <v>2048</v>
      </c>
      <c r="C421" s="1325" t="s">
        <v>2889</v>
      </c>
      <c r="D421" s="1985" t="s">
        <v>2890</v>
      </c>
      <c r="E421" s="1985" t="s">
        <v>210</v>
      </c>
      <c r="F421" s="1327">
        <f>SUM(F423:F423)</f>
        <v>1</v>
      </c>
      <c r="G421" s="1992"/>
      <c r="H421" s="1992">
        <f>F421*G421</f>
        <v>0</v>
      </c>
      <c r="I421" s="1993" t="s">
        <v>112</v>
      </c>
      <c r="J421" s="1994"/>
      <c r="K421" s="1994"/>
      <c r="O421" s="1995"/>
      <c r="P421" s="1994"/>
      <c r="Q421" s="1928"/>
      <c r="X421" s="1994"/>
      <c r="Y421" s="1994"/>
      <c r="Z421" s="1291"/>
      <c r="AA421" s="1291"/>
      <c r="AB421" s="1291"/>
      <c r="AC421" s="1291"/>
      <c r="AD421" s="1291"/>
      <c r="AE421" s="1291"/>
      <c r="AF421" s="1291"/>
      <c r="AG421" s="1291"/>
      <c r="AH421" s="1996"/>
    </row>
    <row r="422" spans="1:256" s="1990" customFormat="1" ht="13.5" customHeight="1">
      <c r="A422" s="1890"/>
      <c r="B422" s="1891"/>
      <c r="C422" s="342"/>
      <c r="D422" s="342" t="s">
        <v>2871</v>
      </c>
      <c r="E422" s="342"/>
      <c r="F422" s="1997"/>
      <c r="G422" s="1893"/>
      <c r="H422" s="1893"/>
      <c r="I422" s="1998"/>
      <c r="J422" s="1994"/>
      <c r="K422" s="1994"/>
      <c r="L422" s="1291"/>
      <c r="M422" s="1291"/>
      <c r="N422" s="1291"/>
      <c r="O422" s="1291"/>
      <c r="P422" s="1291"/>
      <c r="Q422" s="1291"/>
      <c r="R422" s="1291"/>
      <c r="S422" s="1291"/>
      <c r="T422" s="1291"/>
      <c r="U422" s="1291"/>
      <c r="V422" s="1602"/>
      <c r="W422" s="1291"/>
      <c r="X422" s="1994"/>
      <c r="Y422" s="1994"/>
      <c r="Z422" s="1291"/>
      <c r="AA422" s="1291"/>
      <c r="AB422" s="1291"/>
      <c r="AC422" s="1291"/>
      <c r="AD422" s="1291"/>
      <c r="AE422" s="1291"/>
      <c r="AF422" s="1291"/>
      <c r="AG422" s="1291"/>
      <c r="AH422" s="1291"/>
    </row>
    <row r="423" spans="1:256" s="1904" customFormat="1" ht="13.5" customHeight="1">
      <c r="A423" s="1898"/>
      <c r="B423" s="1899"/>
      <c r="C423" s="1899"/>
      <c r="D423" s="1899" t="s">
        <v>2686</v>
      </c>
      <c r="E423" s="1899"/>
      <c r="F423" s="1900">
        <v>1</v>
      </c>
      <c r="G423" s="1901"/>
      <c r="H423" s="1901"/>
      <c r="I423" s="1905"/>
      <c r="K423" s="1291"/>
      <c r="L423" s="1291"/>
      <c r="M423" s="1291"/>
      <c r="N423" s="1291"/>
      <c r="O423" s="1291"/>
      <c r="P423" s="1291"/>
      <c r="Q423" s="1291"/>
      <c r="R423" s="1291"/>
      <c r="S423" s="1291"/>
      <c r="T423" s="1291"/>
      <c r="U423" s="1291"/>
      <c r="V423" s="1291"/>
      <c r="W423" s="1291"/>
      <c r="X423" s="1291"/>
      <c r="Y423" s="1291"/>
      <c r="Z423" s="1291"/>
      <c r="AA423" s="1291"/>
      <c r="AB423" s="1291"/>
      <c r="AC423" s="1291"/>
      <c r="AD423" s="1291"/>
      <c r="AE423" s="1291"/>
      <c r="AF423" s="1291"/>
      <c r="AG423" s="1291"/>
      <c r="AH423" s="1291"/>
      <c r="AI423" s="1291"/>
      <c r="AJ423" s="1291"/>
      <c r="AK423" s="1291"/>
      <c r="AL423" s="1291"/>
      <c r="AM423" s="1291"/>
      <c r="AN423" s="1291"/>
      <c r="AO423" s="1291"/>
      <c r="AP423" s="1291"/>
      <c r="AQ423" s="1291"/>
      <c r="AR423" s="1903"/>
      <c r="AS423" s="1903"/>
      <c r="AT423" s="1903"/>
      <c r="AU423" s="1903"/>
      <c r="AV423" s="1903"/>
      <c r="AW423" s="1903"/>
      <c r="AX423" s="1903"/>
      <c r="AY423" s="1903"/>
      <c r="AZ423" s="1903"/>
      <c r="BA423" s="1903"/>
      <c r="BB423" s="1903"/>
      <c r="BC423" s="1903"/>
      <c r="BD423" s="1903"/>
      <c r="BE423" s="1903"/>
      <c r="BF423" s="1903"/>
      <c r="BG423" s="1903"/>
      <c r="BH423" s="1903"/>
      <c r="BI423" s="1903"/>
      <c r="BJ423" s="1903"/>
      <c r="BK423" s="1903"/>
      <c r="BL423" s="1903"/>
      <c r="BM423" s="1903"/>
      <c r="BN423" s="1903"/>
      <c r="BO423" s="1903"/>
      <c r="BP423" s="1903"/>
      <c r="BQ423" s="1903"/>
      <c r="BR423" s="1903"/>
      <c r="BS423" s="1903"/>
      <c r="BT423" s="1903"/>
      <c r="BU423" s="1903"/>
      <c r="BV423" s="1903"/>
      <c r="BW423" s="1903"/>
      <c r="BX423" s="1903"/>
      <c r="BY423" s="1903"/>
      <c r="BZ423" s="1903"/>
      <c r="CA423" s="1903"/>
      <c r="CB423" s="1903"/>
      <c r="CC423" s="1903"/>
      <c r="CD423" s="1903"/>
      <c r="CE423" s="1903"/>
      <c r="CF423" s="1903"/>
      <c r="CG423" s="1903"/>
      <c r="CH423" s="1903"/>
      <c r="CI423" s="1903"/>
      <c r="CJ423" s="1903"/>
      <c r="CK423" s="1903"/>
      <c r="CL423" s="1903"/>
      <c r="CM423" s="1903"/>
      <c r="CN423" s="1903"/>
      <c r="CO423" s="1903"/>
      <c r="CP423" s="1903"/>
      <c r="CQ423" s="1903"/>
      <c r="CR423" s="1903"/>
      <c r="CS423" s="1903"/>
      <c r="CT423" s="1903"/>
      <c r="CU423" s="1903"/>
      <c r="CV423" s="1903"/>
      <c r="CW423" s="1903"/>
      <c r="CX423" s="1903"/>
      <c r="CY423" s="1903"/>
      <c r="CZ423" s="1903"/>
      <c r="DA423" s="1903"/>
      <c r="DB423" s="1903"/>
      <c r="DC423" s="1903"/>
      <c r="DD423" s="1903"/>
      <c r="DE423" s="1903"/>
      <c r="DF423" s="1903"/>
      <c r="DG423" s="1903"/>
      <c r="DH423" s="1903"/>
      <c r="DI423" s="1903"/>
      <c r="DJ423" s="1903"/>
      <c r="DK423" s="1903"/>
      <c r="DL423" s="1903"/>
      <c r="DM423" s="1903"/>
      <c r="DN423" s="1903"/>
      <c r="DO423" s="1903"/>
      <c r="DP423" s="1903"/>
      <c r="DQ423" s="1903"/>
      <c r="DR423" s="1903"/>
      <c r="DS423" s="1903"/>
      <c r="DT423" s="1903"/>
      <c r="DU423" s="1903"/>
      <c r="DV423" s="1903"/>
      <c r="DW423" s="1903"/>
      <c r="DX423" s="1903"/>
      <c r="DY423" s="1903"/>
      <c r="DZ423" s="1903"/>
      <c r="EA423" s="1903"/>
      <c r="EB423" s="1903"/>
      <c r="EC423" s="1903"/>
      <c r="ED423" s="1903"/>
      <c r="EE423" s="1903"/>
      <c r="EF423" s="1903"/>
      <c r="EG423" s="1903"/>
      <c r="EH423" s="1903"/>
      <c r="EI423" s="1903"/>
      <c r="EJ423" s="1903"/>
      <c r="EK423" s="1903"/>
      <c r="EL423" s="1903"/>
      <c r="EM423" s="1903"/>
      <c r="EN423" s="1903"/>
      <c r="EO423" s="1903"/>
      <c r="EP423" s="1903"/>
      <c r="EQ423" s="1903"/>
      <c r="ER423" s="1903"/>
      <c r="ES423" s="1903"/>
      <c r="ET423" s="1903"/>
      <c r="EU423" s="1903"/>
      <c r="EV423" s="1903"/>
      <c r="EW423" s="1903"/>
      <c r="EX423" s="1903"/>
      <c r="EY423" s="1903"/>
      <c r="EZ423" s="1903"/>
      <c r="FA423" s="1903"/>
      <c r="FB423" s="1903"/>
      <c r="FC423" s="1903"/>
      <c r="FD423" s="1903"/>
      <c r="FE423" s="1903"/>
      <c r="FF423" s="1903"/>
      <c r="FG423" s="1903"/>
      <c r="FH423" s="1903"/>
      <c r="FI423" s="1903"/>
      <c r="FJ423" s="1903"/>
      <c r="FK423" s="1903"/>
      <c r="FL423" s="1903"/>
      <c r="FM423" s="1903"/>
      <c r="FN423" s="1903"/>
      <c r="FO423" s="1903"/>
      <c r="FP423" s="1903"/>
      <c r="FQ423" s="1903"/>
      <c r="FR423" s="1903"/>
      <c r="FS423" s="1903"/>
      <c r="FT423" s="1903"/>
      <c r="FU423" s="1903"/>
      <c r="FV423" s="1903"/>
      <c r="FW423" s="1903"/>
      <c r="FX423" s="1903"/>
      <c r="FY423" s="1903"/>
      <c r="FZ423" s="1903"/>
      <c r="GA423" s="1903"/>
      <c r="GB423" s="1903"/>
      <c r="GC423" s="1903"/>
      <c r="GD423" s="1903"/>
      <c r="GE423" s="1903"/>
      <c r="GF423" s="1903"/>
      <c r="GG423" s="1903"/>
      <c r="GH423" s="1903"/>
      <c r="GI423" s="1903"/>
      <c r="GJ423" s="1903"/>
      <c r="GK423" s="1903"/>
      <c r="GL423" s="1903"/>
      <c r="GM423" s="1903"/>
      <c r="GN423" s="1903"/>
      <c r="GO423" s="1903"/>
      <c r="GP423" s="1903"/>
      <c r="GQ423" s="1903"/>
      <c r="GR423" s="1903"/>
      <c r="GS423" s="1903"/>
      <c r="GT423" s="1903"/>
      <c r="GU423" s="1903"/>
      <c r="GV423" s="1903"/>
      <c r="GW423" s="1903"/>
      <c r="GX423" s="1903"/>
      <c r="GY423" s="1903"/>
      <c r="GZ423" s="1903"/>
      <c r="HA423" s="1903"/>
      <c r="HB423" s="1903"/>
      <c r="HC423" s="1903"/>
      <c r="HD423" s="1903"/>
      <c r="HE423" s="1903"/>
      <c r="HF423" s="1903"/>
      <c r="HG423" s="1903"/>
      <c r="HH423" s="1903"/>
      <c r="HI423" s="1903"/>
      <c r="HJ423" s="1903"/>
      <c r="HK423" s="1903"/>
      <c r="HL423" s="1903"/>
      <c r="HM423" s="1903"/>
      <c r="HN423" s="1903"/>
      <c r="HO423" s="1903"/>
      <c r="HP423" s="1903"/>
      <c r="HQ423" s="1903"/>
      <c r="HR423" s="1903"/>
      <c r="HS423" s="1903"/>
      <c r="HT423" s="1903"/>
      <c r="HU423" s="1903"/>
      <c r="HV423" s="1903"/>
      <c r="HW423" s="1903"/>
      <c r="HX423" s="1903"/>
      <c r="HY423" s="1903"/>
      <c r="HZ423" s="1903"/>
      <c r="IA423" s="1903"/>
      <c r="IB423" s="1903"/>
      <c r="IC423" s="1903"/>
      <c r="ID423" s="1903"/>
      <c r="IE423" s="1903"/>
      <c r="IF423" s="1903"/>
      <c r="IG423" s="1903"/>
      <c r="IH423" s="1903"/>
      <c r="II423" s="1903"/>
      <c r="IJ423" s="1903"/>
      <c r="IK423" s="1903"/>
      <c r="IL423" s="1903"/>
      <c r="IM423" s="1903"/>
      <c r="IN423" s="1903"/>
      <c r="IO423" s="1903"/>
      <c r="IP423" s="1903"/>
      <c r="IQ423" s="1903"/>
      <c r="IR423" s="1903"/>
      <c r="IS423" s="1903"/>
      <c r="IT423" s="1903"/>
      <c r="IU423" s="1903"/>
      <c r="IV423" s="1903"/>
    </row>
    <row r="424" spans="1:256" s="1904" customFormat="1" ht="40.5" customHeight="1">
      <c r="A424" s="1898"/>
      <c r="B424" s="1899"/>
      <c r="C424" s="1899"/>
      <c r="D424" s="342" t="s">
        <v>2872</v>
      </c>
      <c r="E424" s="1899"/>
      <c r="F424" s="1900"/>
      <c r="G424" s="1901"/>
      <c r="H424" s="1901"/>
      <c r="I424" s="1999"/>
      <c r="AP424" s="1291"/>
      <c r="AQ424" s="1291"/>
      <c r="AR424" s="1903"/>
      <c r="AS424" s="1903"/>
      <c r="AT424" s="1903"/>
      <c r="AU424" s="1903"/>
      <c r="AV424" s="1903"/>
      <c r="AW424" s="1903"/>
      <c r="AX424" s="1903"/>
      <c r="AY424" s="1903"/>
      <c r="AZ424" s="1903"/>
      <c r="BA424" s="1903"/>
      <c r="BB424" s="1903"/>
      <c r="BC424" s="1903"/>
      <c r="BD424" s="1903"/>
      <c r="BE424" s="1903"/>
      <c r="BF424" s="1903"/>
      <c r="BG424" s="1903"/>
      <c r="BH424" s="1903"/>
      <c r="BI424" s="1903"/>
      <c r="BJ424" s="1903"/>
      <c r="BK424" s="1903"/>
      <c r="BL424" s="1903"/>
      <c r="BM424" s="1903"/>
      <c r="BN424" s="1903"/>
      <c r="BO424" s="1903"/>
      <c r="BP424" s="1903"/>
      <c r="BQ424" s="1903"/>
      <c r="BR424" s="1903"/>
      <c r="BS424" s="1903"/>
      <c r="BT424" s="1903"/>
      <c r="BU424" s="1903"/>
      <c r="BV424" s="1903"/>
      <c r="BW424" s="1903"/>
      <c r="BX424" s="1903"/>
      <c r="BY424" s="1903"/>
      <c r="BZ424" s="1903"/>
      <c r="CA424" s="1903"/>
      <c r="CB424" s="1903"/>
      <c r="CC424" s="1903"/>
      <c r="CD424" s="1903"/>
      <c r="CE424" s="1903"/>
      <c r="CF424" s="1903"/>
      <c r="CG424" s="1903"/>
      <c r="CH424" s="1903"/>
      <c r="CI424" s="1903"/>
      <c r="CJ424" s="1903"/>
      <c r="CK424" s="1903"/>
      <c r="CL424" s="1903"/>
      <c r="CM424" s="1903"/>
      <c r="CN424" s="1903"/>
      <c r="CO424" s="1903"/>
      <c r="CP424" s="1903"/>
      <c r="CQ424" s="1903"/>
      <c r="CR424" s="1903"/>
      <c r="CS424" s="1903"/>
      <c r="CT424" s="1903"/>
      <c r="CU424" s="1903"/>
      <c r="CV424" s="1903"/>
      <c r="CW424" s="1903"/>
      <c r="CX424" s="1903"/>
      <c r="CY424" s="1903"/>
      <c r="CZ424" s="1903"/>
      <c r="DA424" s="1903"/>
      <c r="DB424" s="1903"/>
      <c r="DC424" s="1903"/>
      <c r="DD424" s="1903"/>
      <c r="DE424" s="1903"/>
      <c r="DF424" s="1903"/>
      <c r="DG424" s="1903"/>
      <c r="DH424" s="1903"/>
      <c r="DI424" s="1903"/>
      <c r="DJ424" s="1903"/>
      <c r="DK424" s="1903"/>
      <c r="DL424" s="1903"/>
      <c r="DM424" s="1903"/>
      <c r="DN424" s="1903"/>
      <c r="DO424" s="1903"/>
      <c r="DP424" s="1903"/>
      <c r="DQ424" s="1903"/>
      <c r="DR424" s="1903"/>
      <c r="DS424" s="1903"/>
      <c r="DT424" s="1903"/>
      <c r="DU424" s="1903"/>
      <c r="DV424" s="1903"/>
      <c r="DW424" s="1903"/>
      <c r="DX424" s="1903"/>
      <c r="DY424" s="1903"/>
      <c r="DZ424" s="1903"/>
      <c r="EA424" s="1903"/>
      <c r="EB424" s="1903"/>
      <c r="EC424" s="1903"/>
      <c r="ED424" s="1903"/>
      <c r="EE424" s="1903"/>
      <c r="EF424" s="1903"/>
      <c r="EG424" s="1903"/>
      <c r="EH424" s="1903"/>
      <c r="EI424" s="1903"/>
      <c r="EJ424" s="1903"/>
      <c r="EK424" s="1903"/>
      <c r="EL424" s="1903"/>
      <c r="EM424" s="1903"/>
      <c r="EN424" s="1903"/>
      <c r="EO424" s="1903"/>
      <c r="EP424" s="1903"/>
      <c r="EQ424" s="1903"/>
      <c r="ER424" s="1903"/>
      <c r="ES424" s="1903"/>
      <c r="ET424" s="1903"/>
      <c r="EU424" s="1903"/>
      <c r="EV424" s="1903"/>
      <c r="EW424" s="1903"/>
      <c r="EX424" s="1903"/>
      <c r="EY424" s="1903"/>
      <c r="EZ424" s="1903"/>
      <c r="FA424" s="1903"/>
      <c r="FB424" s="1903"/>
      <c r="FC424" s="1903"/>
      <c r="FD424" s="1903"/>
      <c r="FE424" s="1903"/>
      <c r="FF424" s="1903"/>
      <c r="FG424" s="1903"/>
      <c r="FH424" s="1903"/>
      <c r="FI424" s="1903"/>
      <c r="FJ424" s="1903"/>
      <c r="FK424" s="1903"/>
      <c r="FL424" s="1903"/>
      <c r="FM424" s="1903"/>
      <c r="FN424" s="1903"/>
      <c r="FO424" s="1903"/>
      <c r="FP424" s="1903"/>
      <c r="FQ424" s="1903"/>
      <c r="FR424" s="1903"/>
      <c r="FS424" s="1903"/>
      <c r="FT424" s="1903"/>
      <c r="FU424" s="1903"/>
      <c r="FV424" s="1903"/>
      <c r="FW424" s="1903"/>
      <c r="FX424" s="1903"/>
      <c r="FY424" s="1903"/>
      <c r="FZ424" s="1903"/>
      <c r="GA424" s="1903"/>
      <c r="GB424" s="1903"/>
      <c r="GC424" s="1903"/>
      <c r="GD424" s="1903"/>
      <c r="GE424" s="1903"/>
      <c r="GF424" s="1903"/>
      <c r="GG424" s="1903"/>
      <c r="GH424" s="1903"/>
      <c r="GI424" s="1903"/>
      <c r="GJ424" s="1903"/>
      <c r="GK424" s="1903"/>
      <c r="GL424" s="1903"/>
      <c r="GM424" s="1903"/>
      <c r="GN424" s="1903"/>
      <c r="GO424" s="1903"/>
      <c r="GP424" s="1903"/>
      <c r="GQ424" s="1903"/>
      <c r="GR424" s="1903"/>
      <c r="GS424" s="1903"/>
      <c r="GT424" s="1903"/>
      <c r="GU424" s="1903"/>
      <c r="GV424" s="1903"/>
      <c r="GW424" s="1903"/>
      <c r="GX424" s="1903"/>
      <c r="GY424" s="1903"/>
      <c r="GZ424" s="1903"/>
      <c r="HA424" s="1903"/>
      <c r="HB424" s="1903"/>
      <c r="HC424" s="1903"/>
      <c r="HD424" s="1903"/>
      <c r="HE424" s="1903"/>
      <c r="HF424" s="1903"/>
      <c r="HG424" s="1903"/>
      <c r="HH424" s="1903"/>
      <c r="HI424" s="1903"/>
      <c r="HJ424" s="1903"/>
      <c r="HK424" s="1903"/>
      <c r="HL424" s="1903"/>
      <c r="HM424" s="1903"/>
      <c r="HN424" s="1903"/>
      <c r="HO424" s="1903"/>
      <c r="HP424" s="1903"/>
      <c r="HQ424" s="1903"/>
      <c r="HR424" s="1903"/>
      <c r="HS424" s="1903"/>
      <c r="HT424" s="1903"/>
      <c r="HU424" s="1903"/>
      <c r="HV424" s="1903"/>
      <c r="HW424" s="1903"/>
      <c r="HX424" s="1903"/>
      <c r="HY424" s="1903"/>
      <c r="HZ424" s="1903"/>
      <c r="IA424" s="1903"/>
      <c r="IB424" s="1903"/>
      <c r="IC424" s="1903"/>
      <c r="ID424" s="1903"/>
      <c r="IE424" s="1903"/>
      <c r="IF424" s="1903"/>
      <c r="IG424" s="1903"/>
      <c r="IH424" s="1903"/>
      <c r="II424" s="1903"/>
      <c r="IJ424" s="1903"/>
      <c r="IK424" s="1903"/>
      <c r="IL424" s="1903"/>
      <c r="IM424" s="1903"/>
      <c r="IN424" s="1903"/>
      <c r="IO424" s="1903"/>
      <c r="IP424" s="1903"/>
      <c r="IQ424" s="1903"/>
      <c r="IR424" s="1903"/>
      <c r="IS424" s="1903"/>
      <c r="IT424" s="1903"/>
      <c r="IU424" s="1903"/>
      <c r="IV424" s="1903"/>
    </row>
    <row r="425" spans="1:256" s="1990" customFormat="1" ht="13.5" customHeight="1">
      <c r="A425" s="1910">
        <v>100</v>
      </c>
      <c r="B425" s="1991" t="s">
        <v>2048</v>
      </c>
      <c r="C425" s="1325" t="s">
        <v>2891</v>
      </c>
      <c r="D425" s="1985" t="s">
        <v>2892</v>
      </c>
      <c r="E425" s="1985" t="s">
        <v>210</v>
      </c>
      <c r="F425" s="1327">
        <f>SUM(F427:F427)</f>
        <v>2</v>
      </c>
      <c r="G425" s="1992"/>
      <c r="H425" s="1992">
        <f>F425*G425</f>
        <v>0</v>
      </c>
      <c r="I425" s="1993" t="s">
        <v>112</v>
      </c>
      <c r="J425" s="1994"/>
      <c r="K425" s="1994"/>
      <c r="O425" s="1995"/>
      <c r="P425" s="1994"/>
      <c r="Q425" s="1928"/>
      <c r="X425" s="1994"/>
      <c r="Y425" s="1994"/>
      <c r="Z425" s="1291"/>
      <c r="AA425" s="1291"/>
      <c r="AB425" s="1291"/>
      <c r="AC425" s="1291"/>
      <c r="AD425" s="1291"/>
      <c r="AE425" s="1291"/>
      <c r="AF425" s="1291"/>
      <c r="AG425" s="1291"/>
      <c r="AH425" s="1996"/>
    </row>
    <row r="426" spans="1:256" s="1990" customFormat="1" ht="13.5" customHeight="1">
      <c r="A426" s="1890"/>
      <c r="B426" s="1891"/>
      <c r="C426" s="342"/>
      <c r="D426" s="342" t="s">
        <v>2871</v>
      </c>
      <c r="E426" s="342"/>
      <c r="F426" s="1997"/>
      <c r="G426" s="1893"/>
      <c r="H426" s="1893"/>
      <c r="I426" s="1998"/>
      <c r="J426" s="1994"/>
      <c r="K426" s="1994"/>
      <c r="L426" s="1291"/>
      <c r="M426" s="1291"/>
      <c r="N426" s="1291"/>
      <c r="O426" s="1291"/>
      <c r="P426" s="1291"/>
      <c r="Q426" s="1291"/>
      <c r="R426" s="1291"/>
      <c r="S426" s="1291"/>
      <c r="T426" s="1291"/>
      <c r="U426" s="1291"/>
      <c r="V426" s="1602"/>
      <c r="W426" s="1291"/>
      <c r="X426" s="1994"/>
      <c r="Y426" s="1994"/>
      <c r="Z426" s="1291"/>
      <c r="AA426" s="1291"/>
      <c r="AB426" s="1291"/>
      <c r="AC426" s="1291"/>
      <c r="AD426" s="1291"/>
      <c r="AE426" s="1291"/>
      <c r="AF426" s="1291"/>
      <c r="AG426" s="1291"/>
      <c r="AH426" s="1291"/>
    </row>
    <row r="427" spans="1:256" s="1904" customFormat="1" ht="13.5" customHeight="1">
      <c r="A427" s="1898"/>
      <c r="B427" s="1899"/>
      <c r="C427" s="1899"/>
      <c r="D427" s="1899" t="s">
        <v>2686</v>
      </c>
      <c r="E427" s="1899"/>
      <c r="F427" s="1900">
        <v>2</v>
      </c>
      <c r="G427" s="1901"/>
      <c r="H427" s="1901"/>
      <c r="I427" s="1905"/>
      <c r="K427" s="1291"/>
      <c r="L427" s="1291"/>
      <c r="M427" s="1291"/>
      <c r="N427" s="1291"/>
      <c r="O427" s="1291"/>
      <c r="P427" s="1291"/>
      <c r="Q427" s="1291"/>
      <c r="R427" s="1291"/>
      <c r="S427" s="1291"/>
      <c r="T427" s="1291"/>
      <c r="U427" s="1291"/>
      <c r="V427" s="1291"/>
      <c r="W427" s="1291"/>
      <c r="X427" s="1291"/>
      <c r="Y427" s="1291"/>
      <c r="Z427" s="1291"/>
      <c r="AA427" s="1291"/>
      <c r="AB427" s="1291"/>
      <c r="AC427" s="1291"/>
      <c r="AD427" s="1291"/>
      <c r="AE427" s="1291"/>
      <c r="AF427" s="1291"/>
      <c r="AG427" s="1291"/>
      <c r="AH427" s="1291"/>
      <c r="AI427" s="1291"/>
      <c r="AJ427" s="1291"/>
      <c r="AK427" s="1291"/>
      <c r="AL427" s="1291"/>
      <c r="AM427" s="1291"/>
      <c r="AN427" s="1291"/>
      <c r="AO427" s="1291"/>
      <c r="AP427" s="1291"/>
      <c r="AQ427" s="1291"/>
      <c r="AR427" s="1903"/>
      <c r="AS427" s="1903"/>
      <c r="AT427" s="1903"/>
      <c r="AU427" s="1903"/>
      <c r="AV427" s="1903"/>
      <c r="AW427" s="1903"/>
      <c r="AX427" s="1903"/>
      <c r="AY427" s="1903"/>
      <c r="AZ427" s="1903"/>
      <c r="BA427" s="1903"/>
      <c r="BB427" s="1903"/>
      <c r="BC427" s="1903"/>
      <c r="BD427" s="1903"/>
      <c r="BE427" s="1903"/>
      <c r="BF427" s="1903"/>
      <c r="BG427" s="1903"/>
      <c r="BH427" s="1903"/>
      <c r="BI427" s="1903"/>
      <c r="BJ427" s="1903"/>
      <c r="BK427" s="1903"/>
      <c r="BL427" s="1903"/>
      <c r="BM427" s="1903"/>
      <c r="BN427" s="1903"/>
      <c r="BO427" s="1903"/>
      <c r="BP427" s="1903"/>
      <c r="BQ427" s="1903"/>
      <c r="BR427" s="1903"/>
      <c r="BS427" s="1903"/>
      <c r="BT427" s="1903"/>
      <c r="BU427" s="1903"/>
      <c r="BV427" s="1903"/>
      <c r="BW427" s="1903"/>
      <c r="BX427" s="1903"/>
      <c r="BY427" s="1903"/>
      <c r="BZ427" s="1903"/>
      <c r="CA427" s="1903"/>
      <c r="CB427" s="1903"/>
      <c r="CC427" s="1903"/>
      <c r="CD427" s="1903"/>
      <c r="CE427" s="1903"/>
      <c r="CF427" s="1903"/>
      <c r="CG427" s="1903"/>
      <c r="CH427" s="1903"/>
      <c r="CI427" s="1903"/>
      <c r="CJ427" s="1903"/>
      <c r="CK427" s="1903"/>
      <c r="CL427" s="1903"/>
      <c r="CM427" s="1903"/>
      <c r="CN427" s="1903"/>
      <c r="CO427" s="1903"/>
      <c r="CP427" s="1903"/>
      <c r="CQ427" s="1903"/>
      <c r="CR427" s="1903"/>
      <c r="CS427" s="1903"/>
      <c r="CT427" s="1903"/>
      <c r="CU427" s="1903"/>
      <c r="CV427" s="1903"/>
      <c r="CW427" s="1903"/>
      <c r="CX427" s="1903"/>
      <c r="CY427" s="1903"/>
      <c r="CZ427" s="1903"/>
      <c r="DA427" s="1903"/>
      <c r="DB427" s="1903"/>
      <c r="DC427" s="1903"/>
      <c r="DD427" s="1903"/>
      <c r="DE427" s="1903"/>
      <c r="DF427" s="1903"/>
      <c r="DG427" s="1903"/>
      <c r="DH427" s="1903"/>
      <c r="DI427" s="1903"/>
      <c r="DJ427" s="1903"/>
      <c r="DK427" s="1903"/>
      <c r="DL427" s="1903"/>
      <c r="DM427" s="1903"/>
      <c r="DN427" s="1903"/>
      <c r="DO427" s="1903"/>
      <c r="DP427" s="1903"/>
      <c r="DQ427" s="1903"/>
      <c r="DR427" s="1903"/>
      <c r="DS427" s="1903"/>
      <c r="DT427" s="1903"/>
      <c r="DU427" s="1903"/>
      <c r="DV427" s="1903"/>
      <c r="DW427" s="1903"/>
      <c r="DX427" s="1903"/>
      <c r="DY427" s="1903"/>
      <c r="DZ427" s="1903"/>
      <c r="EA427" s="1903"/>
      <c r="EB427" s="1903"/>
      <c r="EC427" s="1903"/>
      <c r="ED427" s="1903"/>
      <c r="EE427" s="1903"/>
      <c r="EF427" s="1903"/>
      <c r="EG427" s="1903"/>
      <c r="EH427" s="1903"/>
      <c r="EI427" s="1903"/>
      <c r="EJ427" s="1903"/>
      <c r="EK427" s="1903"/>
      <c r="EL427" s="1903"/>
      <c r="EM427" s="1903"/>
      <c r="EN427" s="1903"/>
      <c r="EO427" s="1903"/>
      <c r="EP427" s="1903"/>
      <c r="EQ427" s="1903"/>
      <c r="ER427" s="1903"/>
      <c r="ES427" s="1903"/>
      <c r="ET427" s="1903"/>
      <c r="EU427" s="1903"/>
      <c r="EV427" s="1903"/>
      <c r="EW427" s="1903"/>
      <c r="EX427" s="1903"/>
      <c r="EY427" s="1903"/>
      <c r="EZ427" s="1903"/>
      <c r="FA427" s="1903"/>
      <c r="FB427" s="1903"/>
      <c r="FC427" s="1903"/>
      <c r="FD427" s="1903"/>
      <c r="FE427" s="1903"/>
      <c r="FF427" s="1903"/>
      <c r="FG427" s="1903"/>
      <c r="FH427" s="1903"/>
      <c r="FI427" s="1903"/>
      <c r="FJ427" s="1903"/>
      <c r="FK427" s="1903"/>
      <c r="FL427" s="1903"/>
      <c r="FM427" s="1903"/>
      <c r="FN427" s="1903"/>
      <c r="FO427" s="1903"/>
      <c r="FP427" s="1903"/>
      <c r="FQ427" s="1903"/>
      <c r="FR427" s="1903"/>
      <c r="FS427" s="1903"/>
      <c r="FT427" s="1903"/>
      <c r="FU427" s="1903"/>
      <c r="FV427" s="1903"/>
      <c r="FW427" s="1903"/>
      <c r="FX427" s="1903"/>
      <c r="FY427" s="1903"/>
      <c r="FZ427" s="1903"/>
      <c r="GA427" s="1903"/>
      <c r="GB427" s="1903"/>
      <c r="GC427" s="1903"/>
      <c r="GD427" s="1903"/>
      <c r="GE427" s="1903"/>
      <c r="GF427" s="1903"/>
      <c r="GG427" s="1903"/>
      <c r="GH427" s="1903"/>
      <c r="GI427" s="1903"/>
      <c r="GJ427" s="1903"/>
      <c r="GK427" s="1903"/>
      <c r="GL427" s="1903"/>
      <c r="GM427" s="1903"/>
      <c r="GN427" s="1903"/>
      <c r="GO427" s="1903"/>
      <c r="GP427" s="1903"/>
      <c r="GQ427" s="1903"/>
      <c r="GR427" s="1903"/>
      <c r="GS427" s="1903"/>
      <c r="GT427" s="1903"/>
      <c r="GU427" s="1903"/>
      <c r="GV427" s="1903"/>
      <c r="GW427" s="1903"/>
      <c r="GX427" s="1903"/>
      <c r="GY427" s="1903"/>
      <c r="GZ427" s="1903"/>
      <c r="HA427" s="1903"/>
      <c r="HB427" s="1903"/>
      <c r="HC427" s="1903"/>
      <c r="HD427" s="1903"/>
      <c r="HE427" s="1903"/>
      <c r="HF427" s="1903"/>
      <c r="HG427" s="1903"/>
      <c r="HH427" s="1903"/>
      <c r="HI427" s="1903"/>
      <c r="HJ427" s="1903"/>
      <c r="HK427" s="1903"/>
      <c r="HL427" s="1903"/>
      <c r="HM427" s="1903"/>
      <c r="HN427" s="1903"/>
      <c r="HO427" s="1903"/>
      <c r="HP427" s="1903"/>
      <c r="HQ427" s="1903"/>
      <c r="HR427" s="1903"/>
      <c r="HS427" s="1903"/>
      <c r="HT427" s="1903"/>
      <c r="HU427" s="1903"/>
      <c r="HV427" s="1903"/>
      <c r="HW427" s="1903"/>
      <c r="HX427" s="1903"/>
      <c r="HY427" s="1903"/>
      <c r="HZ427" s="1903"/>
      <c r="IA427" s="1903"/>
      <c r="IB427" s="1903"/>
      <c r="IC427" s="1903"/>
      <c r="ID427" s="1903"/>
      <c r="IE427" s="1903"/>
      <c r="IF427" s="1903"/>
      <c r="IG427" s="1903"/>
      <c r="IH427" s="1903"/>
      <c r="II427" s="1903"/>
      <c r="IJ427" s="1903"/>
      <c r="IK427" s="1903"/>
      <c r="IL427" s="1903"/>
      <c r="IM427" s="1903"/>
      <c r="IN427" s="1903"/>
      <c r="IO427" s="1903"/>
      <c r="IP427" s="1903"/>
      <c r="IQ427" s="1903"/>
      <c r="IR427" s="1903"/>
      <c r="IS427" s="1903"/>
      <c r="IT427" s="1903"/>
      <c r="IU427" s="1903"/>
      <c r="IV427" s="1903"/>
    </row>
    <row r="428" spans="1:256" s="1904" customFormat="1" ht="40.5" customHeight="1">
      <c r="A428" s="1898"/>
      <c r="B428" s="1899"/>
      <c r="C428" s="1899"/>
      <c r="D428" s="342" t="s">
        <v>2872</v>
      </c>
      <c r="E428" s="1899"/>
      <c r="F428" s="1900"/>
      <c r="G428" s="1901"/>
      <c r="H428" s="1901"/>
      <c r="I428" s="1999"/>
      <c r="AP428" s="1291"/>
      <c r="AQ428" s="1291"/>
      <c r="AR428" s="1903"/>
      <c r="AS428" s="1903"/>
      <c r="AT428" s="1903"/>
      <c r="AU428" s="1903"/>
      <c r="AV428" s="1903"/>
      <c r="AW428" s="1903"/>
      <c r="AX428" s="1903"/>
      <c r="AY428" s="1903"/>
      <c r="AZ428" s="1903"/>
      <c r="BA428" s="1903"/>
      <c r="BB428" s="1903"/>
      <c r="BC428" s="1903"/>
      <c r="BD428" s="1903"/>
      <c r="BE428" s="1903"/>
      <c r="BF428" s="1903"/>
      <c r="BG428" s="1903"/>
      <c r="BH428" s="1903"/>
      <c r="BI428" s="1903"/>
      <c r="BJ428" s="1903"/>
      <c r="BK428" s="1903"/>
      <c r="BL428" s="1903"/>
      <c r="BM428" s="1903"/>
      <c r="BN428" s="1903"/>
      <c r="BO428" s="1903"/>
      <c r="BP428" s="1903"/>
      <c r="BQ428" s="1903"/>
      <c r="BR428" s="1903"/>
      <c r="BS428" s="1903"/>
      <c r="BT428" s="1903"/>
      <c r="BU428" s="1903"/>
      <c r="BV428" s="1903"/>
      <c r="BW428" s="1903"/>
      <c r="BX428" s="1903"/>
      <c r="BY428" s="1903"/>
      <c r="BZ428" s="1903"/>
      <c r="CA428" s="1903"/>
      <c r="CB428" s="1903"/>
      <c r="CC428" s="1903"/>
      <c r="CD428" s="1903"/>
      <c r="CE428" s="1903"/>
      <c r="CF428" s="1903"/>
      <c r="CG428" s="1903"/>
      <c r="CH428" s="1903"/>
      <c r="CI428" s="1903"/>
      <c r="CJ428" s="1903"/>
      <c r="CK428" s="1903"/>
      <c r="CL428" s="1903"/>
      <c r="CM428" s="1903"/>
      <c r="CN428" s="1903"/>
      <c r="CO428" s="1903"/>
      <c r="CP428" s="1903"/>
      <c r="CQ428" s="1903"/>
      <c r="CR428" s="1903"/>
      <c r="CS428" s="1903"/>
      <c r="CT428" s="1903"/>
      <c r="CU428" s="1903"/>
      <c r="CV428" s="1903"/>
      <c r="CW428" s="1903"/>
      <c r="CX428" s="1903"/>
      <c r="CY428" s="1903"/>
      <c r="CZ428" s="1903"/>
      <c r="DA428" s="1903"/>
      <c r="DB428" s="1903"/>
      <c r="DC428" s="1903"/>
      <c r="DD428" s="1903"/>
      <c r="DE428" s="1903"/>
      <c r="DF428" s="1903"/>
      <c r="DG428" s="1903"/>
      <c r="DH428" s="1903"/>
      <c r="DI428" s="1903"/>
      <c r="DJ428" s="1903"/>
      <c r="DK428" s="1903"/>
      <c r="DL428" s="1903"/>
      <c r="DM428" s="1903"/>
      <c r="DN428" s="1903"/>
      <c r="DO428" s="1903"/>
      <c r="DP428" s="1903"/>
      <c r="DQ428" s="1903"/>
      <c r="DR428" s="1903"/>
      <c r="DS428" s="1903"/>
      <c r="DT428" s="1903"/>
      <c r="DU428" s="1903"/>
      <c r="DV428" s="1903"/>
      <c r="DW428" s="1903"/>
      <c r="DX428" s="1903"/>
      <c r="DY428" s="1903"/>
      <c r="DZ428" s="1903"/>
      <c r="EA428" s="1903"/>
      <c r="EB428" s="1903"/>
      <c r="EC428" s="1903"/>
      <c r="ED428" s="1903"/>
      <c r="EE428" s="1903"/>
      <c r="EF428" s="1903"/>
      <c r="EG428" s="1903"/>
      <c r="EH428" s="1903"/>
      <c r="EI428" s="1903"/>
      <c r="EJ428" s="1903"/>
      <c r="EK428" s="1903"/>
      <c r="EL428" s="1903"/>
      <c r="EM428" s="1903"/>
      <c r="EN428" s="1903"/>
      <c r="EO428" s="1903"/>
      <c r="EP428" s="1903"/>
      <c r="EQ428" s="1903"/>
      <c r="ER428" s="1903"/>
      <c r="ES428" s="1903"/>
      <c r="ET428" s="1903"/>
      <c r="EU428" s="1903"/>
      <c r="EV428" s="1903"/>
      <c r="EW428" s="1903"/>
      <c r="EX428" s="1903"/>
      <c r="EY428" s="1903"/>
      <c r="EZ428" s="1903"/>
      <c r="FA428" s="1903"/>
      <c r="FB428" s="1903"/>
      <c r="FC428" s="1903"/>
      <c r="FD428" s="1903"/>
      <c r="FE428" s="1903"/>
      <c r="FF428" s="1903"/>
      <c r="FG428" s="1903"/>
      <c r="FH428" s="1903"/>
      <c r="FI428" s="1903"/>
      <c r="FJ428" s="1903"/>
      <c r="FK428" s="1903"/>
      <c r="FL428" s="1903"/>
      <c r="FM428" s="1903"/>
      <c r="FN428" s="1903"/>
      <c r="FO428" s="1903"/>
      <c r="FP428" s="1903"/>
      <c r="FQ428" s="1903"/>
      <c r="FR428" s="1903"/>
      <c r="FS428" s="1903"/>
      <c r="FT428" s="1903"/>
      <c r="FU428" s="1903"/>
      <c r="FV428" s="1903"/>
      <c r="FW428" s="1903"/>
      <c r="FX428" s="1903"/>
      <c r="FY428" s="1903"/>
      <c r="FZ428" s="1903"/>
      <c r="GA428" s="1903"/>
      <c r="GB428" s="1903"/>
      <c r="GC428" s="1903"/>
      <c r="GD428" s="1903"/>
      <c r="GE428" s="1903"/>
      <c r="GF428" s="1903"/>
      <c r="GG428" s="1903"/>
      <c r="GH428" s="1903"/>
      <c r="GI428" s="1903"/>
      <c r="GJ428" s="1903"/>
      <c r="GK428" s="1903"/>
      <c r="GL428" s="1903"/>
      <c r="GM428" s="1903"/>
      <c r="GN428" s="1903"/>
      <c r="GO428" s="1903"/>
      <c r="GP428" s="1903"/>
      <c r="GQ428" s="1903"/>
      <c r="GR428" s="1903"/>
      <c r="GS428" s="1903"/>
      <c r="GT428" s="1903"/>
      <c r="GU428" s="1903"/>
      <c r="GV428" s="1903"/>
      <c r="GW428" s="1903"/>
      <c r="GX428" s="1903"/>
      <c r="GY428" s="1903"/>
      <c r="GZ428" s="1903"/>
      <c r="HA428" s="1903"/>
      <c r="HB428" s="1903"/>
      <c r="HC428" s="1903"/>
      <c r="HD428" s="1903"/>
      <c r="HE428" s="1903"/>
      <c r="HF428" s="1903"/>
      <c r="HG428" s="1903"/>
      <c r="HH428" s="1903"/>
      <c r="HI428" s="1903"/>
      <c r="HJ428" s="1903"/>
      <c r="HK428" s="1903"/>
      <c r="HL428" s="1903"/>
      <c r="HM428" s="1903"/>
      <c r="HN428" s="1903"/>
      <c r="HO428" s="1903"/>
      <c r="HP428" s="1903"/>
      <c r="HQ428" s="1903"/>
      <c r="HR428" s="1903"/>
      <c r="HS428" s="1903"/>
      <c r="HT428" s="1903"/>
      <c r="HU428" s="1903"/>
      <c r="HV428" s="1903"/>
      <c r="HW428" s="1903"/>
      <c r="HX428" s="1903"/>
      <c r="HY428" s="1903"/>
      <c r="HZ428" s="1903"/>
      <c r="IA428" s="1903"/>
      <c r="IB428" s="1903"/>
      <c r="IC428" s="1903"/>
      <c r="ID428" s="1903"/>
      <c r="IE428" s="1903"/>
      <c r="IF428" s="1903"/>
      <c r="IG428" s="1903"/>
      <c r="IH428" s="1903"/>
      <c r="II428" s="1903"/>
      <c r="IJ428" s="1903"/>
      <c r="IK428" s="1903"/>
      <c r="IL428" s="1903"/>
      <c r="IM428" s="1903"/>
      <c r="IN428" s="1903"/>
      <c r="IO428" s="1903"/>
      <c r="IP428" s="1903"/>
      <c r="IQ428" s="1903"/>
      <c r="IR428" s="1903"/>
      <c r="IS428" s="1903"/>
      <c r="IT428" s="1903"/>
      <c r="IU428" s="1903"/>
      <c r="IV428" s="1903"/>
    </row>
    <row r="429" spans="1:256" s="158" customFormat="1" ht="13.5" customHeight="1">
      <c r="A429" s="2000">
        <v>101</v>
      </c>
      <c r="B429" s="2001" t="s">
        <v>2048</v>
      </c>
      <c r="C429" s="1325" t="s">
        <v>2893</v>
      </c>
      <c r="D429" s="1337" t="s">
        <v>2894</v>
      </c>
      <c r="E429" s="1337" t="s">
        <v>210</v>
      </c>
      <c r="F429" s="1327">
        <f>SUM(F431:F431)</f>
        <v>3</v>
      </c>
      <c r="G429" s="1992"/>
      <c r="H429" s="1355">
        <f>F429*G429</f>
        <v>0</v>
      </c>
      <c r="I429" s="1993" t="s">
        <v>112</v>
      </c>
      <c r="J429" s="1994"/>
      <c r="K429" s="1994"/>
      <c r="L429" s="2002"/>
      <c r="M429" s="2002"/>
      <c r="N429" s="2002"/>
      <c r="O429" s="2003"/>
      <c r="P429" s="1994"/>
      <c r="Q429" s="2004"/>
      <c r="S429" s="2005"/>
      <c r="T429" s="2005"/>
      <c r="U429" s="2005"/>
      <c r="V429" s="2005"/>
      <c r="W429" s="1603"/>
      <c r="X429" s="1291"/>
      <c r="Y429" s="1291"/>
      <c r="Z429" s="1291"/>
      <c r="AA429" s="1291"/>
    </row>
    <row r="430" spans="1:256" s="158" customFormat="1" ht="13.5" customHeight="1">
      <c r="A430" s="2006"/>
      <c r="B430" s="1711"/>
      <c r="C430" s="1343"/>
      <c r="D430" s="342" t="s">
        <v>2871</v>
      </c>
      <c r="E430" s="1343"/>
      <c r="F430" s="1879"/>
      <c r="G430" s="933"/>
      <c r="H430" s="933"/>
      <c r="I430" s="2007"/>
      <c r="J430" s="2008"/>
      <c r="K430" s="1994"/>
      <c r="L430" s="1291"/>
      <c r="M430" s="1291"/>
      <c r="N430" s="1291"/>
      <c r="O430" s="1291"/>
      <c r="P430" s="1291"/>
      <c r="Q430" s="1291"/>
      <c r="R430" s="1291"/>
      <c r="S430" s="1291"/>
      <c r="T430" s="1291"/>
      <c r="U430" s="1291"/>
      <c r="V430" s="1602"/>
      <c r="W430" s="1291"/>
      <c r="X430" s="1928"/>
      <c r="Y430" s="1291"/>
      <c r="Z430" s="1291"/>
      <c r="AA430" s="1291"/>
      <c r="AB430" s="1291"/>
      <c r="AC430" s="1291"/>
      <c r="AD430" s="1291"/>
      <c r="AE430" s="1291"/>
      <c r="AF430" s="1291"/>
      <c r="AG430" s="1291"/>
      <c r="AH430" s="1291"/>
      <c r="AI430" s="1291"/>
      <c r="AJ430" s="1291"/>
      <c r="AK430" s="1291"/>
      <c r="AL430" s="1291"/>
      <c r="AM430" s="1291"/>
    </row>
    <row r="431" spans="1:256" s="1904" customFormat="1" ht="13.5" customHeight="1">
      <c r="A431" s="1898"/>
      <c r="B431" s="1899"/>
      <c r="C431" s="1899"/>
      <c r="D431" s="1899" t="s">
        <v>2686</v>
      </c>
      <c r="E431" s="1899"/>
      <c r="F431" s="1900">
        <v>3</v>
      </c>
      <c r="G431" s="1901"/>
      <c r="H431" s="1901"/>
      <c r="I431" s="1905"/>
      <c r="K431" s="1291"/>
      <c r="L431" s="1291"/>
      <c r="M431" s="1291"/>
      <c r="N431" s="1291"/>
      <c r="O431" s="1291"/>
      <c r="P431" s="1291"/>
      <c r="Q431" s="1291"/>
      <c r="R431" s="1291"/>
      <c r="S431" s="1291"/>
      <c r="T431" s="1291"/>
      <c r="U431" s="1291"/>
      <c r="V431" s="1291"/>
      <c r="W431" s="1291"/>
      <c r="X431" s="1291"/>
      <c r="Y431" s="1291"/>
      <c r="Z431" s="1291"/>
      <c r="AA431" s="1291"/>
      <c r="AB431" s="1291"/>
      <c r="AC431" s="1291"/>
      <c r="AD431" s="1291"/>
      <c r="AE431" s="1291"/>
      <c r="AF431" s="1291"/>
      <c r="AG431" s="1291"/>
      <c r="AH431" s="1291"/>
      <c r="AI431" s="1291"/>
      <c r="AJ431" s="1291"/>
      <c r="AK431" s="1291"/>
      <c r="AL431" s="1291"/>
      <c r="AM431" s="1291"/>
      <c r="AN431" s="1291"/>
      <c r="AO431" s="1291"/>
      <c r="AP431" s="1291"/>
      <c r="AQ431" s="1291"/>
      <c r="AR431" s="1903"/>
      <c r="AS431" s="1903"/>
      <c r="AT431" s="1903"/>
      <c r="AU431" s="1903"/>
      <c r="AV431" s="1903"/>
      <c r="AW431" s="1903"/>
      <c r="AX431" s="1903"/>
      <c r="AY431" s="1903"/>
      <c r="AZ431" s="1903"/>
      <c r="BA431" s="1903"/>
      <c r="BB431" s="1903"/>
      <c r="BC431" s="1903"/>
      <c r="BD431" s="1903"/>
      <c r="BE431" s="1903"/>
      <c r="BF431" s="1903"/>
      <c r="BG431" s="1903"/>
      <c r="BH431" s="1903"/>
      <c r="BI431" s="1903"/>
      <c r="BJ431" s="1903"/>
      <c r="BK431" s="1903"/>
      <c r="BL431" s="1903"/>
      <c r="BM431" s="1903"/>
      <c r="BN431" s="1903"/>
      <c r="BO431" s="1903"/>
      <c r="BP431" s="1903"/>
      <c r="BQ431" s="1903"/>
      <c r="BR431" s="1903"/>
      <c r="BS431" s="1903"/>
      <c r="BT431" s="1903"/>
      <c r="BU431" s="1903"/>
      <c r="BV431" s="1903"/>
      <c r="BW431" s="1903"/>
      <c r="BX431" s="1903"/>
      <c r="BY431" s="1903"/>
      <c r="BZ431" s="1903"/>
      <c r="CA431" s="1903"/>
      <c r="CB431" s="1903"/>
      <c r="CC431" s="1903"/>
      <c r="CD431" s="1903"/>
      <c r="CE431" s="1903"/>
      <c r="CF431" s="1903"/>
      <c r="CG431" s="1903"/>
      <c r="CH431" s="1903"/>
      <c r="CI431" s="1903"/>
      <c r="CJ431" s="1903"/>
      <c r="CK431" s="1903"/>
      <c r="CL431" s="1903"/>
      <c r="CM431" s="1903"/>
      <c r="CN431" s="1903"/>
      <c r="CO431" s="1903"/>
      <c r="CP431" s="1903"/>
      <c r="CQ431" s="1903"/>
      <c r="CR431" s="1903"/>
      <c r="CS431" s="1903"/>
      <c r="CT431" s="1903"/>
      <c r="CU431" s="1903"/>
      <c r="CV431" s="1903"/>
      <c r="CW431" s="1903"/>
      <c r="CX431" s="1903"/>
      <c r="CY431" s="1903"/>
      <c r="CZ431" s="1903"/>
      <c r="DA431" s="1903"/>
      <c r="DB431" s="1903"/>
      <c r="DC431" s="1903"/>
      <c r="DD431" s="1903"/>
      <c r="DE431" s="1903"/>
      <c r="DF431" s="1903"/>
      <c r="DG431" s="1903"/>
      <c r="DH431" s="1903"/>
      <c r="DI431" s="1903"/>
      <c r="DJ431" s="1903"/>
      <c r="DK431" s="1903"/>
      <c r="DL431" s="1903"/>
      <c r="DM431" s="1903"/>
      <c r="DN431" s="1903"/>
      <c r="DO431" s="1903"/>
      <c r="DP431" s="1903"/>
      <c r="DQ431" s="1903"/>
      <c r="DR431" s="1903"/>
      <c r="DS431" s="1903"/>
      <c r="DT431" s="1903"/>
      <c r="DU431" s="1903"/>
      <c r="DV431" s="1903"/>
      <c r="DW431" s="1903"/>
      <c r="DX431" s="1903"/>
      <c r="DY431" s="1903"/>
      <c r="DZ431" s="1903"/>
      <c r="EA431" s="1903"/>
      <c r="EB431" s="1903"/>
      <c r="EC431" s="1903"/>
      <c r="ED431" s="1903"/>
      <c r="EE431" s="1903"/>
      <c r="EF431" s="1903"/>
      <c r="EG431" s="1903"/>
      <c r="EH431" s="1903"/>
      <c r="EI431" s="1903"/>
      <c r="EJ431" s="1903"/>
      <c r="EK431" s="1903"/>
      <c r="EL431" s="1903"/>
      <c r="EM431" s="1903"/>
      <c r="EN431" s="1903"/>
      <c r="EO431" s="1903"/>
      <c r="EP431" s="1903"/>
      <c r="EQ431" s="1903"/>
      <c r="ER431" s="1903"/>
      <c r="ES431" s="1903"/>
      <c r="ET431" s="1903"/>
      <c r="EU431" s="1903"/>
      <c r="EV431" s="1903"/>
      <c r="EW431" s="1903"/>
      <c r="EX431" s="1903"/>
      <c r="EY431" s="1903"/>
      <c r="EZ431" s="1903"/>
      <c r="FA431" s="1903"/>
      <c r="FB431" s="1903"/>
      <c r="FC431" s="1903"/>
      <c r="FD431" s="1903"/>
      <c r="FE431" s="1903"/>
      <c r="FF431" s="1903"/>
      <c r="FG431" s="1903"/>
      <c r="FH431" s="1903"/>
      <c r="FI431" s="1903"/>
      <c r="FJ431" s="1903"/>
      <c r="FK431" s="1903"/>
      <c r="FL431" s="1903"/>
      <c r="FM431" s="1903"/>
      <c r="FN431" s="1903"/>
      <c r="FO431" s="1903"/>
      <c r="FP431" s="1903"/>
      <c r="FQ431" s="1903"/>
      <c r="FR431" s="1903"/>
      <c r="FS431" s="1903"/>
      <c r="FT431" s="1903"/>
      <c r="FU431" s="1903"/>
      <c r="FV431" s="1903"/>
      <c r="FW431" s="1903"/>
      <c r="FX431" s="1903"/>
      <c r="FY431" s="1903"/>
      <c r="FZ431" s="1903"/>
      <c r="GA431" s="1903"/>
      <c r="GB431" s="1903"/>
      <c r="GC431" s="1903"/>
      <c r="GD431" s="1903"/>
      <c r="GE431" s="1903"/>
      <c r="GF431" s="1903"/>
      <c r="GG431" s="1903"/>
      <c r="GH431" s="1903"/>
      <c r="GI431" s="1903"/>
      <c r="GJ431" s="1903"/>
      <c r="GK431" s="1903"/>
      <c r="GL431" s="1903"/>
      <c r="GM431" s="1903"/>
      <c r="GN431" s="1903"/>
      <c r="GO431" s="1903"/>
      <c r="GP431" s="1903"/>
      <c r="GQ431" s="1903"/>
      <c r="GR431" s="1903"/>
      <c r="GS431" s="1903"/>
      <c r="GT431" s="1903"/>
      <c r="GU431" s="1903"/>
      <c r="GV431" s="1903"/>
      <c r="GW431" s="1903"/>
      <c r="GX431" s="1903"/>
      <c r="GY431" s="1903"/>
      <c r="GZ431" s="1903"/>
      <c r="HA431" s="1903"/>
      <c r="HB431" s="1903"/>
      <c r="HC431" s="1903"/>
      <c r="HD431" s="1903"/>
      <c r="HE431" s="1903"/>
      <c r="HF431" s="1903"/>
      <c r="HG431" s="1903"/>
      <c r="HH431" s="1903"/>
      <c r="HI431" s="1903"/>
      <c r="HJ431" s="1903"/>
      <c r="HK431" s="1903"/>
      <c r="HL431" s="1903"/>
      <c r="HM431" s="1903"/>
      <c r="HN431" s="1903"/>
      <c r="HO431" s="1903"/>
      <c r="HP431" s="1903"/>
      <c r="HQ431" s="1903"/>
      <c r="HR431" s="1903"/>
      <c r="HS431" s="1903"/>
      <c r="HT431" s="1903"/>
      <c r="HU431" s="1903"/>
      <c r="HV431" s="1903"/>
      <c r="HW431" s="1903"/>
      <c r="HX431" s="1903"/>
      <c r="HY431" s="1903"/>
      <c r="HZ431" s="1903"/>
      <c r="IA431" s="1903"/>
      <c r="IB431" s="1903"/>
      <c r="IC431" s="1903"/>
      <c r="ID431" s="1903"/>
      <c r="IE431" s="1903"/>
      <c r="IF431" s="1903"/>
      <c r="IG431" s="1903"/>
      <c r="IH431" s="1903"/>
      <c r="II431" s="1903"/>
      <c r="IJ431" s="1903"/>
      <c r="IK431" s="1903"/>
      <c r="IL431" s="1903"/>
      <c r="IM431" s="1903"/>
      <c r="IN431" s="1903"/>
      <c r="IO431" s="1903"/>
      <c r="IP431" s="1903"/>
      <c r="IQ431" s="1903"/>
      <c r="IR431" s="1903"/>
      <c r="IS431" s="1903"/>
      <c r="IT431" s="1903"/>
      <c r="IU431" s="1903"/>
      <c r="IV431" s="1903"/>
    </row>
    <row r="432" spans="1:256" s="1904" customFormat="1" ht="40.5" customHeight="1">
      <c r="A432" s="1898"/>
      <c r="B432" s="1899"/>
      <c r="C432" s="1899"/>
      <c r="D432" s="1343" t="s">
        <v>2872</v>
      </c>
      <c r="E432" s="1899"/>
      <c r="F432" s="1900"/>
      <c r="G432" s="1901"/>
      <c r="H432" s="1901"/>
      <c r="I432" s="1905"/>
      <c r="Z432" s="1602"/>
      <c r="AA432" s="1291"/>
      <c r="AB432" s="1291"/>
      <c r="AC432" s="1291"/>
      <c r="AD432" s="1291"/>
      <c r="AE432" s="1291"/>
      <c r="AF432" s="1291"/>
      <c r="AG432" s="1291"/>
      <c r="AH432" s="1291"/>
      <c r="AI432" s="1291"/>
      <c r="AJ432" s="1291"/>
      <c r="AK432" s="1291"/>
      <c r="AL432" s="1291"/>
      <c r="AM432" s="1291"/>
      <c r="AN432" s="1291"/>
      <c r="AO432" s="1291"/>
      <c r="AP432" s="1291"/>
      <c r="AQ432" s="1291"/>
      <c r="AR432" s="1903"/>
      <c r="AS432" s="1903"/>
      <c r="AT432" s="1903"/>
      <c r="AU432" s="1903"/>
      <c r="AV432" s="1903"/>
      <c r="AW432" s="1903"/>
      <c r="AX432" s="1903"/>
      <c r="AY432" s="1903"/>
      <c r="AZ432" s="1903"/>
      <c r="BA432" s="1903"/>
      <c r="BB432" s="1903"/>
      <c r="BC432" s="1903"/>
      <c r="BD432" s="1903"/>
      <c r="BE432" s="1903"/>
      <c r="BF432" s="1903"/>
      <c r="BG432" s="1903"/>
      <c r="BH432" s="1903"/>
      <c r="BI432" s="1903"/>
      <c r="BJ432" s="1903"/>
      <c r="BK432" s="1903"/>
      <c r="BL432" s="1903"/>
      <c r="BM432" s="1903"/>
      <c r="BN432" s="1903"/>
      <c r="BO432" s="1903"/>
      <c r="BP432" s="1903"/>
      <c r="BQ432" s="1903"/>
      <c r="BR432" s="1903"/>
      <c r="BS432" s="1903"/>
      <c r="BT432" s="1903"/>
      <c r="BU432" s="1903"/>
      <c r="BV432" s="1903"/>
      <c r="BW432" s="1903"/>
      <c r="BX432" s="1903"/>
      <c r="BY432" s="1903"/>
      <c r="BZ432" s="1903"/>
      <c r="CA432" s="1903"/>
      <c r="CB432" s="1903"/>
      <c r="CC432" s="1903"/>
      <c r="CD432" s="1903"/>
      <c r="CE432" s="1903"/>
      <c r="CF432" s="1903"/>
      <c r="CG432" s="1903"/>
      <c r="CH432" s="1903"/>
      <c r="CI432" s="1903"/>
      <c r="CJ432" s="1903"/>
      <c r="CK432" s="1903"/>
      <c r="CL432" s="1903"/>
      <c r="CM432" s="1903"/>
      <c r="CN432" s="1903"/>
      <c r="CO432" s="1903"/>
      <c r="CP432" s="1903"/>
      <c r="CQ432" s="1903"/>
      <c r="CR432" s="1903"/>
      <c r="CS432" s="1903"/>
      <c r="CT432" s="1903"/>
      <c r="CU432" s="1903"/>
      <c r="CV432" s="1903"/>
      <c r="CW432" s="1903"/>
      <c r="CX432" s="1903"/>
      <c r="CY432" s="1903"/>
      <c r="CZ432" s="1903"/>
      <c r="DA432" s="1903"/>
      <c r="DB432" s="1903"/>
      <c r="DC432" s="1903"/>
      <c r="DD432" s="1903"/>
      <c r="DE432" s="1903"/>
      <c r="DF432" s="1903"/>
      <c r="DG432" s="1903"/>
      <c r="DH432" s="1903"/>
      <c r="DI432" s="1903"/>
      <c r="DJ432" s="1903"/>
      <c r="DK432" s="1903"/>
      <c r="DL432" s="1903"/>
      <c r="DM432" s="1903"/>
      <c r="DN432" s="1903"/>
      <c r="DO432" s="1903"/>
      <c r="DP432" s="1903"/>
      <c r="DQ432" s="1903"/>
      <c r="DR432" s="1903"/>
      <c r="DS432" s="1903"/>
      <c r="DT432" s="1903"/>
      <c r="DU432" s="1903"/>
      <c r="DV432" s="1903"/>
      <c r="DW432" s="1903"/>
      <c r="DX432" s="1903"/>
      <c r="DY432" s="1903"/>
      <c r="DZ432" s="1903"/>
      <c r="EA432" s="1903"/>
      <c r="EB432" s="1903"/>
      <c r="EC432" s="1903"/>
      <c r="ED432" s="1903"/>
      <c r="EE432" s="1903"/>
      <c r="EF432" s="1903"/>
      <c r="EG432" s="1903"/>
      <c r="EH432" s="1903"/>
      <c r="EI432" s="1903"/>
      <c r="EJ432" s="1903"/>
      <c r="EK432" s="1903"/>
      <c r="EL432" s="1903"/>
      <c r="EM432" s="1903"/>
      <c r="EN432" s="1903"/>
      <c r="EO432" s="1903"/>
      <c r="EP432" s="1903"/>
      <c r="EQ432" s="1903"/>
      <c r="ER432" s="1903"/>
      <c r="ES432" s="1903"/>
      <c r="ET432" s="1903"/>
      <c r="EU432" s="1903"/>
      <c r="EV432" s="1903"/>
      <c r="EW432" s="1903"/>
      <c r="EX432" s="1903"/>
      <c r="EY432" s="1903"/>
      <c r="EZ432" s="1903"/>
      <c r="FA432" s="1903"/>
      <c r="FB432" s="1903"/>
      <c r="FC432" s="1903"/>
      <c r="FD432" s="1903"/>
      <c r="FE432" s="1903"/>
      <c r="FF432" s="1903"/>
      <c r="FG432" s="1903"/>
      <c r="FH432" s="1903"/>
      <c r="FI432" s="1903"/>
      <c r="FJ432" s="1903"/>
      <c r="FK432" s="1903"/>
      <c r="FL432" s="1903"/>
      <c r="FM432" s="1903"/>
      <c r="FN432" s="1903"/>
      <c r="FO432" s="1903"/>
      <c r="FP432" s="1903"/>
      <c r="FQ432" s="1903"/>
      <c r="FR432" s="1903"/>
      <c r="FS432" s="1903"/>
      <c r="FT432" s="1903"/>
      <c r="FU432" s="1903"/>
      <c r="FV432" s="1903"/>
      <c r="FW432" s="1903"/>
      <c r="FX432" s="1903"/>
      <c r="FY432" s="1903"/>
      <c r="FZ432" s="1903"/>
      <c r="GA432" s="1903"/>
      <c r="GB432" s="1903"/>
      <c r="GC432" s="1903"/>
      <c r="GD432" s="1903"/>
      <c r="GE432" s="1903"/>
      <c r="GF432" s="1903"/>
      <c r="GG432" s="1903"/>
      <c r="GH432" s="1903"/>
      <c r="GI432" s="1903"/>
      <c r="GJ432" s="1903"/>
      <c r="GK432" s="1903"/>
      <c r="GL432" s="1903"/>
      <c r="GM432" s="1903"/>
      <c r="GN432" s="1903"/>
      <c r="GO432" s="1903"/>
      <c r="GP432" s="1903"/>
      <c r="GQ432" s="1903"/>
      <c r="GR432" s="1903"/>
      <c r="GS432" s="1903"/>
      <c r="GT432" s="1903"/>
      <c r="GU432" s="1903"/>
      <c r="GV432" s="1903"/>
      <c r="GW432" s="1903"/>
      <c r="GX432" s="1903"/>
      <c r="GY432" s="1903"/>
      <c r="GZ432" s="1903"/>
      <c r="HA432" s="1903"/>
      <c r="HB432" s="1903"/>
      <c r="HC432" s="1903"/>
      <c r="HD432" s="1903"/>
      <c r="HE432" s="1903"/>
      <c r="HF432" s="1903"/>
      <c r="HG432" s="1903"/>
      <c r="HH432" s="1903"/>
      <c r="HI432" s="1903"/>
      <c r="HJ432" s="1903"/>
      <c r="HK432" s="1903"/>
      <c r="HL432" s="1903"/>
      <c r="HM432" s="1903"/>
      <c r="HN432" s="1903"/>
      <c r="HO432" s="1903"/>
      <c r="HP432" s="1903"/>
      <c r="HQ432" s="1903"/>
      <c r="HR432" s="1903"/>
      <c r="HS432" s="1903"/>
      <c r="HT432" s="1903"/>
      <c r="HU432" s="1903"/>
      <c r="HV432" s="1903"/>
      <c r="HW432" s="1903"/>
      <c r="HX432" s="1903"/>
      <c r="HY432" s="1903"/>
      <c r="HZ432" s="1903"/>
      <c r="IA432" s="1903"/>
      <c r="IB432" s="1903"/>
      <c r="IC432" s="1903"/>
      <c r="ID432" s="1903"/>
      <c r="IE432" s="1903"/>
      <c r="IF432" s="1903"/>
      <c r="IG432" s="1903"/>
      <c r="IH432" s="1903"/>
      <c r="II432" s="1903"/>
      <c r="IJ432" s="1903"/>
      <c r="IK432" s="1903"/>
      <c r="IL432" s="1903"/>
      <c r="IM432" s="1903"/>
      <c r="IN432" s="1903"/>
      <c r="IO432" s="1903"/>
      <c r="IP432" s="1903"/>
      <c r="IQ432" s="1903"/>
      <c r="IR432" s="1903"/>
      <c r="IS432" s="1903"/>
      <c r="IT432" s="1903"/>
      <c r="IU432" s="1903"/>
      <c r="IV432" s="1903"/>
    </row>
    <row r="433" spans="1:256" s="2002" customFormat="1" ht="13.5" customHeight="1">
      <c r="A433" s="854">
        <v>102</v>
      </c>
      <c r="B433" s="2001" t="s">
        <v>2048</v>
      </c>
      <c r="C433" s="1325" t="s">
        <v>2895</v>
      </c>
      <c r="D433" s="1337" t="s">
        <v>2896</v>
      </c>
      <c r="E433" s="2009" t="s">
        <v>210</v>
      </c>
      <c r="F433" s="1327">
        <f>SUM(F435:F435)</f>
        <v>2</v>
      </c>
      <c r="G433" s="1992"/>
      <c r="H433" s="2010">
        <f>F433*G433</f>
        <v>0</v>
      </c>
      <c r="I433" s="1993" t="s">
        <v>112</v>
      </c>
      <c r="J433" s="1994"/>
      <c r="K433" s="1994"/>
      <c r="T433" s="1994"/>
    </row>
    <row r="434" spans="1:256" s="2002" customFormat="1" ht="13.5" customHeight="1">
      <c r="A434" s="2011"/>
      <c r="B434" s="2001"/>
      <c r="C434" s="2012"/>
      <c r="D434" s="342" t="s">
        <v>2871</v>
      </c>
      <c r="E434" s="2012"/>
      <c r="F434" s="2013"/>
      <c r="G434" s="2010"/>
      <c r="H434" s="2014"/>
      <c r="I434" s="2015"/>
      <c r="J434" s="2016"/>
      <c r="K434" s="1602"/>
      <c r="L434" s="1602"/>
      <c r="M434" s="1602"/>
      <c r="N434" s="1602"/>
      <c r="O434" s="1602"/>
      <c r="P434" s="1602"/>
      <c r="Q434" s="1602"/>
      <c r="R434" s="1602"/>
      <c r="S434" s="1602"/>
      <c r="T434" s="1602"/>
      <c r="U434" s="1291"/>
    </row>
    <row r="435" spans="1:256" s="1885" customFormat="1" ht="13.5" customHeight="1">
      <c r="A435" s="1335"/>
      <c r="B435" s="1337"/>
      <c r="C435" s="1337"/>
      <c r="D435" s="1899" t="s">
        <v>2686</v>
      </c>
      <c r="E435" s="1899"/>
      <c r="F435" s="1900">
        <v>2</v>
      </c>
      <c r="G435" s="1339"/>
      <c r="H435" s="1339"/>
      <c r="I435" s="1345"/>
      <c r="J435" s="2017"/>
      <c r="T435" s="2018"/>
    </row>
    <row r="436" spans="1:256" s="2002" customFormat="1" ht="38.25" customHeight="1">
      <c r="A436" s="2011"/>
      <c r="B436" s="2019"/>
      <c r="C436" s="2012"/>
      <c r="D436" s="2012" t="s">
        <v>2872</v>
      </c>
      <c r="E436" s="2012"/>
      <c r="F436" s="2020"/>
      <c r="G436" s="2010"/>
      <c r="H436" s="2014"/>
      <c r="I436" s="2015"/>
      <c r="J436" s="2021"/>
      <c r="K436" s="2021"/>
      <c r="L436" s="2021"/>
      <c r="M436" s="2021"/>
      <c r="N436" s="2021"/>
      <c r="O436" s="2021"/>
      <c r="P436" s="2021"/>
      <c r="Q436" s="2021"/>
      <c r="R436" s="2021"/>
      <c r="S436" s="2021"/>
      <c r="T436" s="2021"/>
      <c r="U436" s="2022"/>
      <c r="V436" s="2021"/>
      <c r="W436" s="2021"/>
    </row>
    <row r="437" spans="1:256" s="2002" customFormat="1" ht="13.5" customHeight="1">
      <c r="A437" s="854">
        <v>103</v>
      </c>
      <c r="B437" s="2001" t="s">
        <v>2048</v>
      </c>
      <c r="C437" s="1325" t="s">
        <v>2897</v>
      </c>
      <c r="D437" s="2009" t="s">
        <v>2898</v>
      </c>
      <c r="E437" s="2009" t="s">
        <v>210</v>
      </c>
      <c r="F437" s="1327">
        <f>SUM(F439:F439)</f>
        <v>1</v>
      </c>
      <c r="G437" s="1992"/>
      <c r="H437" s="2010">
        <f>F437*G437</f>
        <v>0</v>
      </c>
      <c r="I437" s="1993" t="s">
        <v>112</v>
      </c>
      <c r="J437" s="1994"/>
      <c r="K437" s="1994"/>
      <c r="T437" s="1994"/>
    </row>
    <row r="438" spans="1:256" s="2002" customFormat="1" ht="13.5" customHeight="1">
      <c r="A438" s="2011"/>
      <c r="B438" s="2001"/>
      <c r="C438" s="2012"/>
      <c r="D438" s="342" t="s">
        <v>2871</v>
      </c>
      <c r="E438" s="2012"/>
      <c r="F438" s="2013"/>
      <c r="G438" s="2010"/>
      <c r="H438" s="2014"/>
      <c r="I438" s="2015"/>
      <c r="J438" s="2016"/>
      <c r="K438" s="1602"/>
      <c r="L438" s="1602"/>
      <c r="M438" s="1602"/>
      <c r="N438" s="1602"/>
      <c r="O438" s="1602"/>
      <c r="P438" s="1602"/>
      <c r="Q438" s="1602"/>
      <c r="R438" s="1602"/>
      <c r="S438" s="1602"/>
      <c r="T438" s="1602"/>
      <c r="U438" s="1291"/>
    </row>
    <row r="439" spans="1:256" s="1885" customFormat="1" ht="13.5" customHeight="1">
      <c r="A439" s="1335"/>
      <c r="B439" s="1337"/>
      <c r="C439" s="1337"/>
      <c r="D439" s="1899" t="s">
        <v>2686</v>
      </c>
      <c r="E439" s="1899"/>
      <c r="F439" s="1900">
        <v>1</v>
      </c>
      <c r="G439" s="1339"/>
      <c r="H439" s="1339"/>
      <c r="I439" s="1345"/>
      <c r="J439" s="2017"/>
      <c r="T439" s="2018"/>
    </row>
    <row r="440" spans="1:256" s="2002" customFormat="1" ht="38.25" customHeight="1">
      <c r="A440" s="2011"/>
      <c r="B440" s="2019"/>
      <c r="C440" s="2012"/>
      <c r="D440" s="2012" t="s">
        <v>2872</v>
      </c>
      <c r="E440" s="2012"/>
      <c r="F440" s="2020"/>
      <c r="G440" s="2010"/>
      <c r="H440" s="2014"/>
      <c r="I440" s="2015"/>
      <c r="J440" s="2021"/>
      <c r="K440" s="2021"/>
      <c r="L440" s="2021"/>
      <c r="M440" s="2021"/>
      <c r="N440" s="2021"/>
      <c r="O440" s="2021"/>
      <c r="P440" s="2021"/>
      <c r="Q440" s="2021"/>
      <c r="R440" s="2021"/>
      <c r="S440" s="2021"/>
      <c r="T440" s="2021"/>
      <c r="U440" s="2022"/>
      <c r="V440" s="2021"/>
      <c r="W440" s="2021"/>
    </row>
    <row r="441" spans="1:256" s="2002" customFormat="1" ht="13.5" customHeight="1">
      <c r="A441" s="854">
        <v>104</v>
      </c>
      <c r="B441" s="2001" t="s">
        <v>2048</v>
      </c>
      <c r="C441" s="1325" t="s">
        <v>2899</v>
      </c>
      <c r="D441" s="2009" t="s">
        <v>2900</v>
      </c>
      <c r="E441" s="2009" t="s">
        <v>210</v>
      </c>
      <c r="F441" s="1327">
        <f>SUM(F443:F443)</f>
        <v>3</v>
      </c>
      <c r="G441" s="1992"/>
      <c r="H441" s="2010">
        <f>F441*G441</f>
        <v>0</v>
      </c>
      <c r="I441" s="1993" t="s">
        <v>112</v>
      </c>
      <c r="J441" s="1994"/>
      <c r="K441" s="1994"/>
      <c r="T441" s="1994"/>
    </row>
    <row r="442" spans="1:256" s="2002" customFormat="1" ht="13.5" customHeight="1">
      <c r="A442" s="2011"/>
      <c r="B442" s="2001"/>
      <c r="C442" s="2012"/>
      <c r="D442" s="342" t="s">
        <v>2871</v>
      </c>
      <c r="E442" s="2012"/>
      <c r="F442" s="2013"/>
      <c r="G442" s="2010"/>
      <c r="H442" s="2014"/>
      <c r="I442" s="2015"/>
      <c r="J442" s="2016"/>
      <c r="K442" s="1602"/>
      <c r="L442" s="1602"/>
      <c r="M442" s="1602"/>
      <c r="N442" s="1602"/>
      <c r="O442" s="1602"/>
      <c r="P442" s="1602"/>
      <c r="Q442" s="1602"/>
      <c r="R442" s="1602"/>
      <c r="S442" s="1602"/>
      <c r="T442" s="1602"/>
      <c r="U442" s="1291"/>
    </row>
    <row r="443" spans="1:256" s="1885" customFormat="1" ht="13.5" customHeight="1">
      <c r="A443" s="1335"/>
      <c r="B443" s="1337"/>
      <c r="C443" s="1337"/>
      <c r="D443" s="1899" t="s">
        <v>2686</v>
      </c>
      <c r="E443" s="1899"/>
      <c r="F443" s="1900">
        <v>3</v>
      </c>
      <c r="G443" s="1339"/>
      <c r="H443" s="1339"/>
      <c r="I443" s="1345"/>
      <c r="J443" s="2017"/>
      <c r="T443" s="2018"/>
    </row>
    <row r="444" spans="1:256" s="2002" customFormat="1" ht="38.25" customHeight="1">
      <c r="A444" s="2011"/>
      <c r="B444" s="2019"/>
      <c r="C444" s="2012"/>
      <c r="D444" s="2012" t="s">
        <v>2872</v>
      </c>
      <c r="E444" s="2012"/>
      <c r="F444" s="2020"/>
      <c r="G444" s="2010"/>
      <c r="H444" s="2014"/>
      <c r="I444" s="2015"/>
      <c r="J444" s="2021"/>
      <c r="K444" s="2021"/>
      <c r="L444" s="2021"/>
      <c r="M444" s="2021"/>
      <c r="N444" s="2021"/>
      <c r="O444" s="2021"/>
      <c r="P444" s="2021"/>
      <c r="Q444" s="2021"/>
      <c r="R444" s="2021"/>
      <c r="S444" s="2021"/>
      <c r="T444" s="2021"/>
      <c r="U444" s="2022"/>
      <c r="V444" s="2021"/>
      <c r="W444" s="2021"/>
    </row>
    <row r="445" spans="1:256" s="1885" customFormat="1" ht="13.5" customHeight="1">
      <c r="A445" s="1335">
        <v>105</v>
      </c>
      <c r="B445" s="1337" t="s">
        <v>2048</v>
      </c>
      <c r="C445" s="1325" t="s">
        <v>2901</v>
      </c>
      <c r="D445" s="1337" t="s">
        <v>2902</v>
      </c>
      <c r="E445" s="1337" t="s">
        <v>210</v>
      </c>
      <c r="F445" s="1666">
        <f>SUM(F447:F447)</f>
        <v>1</v>
      </c>
      <c r="G445" s="1992"/>
      <c r="H445" s="1339">
        <f>F445*G445</f>
        <v>0</v>
      </c>
      <c r="I445" s="1993" t="s">
        <v>112</v>
      </c>
      <c r="J445" s="1651"/>
      <c r="K445" s="1652"/>
      <c r="U445" s="2023"/>
    </row>
    <row r="446" spans="1:256" s="1904" customFormat="1" ht="13.5" customHeight="1">
      <c r="A446" s="1898"/>
      <c r="B446" s="1899"/>
      <c r="C446" s="1899"/>
      <c r="D446" s="1899" t="s">
        <v>2903</v>
      </c>
      <c r="E446" s="1899"/>
      <c r="F446" s="1900"/>
      <c r="G446" s="1901"/>
      <c r="H446" s="1901"/>
      <c r="I446" s="1905"/>
      <c r="J446" s="2024"/>
      <c r="K446" s="1291"/>
      <c r="L446" s="1291"/>
      <c r="M446" s="1291"/>
      <c r="N446" s="1291"/>
      <c r="O446" s="1291"/>
      <c r="P446" s="1291"/>
      <c r="Q446" s="1291"/>
      <c r="R446" s="1291"/>
      <c r="S446" s="1291"/>
      <c r="T446" s="1291"/>
      <c r="U446" s="1291"/>
      <c r="V446" s="1291"/>
      <c r="W446" s="1291"/>
      <c r="X446" s="1291"/>
      <c r="Y446" s="1291"/>
      <c r="Z446" s="1291"/>
      <c r="AA446" s="1291"/>
      <c r="AB446" s="1291"/>
      <c r="AC446" s="1291"/>
      <c r="AD446" s="1291"/>
      <c r="AE446" s="1291"/>
      <c r="AF446" s="1291"/>
      <c r="AG446" s="1291"/>
      <c r="AH446" s="1291"/>
      <c r="AI446" s="1291"/>
      <c r="AJ446" s="1291"/>
      <c r="AK446" s="1291"/>
      <c r="AL446" s="1291"/>
      <c r="AM446" s="1291"/>
      <c r="AN446" s="1291"/>
      <c r="AO446" s="1291"/>
      <c r="AP446" s="1291"/>
      <c r="AQ446" s="1291"/>
      <c r="AR446" s="1903"/>
      <c r="AS446" s="1903"/>
      <c r="AT446" s="1903"/>
      <c r="AU446" s="1903"/>
      <c r="AV446" s="1903"/>
      <c r="AW446" s="1903"/>
      <c r="AX446" s="1903"/>
      <c r="AY446" s="1903"/>
      <c r="AZ446" s="1903"/>
      <c r="BA446" s="1903"/>
      <c r="BB446" s="1903"/>
      <c r="BC446" s="1903"/>
      <c r="BD446" s="1903"/>
      <c r="BE446" s="1903"/>
      <c r="BF446" s="1903"/>
      <c r="BG446" s="1903"/>
      <c r="BH446" s="1903"/>
      <c r="BI446" s="1903"/>
      <c r="BJ446" s="1903"/>
      <c r="BK446" s="1903"/>
      <c r="BL446" s="1903"/>
      <c r="BM446" s="1903"/>
      <c r="BN446" s="1903"/>
      <c r="BO446" s="1903"/>
      <c r="BP446" s="1903"/>
      <c r="BQ446" s="1903"/>
      <c r="BR446" s="1903"/>
      <c r="BS446" s="1903"/>
      <c r="BT446" s="1903"/>
      <c r="BU446" s="1903"/>
      <c r="BV446" s="1903"/>
      <c r="BW446" s="1903"/>
      <c r="BX446" s="1903"/>
      <c r="BY446" s="1903"/>
      <c r="BZ446" s="1903"/>
      <c r="CA446" s="1903"/>
      <c r="CB446" s="1903"/>
      <c r="CC446" s="1903"/>
      <c r="CD446" s="1903"/>
      <c r="CE446" s="1903"/>
      <c r="CF446" s="1903"/>
      <c r="CG446" s="1903"/>
      <c r="CH446" s="1903"/>
      <c r="CI446" s="1903"/>
      <c r="CJ446" s="1903"/>
      <c r="CK446" s="1903"/>
      <c r="CL446" s="1903"/>
      <c r="CM446" s="1903"/>
      <c r="CN446" s="1903"/>
      <c r="CO446" s="1903"/>
      <c r="CP446" s="1903"/>
      <c r="CQ446" s="1903"/>
      <c r="CR446" s="1903"/>
      <c r="CS446" s="1903"/>
      <c r="CT446" s="1903"/>
      <c r="CU446" s="1903"/>
      <c r="CV446" s="1903"/>
      <c r="CW446" s="1903"/>
      <c r="CX446" s="1903"/>
      <c r="CY446" s="1903"/>
      <c r="CZ446" s="1903"/>
      <c r="DA446" s="1903"/>
      <c r="DB446" s="1903"/>
      <c r="DC446" s="1903"/>
      <c r="DD446" s="1903"/>
      <c r="DE446" s="1903"/>
      <c r="DF446" s="1903"/>
      <c r="DG446" s="1903"/>
      <c r="DH446" s="1903"/>
      <c r="DI446" s="1903"/>
      <c r="DJ446" s="1903"/>
      <c r="DK446" s="1903"/>
      <c r="DL446" s="1903"/>
      <c r="DM446" s="1903"/>
      <c r="DN446" s="1903"/>
      <c r="DO446" s="1903"/>
      <c r="DP446" s="1903"/>
      <c r="DQ446" s="1903"/>
      <c r="DR446" s="1903"/>
      <c r="DS446" s="1903"/>
      <c r="DT446" s="1903"/>
      <c r="DU446" s="1903"/>
      <c r="DV446" s="1903"/>
      <c r="DW446" s="1903"/>
      <c r="DX446" s="1903"/>
      <c r="DY446" s="1903"/>
      <c r="DZ446" s="1903"/>
      <c r="EA446" s="1903"/>
      <c r="EB446" s="1903"/>
      <c r="EC446" s="1903"/>
      <c r="ED446" s="1903"/>
      <c r="EE446" s="1903"/>
      <c r="EF446" s="1903"/>
      <c r="EG446" s="1903"/>
      <c r="EH446" s="1903"/>
      <c r="EI446" s="1903"/>
      <c r="EJ446" s="1903"/>
      <c r="EK446" s="1903"/>
      <c r="EL446" s="1903"/>
      <c r="EM446" s="1903"/>
      <c r="EN446" s="1903"/>
      <c r="EO446" s="1903"/>
      <c r="EP446" s="1903"/>
      <c r="EQ446" s="1903"/>
      <c r="ER446" s="1903"/>
      <c r="ES446" s="1903"/>
      <c r="ET446" s="1903"/>
      <c r="EU446" s="1903"/>
      <c r="EV446" s="1903"/>
      <c r="EW446" s="1903"/>
      <c r="EX446" s="1903"/>
      <c r="EY446" s="1903"/>
      <c r="EZ446" s="1903"/>
      <c r="FA446" s="1903"/>
      <c r="FB446" s="1903"/>
      <c r="FC446" s="1903"/>
      <c r="FD446" s="1903"/>
      <c r="FE446" s="1903"/>
      <c r="FF446" s="1903"/>
      <c r="FG446" s="1903"/>
      <c r="FH446" s="1903"/>
      <c r="FI446" s="1903"/>
      <c r="FJ446" s="1903"/>
      <c r="FK446" s="1903"/>
      <c r="FL446" s="1903"/>
      <c r="FM446" s="1903"/>
      <c r="FN446" s="1903"/>
      <c r="FO446" s="1903"/>
      <c r="FP446" s="1903"/>
      <c r="FQ446" s="1903"/>
      <c r="FR446" s="1903"/>
      <c r="FS446" s="1903"/>
      <c r="FT446" s="1903"/>
      <c r="FU446" s="1903"/>
      <c r="FV446" s="1903"/>
      <c r="FW446" s="1903"/>
      <c r="FX446" s="1903"/>
      <c r="FY446" s="1903"/>
      <c r="FZ446" s="1903"/>
      <c r="GA446" s="1903"/>
      <c r="GB446" s="1903"/>
      <c r="GC446" s="1903"/>
      <c r="GD446" s="1903"/>
      <c r="GE446" s="1903"/>
      <c r="GF446" s="1903"/>
      <c r="GG446" s="1903"/>
      <c r="GH446" s="1903"/>
      <c r="GI446" s="1903"/>
      <c r="GJ446" s="1903"/>
      <c r="GK446" s="1903"/>
      <c r="GL446" s="1903"/>
      <c r="GM446" s="1903"/>
      <c r="GN446" s="1903"/>
      <c r="GO446" s="1903"/>
      <c r="GP446" s="1903"/>
      <c r="GQ446" s="1903"/>
      <c r="GR446" s="1903"/>
      <c r="GS446" s="1903"/>
      <c r="GT446" s="1903"/>
      <c r="GU446" s="1903"/>
      <c r="GV446" s="1903"/>
      <c r="GW446" s="1903"/>
      <c r="GX446" s="1903"/>
      <c r="GY446" s="1903"/>
      <c r="GZ446" s="1903"/>
      <c r="HA446" s="1903"/>
      <c r="HB446" s="1903"/>
      <c r="HC446" s="1903"/>
      <c r="HD446" s="1903"/>
      <c r="HE446" s="1903"/>
      <c r="HF446" s="1903"/>
      <c r="HG446" s="1903"/>
      <c r="HH446" s="1903"/>
      <c r="HI446" s="1903"/>
      <c r="HJ446" s="1903"/>
      <c r="HK446" s="1903"/>
      <c r="HL446" s="1903"/>
      <c r="HM446" s="1903"/>
      <c r="HN446" s="1903"/>
      <c r="HO446" s="1903"/>
      <c r="HP446" s="1903"/>
      <c r="HQ446" s="1903"/>
      <c r="HR446" s="1903"/>
      <c r="HS446" s="1903"/>
      <c r="HT446" s="1903"/>
      <c r="HU446" s="1903"/>
      <c r="HV446" s="1903"/>
      <c r="HW446" s="1903"/>
      <c r="HX446" s="1903"/>
      <c r="HY446" s="1903"/>
      <c r="HZ446" s="1903"/>
      <c r="IA446" s="1903"/>
      <c r="IB446" s="1903"/>
      <c r="IC446" s="1903"/>
      <c r="ID446" s="1903"/>
      <c r="IE446" s="1903"/>
      <c r="IF446" s="1903"/>
      <c r="IG446" s="1903"/>
      <c r="IH446" s="1903"/>
      <c r="II446" s="1903"/>
      <c r="IJ446" s="1903"/>
      <c r="IK446" s="1903"/>
      <c r="IL446" s="1903"/>
      <c r="IM446" s="1903"/>
      <c r="IN446" s="1903"/>
      <c r="IO446" s="1903"/>
      <c r="IP446" s="1903"/>
      <c r="IQ446" s="1903"/>
      <c r="IR446" s="1903"/>
      <c r="IS446" s="1903"/>
      <c r="IT446" s="1903"/>
      <c r="IU446" s="1903"/>
      <c r="IV446" s="1903"/>
    </row>
    <row r="447" spans="1:256" s="1904" customFormat="1" ht="13.5" customHeight="1">
      <c r="A447" s="1898"/>
      <c r="B447" s="1899"/>
      <c r="C447" s="1899"/>
      <c r="D447" s="1899" t="s">
        <v>2686</v>
      </c>
      <c r="E447" s="1899"/>
      <c r="F447" s="1900">
        <v>1</v>
      </c>
      <c r="G447" s="1901"/>
      <c r="H447" s="1901"/>
      <c r="I447" s="1905"/>
      <c r="J447" s="2024"/>
      <c r="K447" s="1291"/>
      <c r="L447" s="1291"/>
      <c r="M447" s="1291"/>
      <c r="N447" s="1291"/>
      <c r="O447" s="1291"/>
      <c r="P447" s="1291"/>
      <c r="Q447" s="1291"/>
      <c r="R447" s="1291"/>
      <c r="S447" s="1291"/>
      <c r="T447" s="1291"/>
      <c r="U447" s="1291"/>
      <c r="V447" s="1291"/>
      <c r="W447" s="1291"/>
      <c r="X447" s="1291"/>
      <c r="Y447" s="1291"/>
      <c r="Z447" s="1291"/>
      <c r="AA447" s="1291"/>
      <c r="AB447" s="1291"/>
      <c r="AC447" s="1291"/>
      <c r="AD447" s="1291"/>
      <c r="AE447" s="1291"/>
      <c r="AF447" s="1291"/>
      <c r="AG447" s="1291"/>
      <c r="AH447" s="1291"/>
      <c r="AI447" s="1291"/>
      <c r="AJ447" s="1291"/>
      <c r="AK447" s="1291"/>
      <c r="AL447" s="1291"/>
      <c r="AM447" s="1291"/>
      <c r="AN447" s="1291"/>
      <c r="AO447" s="1291"/>
      <c r="AP447" s="1291"/>
      <c r="AQ447" s="1291"/>
      <c r="AR447" s="1903"/>
      <c r="AS447" s="1903"/>
      <c r="AT447" s="1903"/>
      <c r="AU447" s="1903"/>
      <c r="AV447" s="1903"/>
      <c r="AW447" s="1903"/>
      <c r="AX447" s="1903"/>
      <c r="AY447" s="1903"/>
      <c r="AZ447" s="1903"/>
      <c r="BA447" s="1903"/>
      <c r="BB447" s="1903"/>
      <c r="BC447" s="1903"/>
      <c r="BD447" s="1903"/>
      <c r="BE447" s="1903"/>
      <c r="BF447" s="1903"/>
      <c r="BG447" s="1903"/>
      <c r="BH447" s="1903"/>
      <c r="BI447" s="1903"/>
      <c r="BJ447" s="1903"/>
      <c r="BK447" s="1903"/>
      <c r="BL447" s="1903"/>
      <c r="BM447" s="1903"/>
      <c r="BN447" s="1903"/>
      <c r="BO447" s="1903"/>
      <c r="BP447" s="1903"/>
      <c r="BQ447" s="1903"/>
      <c r="BR447" s="1903"/>
      <c r="BS447" s="1903"/>
      <c r="BT447" s="1903"/>
      <c r="BU447" s="1903"/>
      <c r="BV447" s="1903"/>
      <c r="BW447" s="1903"/>
      <c r="BX447" s="1903"/>
      <c r="BY447" s="1903"/>
      <c r="BZ447" s="1903"/>
      <c r="CA447" s="1903"/>
      <c r="CB447" s="1903"/>
      <c r="CC447" s="1903"/>
      <c r="CD447" s="1903"/>
      <c r="CE447" s="1903"/>
      <c r="CF447" s="1903"/>
      <c r="CG447" s="1903"/>
      <c r="CH447" s="1903"/>
      <c r="CI447" s="1903"/>
      <c r="CJ447" s="1903"/>
      <c r="CK447" s="1903"/>
      <c r="CL447" s="1903"/>
      <c r="CM447" s="1903"/>
      <c r="CN447" s="1903"/>
      <c r="CO447" s="1903"/>
      <c r="CP447" s="1903"/>
      <c r="CQ447" s="1903"/>
      <c r="CR447" s="1903"/>
      <c r="CS447" s="1903"/>
      <c r="CT447" s="1903"/>
      <c r="CU447" s="1903"/>
      <c r="CV447" s="1903"/>
      <c r="CW447" s="1903"/>
      <c r="CX447" s="1903"/>
      <c r="CY447" s="1903"/>
      <c r="CZ447" s="1903"/>
      <c r="DA447" s="1903"/>
      <c r="DB447" s="1903"/>
      <c r="DC447" s="1903"/>
      <c r="DD447" s="1903"/>
      <c r="DE447" s="1903"/>
      <c r="DF447" s="1903"/>
      <c r="DG447" s="1903"/>
      <c r="DH447" s="1903"/>
      <c r="DI447" s="1903"/>
      <c r="DJ447" s="1903"/>
      <c r="DK447" s="1903"/>
      <c r="DL447" s="1903"/>
      <c r="DM447" s="1903"/>
      <c r="DN447" s="1903"/>
      <c r="DO447" s="1903"/>
      <c r="DP447" s="1903"/>
      <c r="DQ447" s="1903"/>
      <c r="DR447" s="1903"/>
      <c r="DS447" s="1903"/>
      <c r="DT447" s="1903"/>
      <c r="DU447" s="1903"/>
      <c r="DV447" s="1903"/>
      <c r="DW447" s="1903"/>
      <c r="DX447" s="1903"/>
      <c r="DY447" s="1903"/>
      <c r="DZ447" s="1903"/>
      <c r="EA447" s="1903"/>
      <c r="EB447" s="1903"/>
      <c r="EC447" s="1903"/>
      <c r="ED447" s="1903"/>
      <c r="EE447" s="1903"/>
      <c r="EF447" s="1903"/>
      <c r="EG447" s="1903"/>
      <c r="EH447" s="1903"/>
      <c r="EI447" s="1903"/>
      <c r="EJ447" s="1903"/>
      <c r="EK447" s="1903"/>
      <c r="EL447" s="1903"/>
      <c r="EM447" s="1903"/>
      <c r="EN447" s="1903"/>
      <c r="EO447" s="1903"/>
      <c r="EP447" s="1903"/>
      <c r="EQ447" s="1903"/>
      <c r="ER447" s="1903"/>
      <c r="ES447" s="1903"/>
      <c r="ET447" s="1903"/>
      <c r="EU447" s="1903"/>
      <c r="EV447" s="1903"/>
      <c r="EW447" s="1903"/>
      <c r="EX447" s="1903"/>
      <c r="EY447" s="1903"/>
      <c r="EZ447" s="1903"/>
      <c r="FA447" s="1903"/>
      <c r="FB447" s="1903"/>
      <c r="FC447" s="1903"/>
      <c r="FD447" s="1903"/>
      <c r="FE447" s="1903"/>
      <c r="FF447" s="1903"/>
      <c r="FG447" s="1903"/>
      <c r="FH447" s="1903"/>
      <c r="FI447" s="1903"/>
      <c r="FJ447" s="1903"/>
      <c r="FK447" s="1903"/>
      <c r="FL447" s="1903"/>
      <c r="FM447" s="1903"/>
      <c r="FN447" s="1903"/>
      <c r="FO447" s="1903"/>
      <c r="FP447" s="1903"/>
      <c r="FQ447" s="1903"/>
      <c r="FR447" s="1903"/>
      <c r="FS447" s="1903"/>
      <c r="FT447" s="1903"/>
      <c r="FU447" s="1903"/>
      <c r="FV447" s="1903"/>
      <c r="FW447" s="1903"/>
      <c r="FX447" s="1903"/>
      <c r="FY447" s="1903"/>
      <c r="FZ447" s="1903"/>
      <c r="GA447" s="1903"/>
      <c r="GB447" s="1903"/>
      <c r="GC447" s="1903"/>
      <c r="GD447" s="1903"/>
      <c r="GE447" s="1903"/>
      <c r="GF447" s="1903"/>
      <c r="GG447" s="1903"/>
      <c r="GH447" s="1903"/>
      <c r="GI447" s="1903"/>
      <c r="GJ447" s="1903"/>
      <c r="GK447" s="1903"/>
      <c r="GL447" s="1903"/>
      <c r="GM447" s="1903"/>
      <c r="GN447" s="1903"/>
      <c r="GO447" s="1903"/>
      <c r="GP447" s="1903"/>
      <c r="GQ447" s="1903"/>
      <c r="GR447" s="1903"/>
      <c r="GS447" s="1903"/>
      <c r="GT447" s="1903"/>
      <c r="GU447" s="1903"/>
      <c r="GV447" s="1903"/>
      <c r="GW447" s="1903"/>
      <c r="GX447" s="1903"/>
      <c r="GY447" s="1903"/>
      <c r="GZ447" s="1903"/>
      <c r="HA447" s="1903"/>
      <c r="HB447" s="1903"/>
      <c r="HC447" s="1903"/>
      <c r="HD447" s="1903"/>
      <c r="HE447" s="1903"/>
      <c r="HF447" s="1903"/>
      <c r="HG447" s="1903"/>
      <c r="HH447" s="1903"/>
      <c r="HI447" s="1903"/>
      <c r="HJ447" s="1903"/>
      <c r="HK447" s="1903"/>
      <c r="HL447" s="1903"/>
      <c r="HM447" s="1903"/>
      <c r="HN447" s="1903"/>
      <c r="HO447" s="1903"/>
      <c r="HP447" s="1903"/>
      <c r="HQ447" s="1903"/>
      <c r="HR447" s="1903"/>
      <c r="HS447" s="1903"/>
      <c r="HT447" s="1903"/>
      <c r="HU447" s="1903"/>
      <c r="HV447" s="1903"/>
      <c r="HW447" s="1903"/>
      <c r="HX447" s="1903"/>
      <c r="HY447" s="1903"/>
      <c r="HZ447" s="1903"/>
      <c r="IA447" s="1903"/>
      <c r="IB447" s="1903"/>
      <c r="IC447" s="1903"/>
      <c r="ID447" s="1903"/>
      <c r="IE447" s="1903"/>
      <c r="IF447" s="1903"/>
      <c r="IG447" s="1903"/>
      <c r="IH447" s="1903"/>
      <c r="II447" s="1903"/>
      <c r="IJ447" s="1903"/>
      <c r="IK447" s="1903"/>
      <c r="IL447" s="1903"/>
      <c r="IM447" s="1903"/>
      <c r="IN447" s="1903"/>
      <c r="IO447" s="1903"/>
      <c r="IP447" s="1903"/>
      <c r="IQ447" s="1903"/>
      <c r="IR447" s="1903"/>
      <c r="IS447" s="1903"/>
      <c r="IT447" s="1903"/>
      <c r="IU447" s="1903"/>
      <c r="IV447" s="1903"/>
    </row>
    <row r="448" spans="1:256" s="1897" customFormat="1" ht="27" customHeight="1">
      <c r="A448" s="2025"/>
      <c r="B448" s="2026"/>
      <c r="C448" s="2027"/>
      <c r="D448" s="2027" t="s">
        <v>2904</v>
      </c>
      <c r="E448" s="2027"/>
      <c r="F448" s="2028"/>
      <c r="G448" s="2029"/>
      <c r="H448" s="2029"/>
      <c r="I448" s="2030"/>
      <c r="J448" s="2031"/>
    </row>
    <row r="449" spans="1:256" s="1885" customFormat="1" ht="13.5" customHeight="1">
      <c r="A449" s="1335">
        <v>106</v>
      </c>
      <c r="B449" s="1337" t="s">
        <v>2048</v>
      </c>
      <c r="C449" s="1325" t="s">
        <v>2905</v>
      </c>
      <c r="D449" s="1337" t="s">
        <v>2906</v>
      </c>
      <c r="E449" s="1337" t="s">
        <v>210</v>
      </c>
      <c r="F449" s="1666">
        <f>SUM(F451:F451)</f>
        <v>2</v>
      </c>
      <c r="G449" s="1992"/>
      <c r="H449" s="1339">
        <f>F449*G449</f>
        <v>0</v>
      </c>
      <c r="I449" s="1993" t="s">
        <v>112</v>
      </c>
      <c r="J449" s="1651"/>
      <c r="K449" s="1652"/>
      <c r="U449" s="2023"/>
    </row>
    <row r="450" spans="1:256" s="1904" customFormat="1" ht="13.5" customHeight="1">
      <c r="A450" s="1898"/>
      <c r="B450" s="1899"/>
      <c r="C450" s="1899"/>
      <c r="D450" s="1899" t="s">
        <v>2907</v>
      </c>
      <c r="E450" s="1899"/>
      <c r="F450" s="1900"/>
      <c r="G450" s="1901"/>
      <c r="H450" s="1901"/>
      <c r="I450" s="1905"/>
      <c r="J450" s="2024"/>
      <c r="K450" s="1291"/>
      <c r="L450" s="1291"/>
      <c r="M450" s="1291"/>
      <c r="N450" s="1291"/>
      <c r="O450" s="1291"/>
      <c r="P450" s="1291"/>
      <c r="Q450" s="1291"/>
      <c r="R450" s="1291"/>
      <c r="S450" s="1291"/>
      <c r="T450" s="1291"/>
      <c r="U450" s="1291"/>
      <c r="V450" s="1291"/>
      <c r="W450" s="1291"/>
      <c r="X450" s="1291"/>
      <c r="Y450" s="1291"/>
      <c r="Z450" s="1291"/>
      <c r="AA450" s="1291"/>
      <c r="AB450" s="1291"/>
      <c r="AC450" s="1291"/>
      <c r="AD450" s="1291"/>
      <c r="AE450" s="1291"/>
      <c r="AF450" s="1291"/>
      <c r="AG450" s="1291"/>
      <c r="AH450" s="1291"/>
      <c r="AI450" s="1291"/>
      <c r="AJ450" s="1291"/>
      <c r="AK450" s="1291"/>
      <c r="AL450" s="1291"/>
      <c r="AM450" s="1291"/>
      <c r="AN450" s="1291"/>
      <c r="AO450" s="1291"/>
      <c r="AP450" s="1291"/>
      <c r="AQ450" s="1291"/>
      <c r="AR450" s="1903"/>
      <c r="AS450" s="1903"/>
      <c r="AT450" s="1903"/>
      <c r="AU450" s="1903"/>
      <c r="AV450" s="1903"/>
      <c r="AW450" s="1903"/>
      <c r="AX450" s="1903"/>
      <c r="AY450" s="1903"/>
      <c r="AZ450" s="1903"/>
      <c r="BA450" s="1903"/>
      <c r="BB450" s="1903"/>
      <c r="BC450" s="1903"/>
      <c r="BD450" s="1903"/>
      <c r="BE450" s="1903"/>
      <c r="BF450" s="1903"/>
      <c r="BG450" s="1903"/>
      <c r="BH450" s="1903"/>
      <c r="BI450" s="1903"/>
      <c r="BJ450" s="1903"/>
      <c r="BK450" s="1903"/>
      <c r="BL450" s="1903"/>
      <c r="BM450" s="1903"/>
      <c r="BN450" s="1903"/>
      <c r="BO450" s="1903"/>
      <c r="BP450" s="1903"/>
      <c r="BQ450" s="1903"/>
      <c r="BR450" s="1903"/>
      <c r="BS450" s="1903"/>
      <c r="BT450" s="1903"/>
      <c r="BU450" s="1903"/>
      <c r="BV450" s="1903"/>
      <c r="BW450" s="1903"/>
      <c r="BX450" s="1903"/>
      <c r="BY450" s="1903"/>
      <c r="BZ450" s="1903"/>
      <c r="CA450" s="1903"/>
      <c r="CB450" s="1903"/>
      <c r="CC450" s="1903"/>
      <c r="CD450" s="1903"/>
      <c r="CE450" s="1903"/>
      <c r="CF450" s="1903"/>
      <c r="CG450" s="1903"/>
      <c r="CH450" s="1903"/>
      <c r="CI450" s="1903"/>
      <c r="CJ450" s="1903"/>
      <c r="CK450" s="1903"/>
      <c r="CL450" s="1903"/>
      <c r="CM450" s="1903"/>
      <c r="CN450" s="1903"/>
      <c r="CO450" s="1903"/>
      <c r="CP450" s="1903"/>
      <c r="CQ450" s="1903"/>
      <c r="CR450" s="1903"/>
      <c r="CS450" s="1903"/>
      <c r="CT450" s="1903"/>
      <c r="CU450" s="1903"/>
      <c r="CV450" s="1903"/>
      <c r="CW450" s="1903"/>
      <c r="CX450" s="1903"/>
      <c r="CY450" s="1903"/>
      <c r="CZ450" s="1903"/>
      <c r="DA450" s="1903"/>
      <c r="DB450" s="1903"/>
      <c r="DC450" s="1903"/>
      <c r="DD450" s="1903"/>
      <c r="DE450" s="1903"/>
      <c r="DF450" s="1903"/>
      <c r="DG450" s="1903"/>
      <c r="DH450" s="1903"/>
      <c r="DI450" s="1903"/>
      <c r="DJ450" s="1903"/>
      <c r="DK450" s="1903"/>
      <c r="DL450" s="1903"/>
      <c r="DM450" s="1903"/>
      <c r="DN450" s="1903"/>
      <c r="DO450" s="1903"/>
      <c r="DP450" s="1903"/>
      <c r="DQ450" s="1903"/>
      <c r="DR450" s="1903"/>
      <c r="DS450" s="1903"/>
      <c r="DT450" s="1903"/>
      <c r="DU450" s="1903"/>
      <c r="DV450" s="1903"/>
      <c r="DW450" s="1903"/>
      <c r="DX450" s="1903"/>
      <c r="DY450" s="1903"/>
      <c r="DZ450" s="1903"/>
      <c r="EA450" s="1903"/>
      <c r="EB450" s="1903"/>
      <c r="EC450" s="1903"/>
      <c r="ED450" s="1903"/>
      <c r="EE450" s="1903"/>
      <c r="EF450" s="1903"/>
      <c r="EG450" s="1903"/>
      <c r="EH450" s="1903"/>
      <c r="EI450" s="1903"/>
      <c r="EJ450" s="1903"/>
      <c r="EK450" s="1903"/>
      <c r="EL450" s="1903"/>
      <c r="EM450" s="1903"/>
      <c r="EN450" s="1903"/>
      <c r="EO450" s="1903"/>
      <c r="EP450" s="1903"/>
      <c r="EQ450" s="1903"/>
      <c r="ER450" s="1903"/>
      <c r="ES450" s="1903"/>
      <c r="ET450" s="1903"/>
      <c r="EU450" s="1903"/>
      <c r="EV450" s="1903"/>
      <c r="EW450" s="1903"/>
      <c r="EX450" s="1903"/>
      <c r="EY450" s="1903"/>
      <c r="EZ450" s="1903"/>
      <c r="FA450" s="1903"/>
      <c r="FB450" s="1903"/>
      <c r="FC450" s="1903"/>
      <c r="FD450" s="1903"/>
      <c r="FE450" s="1903"/>
      <c r="FF450" s="1903"/>
      <c r="FG450" s="1903"/>
      <c r="FH450" s="1903"/>
      <c r="FI450" s="1903"/>
      <c r="FJ450" s="1903"/>
      <c r="FK450" s="1903"/>
      <c r="FL450" s="1903"/>
      <c r="FM450" s="1903"/>
      <c r="FN450" s="1903"/>
      <c r="FO450" s="1903"/>
      <c r="FP450" s="1903"/>
      <c r="FQ450" s="1903"/>
      <c r="FR450" s="1903"/>
      <c r="FS450" s="1903"/>
      <c r="FT450" s="1903"/>
      <c r="FU450" s="1903"/>
      <c r="FV450" s="1903"/>
      <c r="FW450" s="1903"/>
      <c r="FX450" s="1903"/>
      <c r="FY450" s="1903"/>
      <c r="FZ450" s="1903"/>
      <c r="GA450" s="1903"/>
      <c r="GB450" s="1903"/>
      <c r="GC450" s="1903"/>
      <c r="GD450" s="1903"/>
      <c r="GE450" s="1903"/>
      <c r="GF450" s="1903"/>
      <c r="GG450" s="1903"/>
      <c r="GH450" s="1903"/>
      <c r="GI450" s="1903"/>
      <c r="GJ450" s="1903"/>
      <c r="GK450" s="1903"/>
      <c r="GL450" s="1903"/>
      <c r="GM450" s="1903"/>
      <c r="GN450" s="1903"/>
      <c r="GO450" s="1903"/>
      <c r="GP450" s="1903"/>
      <c r="GQ450" s="1903"/>
      <c r="GR450" s="1903"/>
      <c r="GS450" s="1903"/>
      <c r="GT450" s="1903"/>
      <c r="GU450" s="1903"/>
      <c r="GV450" s="1903"/>
      <c r="GW450" s="1903"/>
      <c r="GX450" s="1903"/>
      <c r="GY450" s="1903"/>
      <c r="GZ450" s="1903"/>
      <c r="HA450" s="1903"/>
      <c r="HB450" s="1903"/>
      <c r="HC450" s="1903"/>
      <c r="HD450" s="1903"/>
      <c r="HE450" s="1903"/>
      <c r="HF450" s="1903"/>
      <c r="HG450" s="1903"/>
      <c r="HH450" s="1903"/>
      <c r="HI450" s="1903"/>
      <c r="HJ450" s="1903"/>
      <c r="HK450" s="1903"/>
      <c r="HL450" s="1903"/>
      <c r="HM450" s="1903"/>
      <c r="HN450" s="1903"/>
      <c r="HO450" s="1903"/>
      <c r="HP450" s="1903"/>
      <c r="HQ450" s="1903"/>
      <c r="HR450" s="1903"/>
      <c r="HS450" s="1903"/>
      <c r="HT450" s="1903"/>
      <c r="HU450" s="1903"/>
      <c r="HV450" s="1903"/>
      <c r="HW450" s="1903"/>
      <c r="HX450" s="1903"/>
      <c r="HY450" s="1903"/>
      <c r="HZ450" s="1903"/>
      <c r="IA450" s="1903"/>
      <c r="IB450" s="1903"/>
      <c r="IC450" s="1903"/>
      <c r="ID450" s="1903"/>
      <c r="IE450" s="1903"/>
      <c r="IF450" s="1903"/>
      <c r="IG450" s="1903"/>
      <c r="IH450" s="1903"/>
      <c r="II450" s="1903"/>
      <c r="IJ450" s="1903"/>
      <c r="IK450" s="1903"/>
      <c r="IL450" s="1903"/>
      <c r="IM450" s="1903"/>
      <c r="IN450" s="1903"/>
      <c r="IO450" s="1903"/>
      <c r="IP450" s="1903"/>
      <c r="IQ450" s="1903"/>
      <c r="IR450" s="1903"/>
      <c r="IS450" s="1903"/>
      <c r="IT450" s="1903"/>
      <c r="IU450" s="1903"/>
      <c r="IV450" s="1903"/>
    </row>
    <row r="451" spans="1:256" s="1904" customFormat="1" ht="13.5" customHeight="1">
      <c r="A451" s="1898"/>
      <c r="B451" s="1899"/>
      <c r="C451" s="1899"/>
      <c r="D451" s="1899" t="s">
        <v>2686</v>
      </c>
      <c r="E451" s="1899"/>
      <c r="F451" s="1900">
        <v>2</v>
      </c>
      <c r="G451" s="1901"/>
      <c r="H451" s="1901"/>
      <c r="I451" s="1905"/>
      <c r="J451" s="2024"/>
      <c r="K451" s="1291"/>
      <c r="L451" s="1291"/>
      <c r="M451" s="1291"/>
      <c r="N451" s="1291"/>
      <c r="O451" s="1291"/>
      <c r="P451" s="1291"/>
      <c r="Q451" s="1291"/>
      <c r="R451" s="1291"/>
      <c r="S451" s="1291"/>
      <c r="T451" s="1291"/>
      <c r="U451" s="1291"/>
      <c r="V451" s="1291"/>
      <c r="W451" s="1291"/>
      <c r="X451" s="1291"/>
      <c r="Y451" s="1291"/>
      <c r="Z451" s="1291"/>
      <c r="AA451" s="1291"/>
      <c r="AB451" s="1291"/>
      <c r="AC451" s="1291"/>
      <c r="AD451" s="1291"/>
      <c r="AE451" s="1291"/>
      <c r="AF451" s="1291"/>
      <c r="AG451" s="1291"/>
      <c r="AH451" s="1291"/>
      <c r="AI451" s="1291"/>
      <c r="AJ451" s="1291"/>
      <c r="AK451" s="1291"/>
      <c r="AL451" s="1291"/>
      <c r="AM451" s="1291"/>
      <c r="AN451" s="1291"/>
      <c r="AO451" s="1291"/>
      <c r="AP451" s="1291"/>
      <c r="AQ451" s="1291"/>
      <c r="AR451" s="1903"/>
      <c r="AS451" s="1903"/>
      <c r="AT451" s="1903"/>
      <c r="AU451" s="1903"/>
      <c r="AV451" s="1903"/>
      <c r="AW451" s="1903"/>
      <c r="AX451" s="1903"/>
      <c r="AY451" s="1903"/>
      <c r="AZ451" s="1903"/>
      <c r="BA451" s="1903"/>
      <c r="BB451" s="1903"/>
      <c r="BC451" s="1903"/>
      <c r="BD451" s="1903"/>
      <c r="BE451" s="1903"/>
      <c r="BF451" s="1903"/>
      <c r="BG451" s="1903"/>
      <c r="BH451" s="1903"/>
      <c r="BI451" s="1903"/>
      <c r="BJ451" s="1903"/>
      <c r="BK451" s="1903"/>
      <c r="BL451" s="1903"/>
      <c r="BM451" s="1903"/>
      <c r="BN451" s="1903"/>
      <c r="BO451" s="1903"/>
      <c r="BP451" s="1903"/>
      <c r="BQ451" s="1903"/>
      <c r="BR451" s="1903"/>
      <c r="BS451" s="1903"/>
      <c r="BT451" s="1903"/>
      <c r="BU451" s="1903"/>
      <c r="BV451" s="1903"/>
      <c r="BW451" s="1903"/>
      <c r="BX451" s="1903"/>
      <c r="BY451" s="1903"/>
      <c r="BZ451" s="1903"/>
      <c r="CA451" s="1903"/>
      <c r="CB451" s="1903"/>
      <c r="CC451" s="1903"/>
      <c r="CD451" s="1903"/>
      <c r="CE451" s="1903"/>
      <c r="CF451" s="1903"/>
      <c r="CG451" s="1903"/>
      <c r="CH451" s="1903"/>
      <c r="CI451" s="1903"/>
      <c r="CJ451" s="1903"/>
      <c r="CK451" s="1903"/>
      <c r="CL451" s="1903"/>
      <c r="CM451" s="1903"/>
      <c r="CN451" s="1903"/>
      <c r="CO451" s="1903"/>
      <c r="CP451" s="1903"/>
      <c r="CQ451" s="1903"/>
      <c r="CR451" s="1903"/>
      <c r="CS451" s="1903"/>
      <c r="CT451" s="1903"/>
      <c r="CU451" s="1903"/>
      <c r="CV451" s="1903"/>
      <c r="CW451" s="1903"/>
      <c r="CX451" s="1903"/>
      <c r="CY451" s="1903"/>
      <c r="CZ451" s="1903"/>
      <c r="DA451" s="1903"/>
      <c r="DB451" s="1903"/>
      <c r="DC451" s="1903"/>
      <c r="DD451" s="1903"/>
      <c r="DE451" s="1903"/>
      <c r="DF451" s="1903"/>
      <c r="DG451" s="1903"/>
      <c r="DH451" s="1903"/>
      <c r="DI451" s="1903"/>
      <c r="DJ451" s="1903"/>
      <c r="DK451" s="1903"/>
      <c r="DL451" s="1903"/>
      <c r="DM451" s="1903"/>
      <c r="DN451" s="1903"/>
      <c r="DO451" s="1903"/>
      <c r="DP451" s="1903"/>
      <c r="DQ451" s="1903"/>
      <c r="DR451" s="1903"/>
      <c r="DS451" s="1903"/>
      <c r="DT451" s="1903"/>
      <c r="DU451" s="1903"/>
      <c r="DV451" s="1903"/>
      <c r="DW451" s="1903"/>
      <c r="DX451" s="1903"/>
      <c r="DY451" s="1903"/>
      <c r="DZ451" s="1903"/>
      <c r="EA451" s="1903"/>
      <c r="EB451" s="1903"/>
      <c r="EC451" s="1903"/>
      <c r="ED451" s="1903"/>
      <c r="EE451" s="1903"/>
      <c r="EF451" s="1903"/>
      <c r="EG451" s="1903"/>
      <c r="EH451" s="1903"/>
      <c r="EI451" s="1903"/>
      <c r="EJ451" s="1903"/>
      <c r="EK451" s="1903"/>
      <c r="EL451" s="1903"/>
      <c r="EM451" s="1903"/>
      <c r="EN451" s="1903"/>
      <c r="EO451" s="1903"/>
      <c r="EP451" s="1903"/>
      <c r="EQ451" s="1903"/>
      <c r="ER451" s="1903"/>
      <c r="ES451" s="1903"/>
      <c r="ET451" s="1903"/>
      <c r="EU451" s="1903"/>
      <c r="EV451" s="1903"/>
      <c r="EW451" s="1903"/>
      <c r="EX451" s="1903"/>
      <c r="EY451" s="1903"/>
      <c r="EZ451" s="1903"/>
      <c r="FA451" s="1903"/>
      <c r="FB451" s="1903"/>
      <c r="FC451" s="1903"/>
      <c r="FD451" s="1903"/>
      <c r="FE451" s="1903"/>
      <c r="FF451" s="1903"/>
      <c r="FG451" s="1903"/>
      <c r="FH451" s="1903"/>
      <c r="FI451" s="1903"/>
      <c r="FJ451" s="1903"/>
      <c r="FK451" s="1903"/>
      <c r="FL451" s="1903"/>
      <c r="FM451" s="1903"/>
      <c r="FN451" s="1903"/>
      <c r="FO451" s="1903"/>
      <c r="FP451" s="1903"/>
      <c r="FQ451" s="1903"/>
      <c r="FR451" s="1903"/>
      <c r="FS451" s="1903"/>
      <c r="FT451" s="1903"/>
      <c r="FU451" s="1903"/>
      <c r="FV451" s="1903"/>
      <c r="FW451" s="1903"/>
      <c r="FX451" s="1903"/>
      <c r="FY451" s="1903"/>
      <c r="FZ451" s="1903"/>
      <c r="GA451" s="1903"/>
      <c r="GB451" s="1903"/>
      <c r="GC451" s="1903"/>
      <c r="GD451" s="1903"/>
      <c r="GE451" s="1903"/>
      <c r="GF451" s="1903"/>
      <c r="GG451" s="1903"/>
      <c r="GH451" s="1903"/>
      <c r="GI451" s="1903"/>
      <c r="GJ451" s="1903"/>
      <c r="GK451" s="1903"/>
      <c r="GL451" s="1903"/>
      <c r="GM451" s="1903"/>
      <c r="GN451" s="1903"/>
      <c r="GO451" s="1903"/>
      <c r="GP451" s="1903"/>
      <c r="GQ451" s="1903"/>
      <c r="GR451" s="1903"/>
      <c r="GS451" s="1903"/>
      <c r="GT451" s="1903"/>
      <c r="GU451" s="1903"/>
      <c r="GV451" s="1903"/>
      <c r="GW451" s="1903"/>
      <c r="GX451" s="1903"/>
      <c r="GY451" s="1903"/>
      <c r="GZ451" s="1903"/>
      <c r="HA451" s="1903"/>
      <c r="HB451" s="1903"/>
      <c r="HC451" s="1903"/>
      <c r="HD451" s="1903"/>
      <c r="HE451" s="1903"/>
      <c r="HF451" s="1903"/>
      <c r="HG451" s="1903"/>
      <c r="HH451" s="1903"/>
      <c r="HI451" s="1903"/>
      <c r="HJ451" s="1903"/>
      <c r="HK451" s="1903"/>
      <c r="HL451" s="1903"/>
      <c r="HM451" s="1903"/>
      <c r="HN451" s="1903"/>
      <c r="HO451" s="1903"/>
      <c r="HP451" s="1903"/>
      <c r="HQ451" s="1903"/>
      <c r="HR451" s="1903"/>
      <c r="HS451" s="1903"/>
      <c r="HT451" s="1903"/>
      <c r="HU451" s="1903"/>
      <c r="HV451" s="1903"/>
      <c r="HW451" s="1903"/>
      <c r="HX451" s="1903"/>
      <c r="HY451" s="1903"/>
      <c r="HZ451" s="1903"/>
      <c r="IA451" s="1903"/>
      <c r="IB451" s="1903"/>
      <c r="IC451" s="1903"/>
      <c r="ID451" s="1903"/>
      <c r="IE451" s="1903"/>
      <c r="IF451" s="1903"/>
      <c r="IG451" s="1903"/>
      <c r="IH451" s="1903"/>
      <c r="II451" s="1903"/>
      <c r="IJ451" s="1903"/>
      <c r="IK451" s="1903"/>
      <c r="IL451" s="1903"/>
      <c r="IM451" s="1903"/>
      <c r="IN451" s="1903"/>
      <c r="IO451" s="1903"/>
      <c r="IP451" s="1903"/>
      <c r="IQ451" s="1903"/>
      <c r="IR451" s="1903"/>
      <c r="IS451" s="1903"/>
      <c r="IT451" s="1903"/>
      <c r="IU451" s="1903"/>
      <c r="IV451" s="1903"/>
    </row>
    <row r="452" spans="1:256" s="1897" customFormat="1" ht="27" customHeight="1">
      <c r="A452" s="2025"/>
      <c r="B452" s="2026"/>
      <c r="C452" s="2027"/>
      <c r="D452" s="2027" t="s">
        <v>2908</v>
      </c>
      <c r="E452" s="2027"/>
      <c r="F452" s="2028"/>
      <c r="G452" s="2029"/>
      <c r="H452" s="2029"/>
      <c r="I452" s="2030"/>
      <c r="J452" s="2031"/>
    </row>
    <row r="453" spans="1:256" s="1990" customFormat="1" ht="13.5" customHeight="1">
      <c r="A453" s="1910">
        <v>107</v>
      </c>
      <c r="B453" s="1991" t="s">
        <v>2048</v>
      </c>
      <c r="C453" s="1325" t="s">
        <v>2909</v>
      </c>
      <c r="D453" s="2032" t="s">
        <v>2910</v>
      </c>
      <c r="E453" s="2032" t="s">
        <v>210</v>
      </c>
      <c r="F453" s="1327">
        <f>SUM(F455:F455)</f>
        <v>2</v>
      </c>
      <c r="G453" s="2033"/>
      <c r="H453" s="2033">
        <f>F453*G453</f>
        <v>0</v>
      </c>
      <c r="I453" s="1993" t="s">
        <v>112</v>
      </c>
      <c r="J453" s="2034"/>
    </row>
    <row r="454" spans="1:256" s="1990" customFormat="1" ht="13.5" customHeight="1">
      <c r="A454" s="2035"/>
      <c r="B454" s="2026"/>
      <c r="C454" s="2027"/>
      <c r="D454" s="2027" t="s">
        <v>2911</v>
      </c>
      <c r="E454" s="2027"/>
      <c r="F454" s="2036"/>
      <c r="G454" s="2029"/>
      <c r="H454" s="2029"/>
      <c r="I454" s="2030"/>
    </row>
    <row r="455" spans="1:256" s="1904" customFormat="1" ht="13.5" customHeight="1">
      <c r="A455" s="1898"/>
      <c r="B455" s="1899"/>
      <c r="C455" s="1899"/>
      <c r="D455" s="1899" t="s">
        <v>2686</v>
      </c>
      <c r="E455" s="1899"/>
      <c r="F455" s="1900">
        <v>2</v>
      </c>
      <c r="G455" s="1901"/>
      <c r="H455" s="1901"/>
      <c r="I455" s="1905"/>
      <c r="J455" s="852"/>
      <c r="K455" s="1291"/>
      <c r="L455" s="1291"/>
      <c r="M455" s="1291"/>
      <c r="N455" s="1291"/>
      <c r="O455" s="1291"/>
      <c r="P455" s="1291"/>
      <c r="Q455" s="1291"/>
      <c r="R455" s="1291"/>
      <c r="S455" s="1291"/>
      <c r="T455" s="1291"/>
      <c r="U455" s="1291"/>
      <c r="V455" s="1291"/>
      <c r="W455" s="1291"/>
      <c r="X455" s="1291"/>
      <c r="Y455" s="1291"/>
      <c r="Z455" s="1291"/>
      <c r="AA455" s="1291"/>
      <c r="AB455" s="1291"/>
      <c r="AC455" s="1291"/>
      <c r="AD455" s="1291"/>
      <c r="AE455" s="1291"/>
      <c r="AF455" s="1291"/>
      <c r="AG455" s="1291"/>
      <c r="AH455" s="1291"/>
      <c r="AI455" s="1291"/>
      <c r="AJ455" s="1291"/>
      <c r="AK455" s="1291"/>
      <c r="AL455" s="1291"/>
      <c r="AM455" s="1291"/>
      <c r="AN455" s="1291"/>
      <c r="AO455" s="1291"/>
      <c r="AP455" s="1291"/>
      <c r="AQ455" s="1291"/>
      <c r="AR455" s="1903"/>
      <c r="AS455" s="1903"/>
      <c r="AT455" s="1903"/>
      <c r="AU455" s="1903"/>
      <c r="AV455" s="1903"/>
      <c r="AW455" s="1903"/>
      <c r="AX455" s="1903"/>
      <c r="AY455" s="1903"/>
      <c r="AZ455" s="1903"/>
      <c r="BA455" s="1903"/>
      <c r="BB455" s="1903"/>
      <c r="BC455" s="1903"/>
      <c r="BD455" s="1903"/>
      <c r="BE455" s="1903"/>
      <c r="BF455" s="1903"/>
      <c r="BG455" s="1903"/>
      <c r="BH455" s="1903"/>
      <c r="BI455" s="1903"/>
      <c r="BJ455" s="1903"/>
      <c r="BK455" s="1903"/>
      <c r="BL455" s="1903"/>
      <c r="BM455" s="1903"/>
      <c r="BN455" s="1903"/>
      <c r="BO455" s="1903"/>
      <c r="BP455" s="1903"/>
      <c r="BQ455" s="1903"/>
      <c r="BR455" s="1903"/>
      <c r="BS455" s="1903"/>
      <c r="BT455" s="1903"/>
      <c r="BU455" s="1903"/>
      <c r="BV455" s="1903"/>
      <c r="BW455" s="1903"/>
      <c r="BX455" s="1903"/>
      <c r="BY455" s="1903"/>
      <c r="BZ455" s="1903"/>
      <c r="CA455" s="1903"/>
      <c r="CB455" s="1903"/>
      <c r="CC455" s="1903"/>
      <c r="CD455" s="1903"/>
      <c r="CE455" s="1903"/>
      <c r="CF455" s="1903"/>
      <c r="CG455" s="1903"/>
      <c r="CH455" s="1903"/>
      <c r="CI455" s="1903"/>
      <c r="CJ455" s="1903"/>
      <c r="CK455" s="1903"/>
      <c r="CL455" s="1903"/>
      <c r="CM455" s="1903"/>
      <c r="CN455" s="1903"/>
      <c r="CO455" s="1903"/>
      <c r="CP455" s="1903"/>
      <c r="CQ455" s="1903"/>
      <c r="CR455" s="1903"/>
      <c r="CS455" s="1903"/>
      <c r="CT455" s="1903"/>
      <c r="CU455" s="1903"/>
      <c r="CV455" s="1903"/>
      <c r="CW455" s="1903"/>
      <c r="CX455" s="1903"/>
      <c r="CY455" s="1903"/>
      <c r="CZ455" s="1903"/>
      <c r="DA455" s="1903"/>
      <c r="DB455" s="1903"/>
      <c r="DC455" s="1903"/>
      <c r="DD455" s="1903"/>
      <c r="DE455" s="1903"/>
      <c r="DF455" s="1903"/>
      <c r="DG455" s="1903"/>
      <c r="DH455" s="1903"/>
      <c r="DI455" s="1903"/>
      <c r="DJ455" s="1903"/>
      <c r="DK455" s="1903"/>
      <c r="DL455" s="1903"/>
      <c r="DM455" s="1903"/>
      <c r="DN455" s="1903"/>
      <c r="DO455" s="1903"/>
      <c r="DP455" s="1903"/>
      <c r="DQ455" s="1903"/>
      <c r="DR455" s="1903"/>
      <c r="DS455" s="1903"/>
      <c r="DT455" s="1903"/>
      <c r="DU455" s="1903"/>
      <c r="DV455" s="1903"/>
      <c r="DW455" s="1903"/>
      <c r="DX455" s="1903"/>
      <c r="DY455" s="1903"/>
      <c r="DZ455" s="1903"/>
      <c r="EA455" s="1903"/>
      <c r="EB455" s="1903"/>
      <c r="EC455" s="1903"/>
      <c r="ED455" s="1903"/>
      <c r="EE455" s="1903"/>
      <c r="EF455" s="1903"/>
      <c r="EG455" s="1903"/>
      <c r="EH455" s="1903"/>
      <c r="EI455" s="1903"/>
      <c r="EJ455" s="1903"/>
      <c r="EK455" s="1903"/>
      <c r="EL455" s="1903"/>
      <c r="EM455" s="1903"/>
      <c r="EN455" s="1903"/>
      <c r="EO455" s="1903"/>
      <c r="EP455" s="1903"/>
      <c r="EQ455" s="1903"/>
      <c r="ER455" s="1903"/>
      <c r="ES455" s="1903"/>
      <c r="ET455" s="1903"/>
      <c r="EU455" s="1903"/>
      <c r="EV455" s="1903"/>
      <c r="EW455" s="1903"/>
      <c r="EX455" s="1903"/>
      <c r="EY455" s="1903"/>
      <c r="EZ455" s="1903"/>
      <c r="FA455" s="1903"/>
      <c r="FB455" s="1903"/>
      <c r="FC455" s="1903"/>
      <c r="FD455" s="1903"/>
      <c r="FE455" s="1903"/>
      <c r="FF455" s="1903"/>
      <c r="FG455" s="1903"/>
      <c r="FH455" s="1903"/>
      <c r="FI455" s="1903"/>
      <c r="FJ455" s="1903"/>
      <c r="FK455" s="1903"/>
      <c r="FL455" s="1903"/>
      <c r="FM455" s="1903"/>
      <c r="FN455" s="1903"/>
      <c r="FO455" s="1903"/>
      <c r="FP455" s="1903"/>
      <c r="FQ455" s="1903"/>
      <c r="FR455" s="1903"/>
      <c r="FS455" s="1903"/>
      <c r="FT455" s="1903"/>
      <c r="FU455" s="1903"/>
      <c r="FV455" s="1903"/>
      <c r="FW455" s="1903"/>
      <c r="FX455" s="1903"/>
      <c r="FY455" s="1903"/>
      <c r="FZ455" s="1903"/>
      <c r="GA455" s="1903"/>
      <c r="GB455" s="1903"/>
      <c r="GC455" s="1903"/>
      <c r="GD455" s="1903"/>
      <c r="GE455" s="1903"/>
      <c r="GF455" s="1903"/>
      <c r="GG455" s="1903"/>
      <c r="GH455" s="1903"/>
      <c r="GI455" s="1903"/>
      <c r="GJ455" s="1903"/>
      <c r="GK455" s="1903"/>
      <c r="GL455" s="1903"/>
      <c r="GM455" s="1903"/>
      <c r="GN455" s="1903"/>
      <c r="GO455" s="1903"/>
      <c r="GP455" s="1903"/>
      <c r="GQ455" s="1903"/>
      <c r="GR455" s="1903"/>
      <c r="GS455" s="1903"/>
      <c r="GT455" s="1903"/>
      <c r="GU455" s="1903"/>
      <c r="GV455" s="1903"/>
      <c r="GW455" s="1903"/>
      <c r="GX455" s="1903"/>
      <c r="GY455" s="1903"/>
      <c r="GZ455" s="1903"/>
      <c r="HA455" s="1903"/>
      <c r="HB455" s="1903"/>
      <c r="HC455" s="1903"/>
      <c r="HD455" s="1903"/>
      <c r="HE455" s="1903"/>
      <c r="HF455" s="1903"/>
      <c r="HG455" s="1903"/>
      <c r="HH455" s="1903"/>
      <c r="HI455" s="1903"/>
      <c r="HJ455" s="1903"/>
      <c r="HK455" s="1903"/>
      <c r="HL455" s="1903"/>
      <c r="HM455" s="1903"/>
      <c r="HN455" s="1903"/>
      <c r="HO455" s="1903"/>
      <c r="HP455" s="1903"/>
      <c r="HQ455" s="1903"/>
      <c r="HR455" s="1903"/>
      <c r="HS455" s="1903"/>
      <c r="HT455" s="1903"/>
      <c r="HU455" s="1903"/>
      <c r="HV455" s="1903"/>
      <c r="HW455" s="1903"/>
      <c r="HX455" s="1903"/>
      <c r="HY455" s="1903"/>
      <c r="HZ455" s="1903"/>
      <c r="IA455" s="1903"/>
      <c r="IB455" s="1903"/>
      <c r="IC455" s="1903"/>
      <c r="ID455" s="1903"/>
      <c r="IE455" s="1903"/>
      <c r="IF455" s="1903"/>
      <c r="IG455" s="1903"/>
      <c r="IH455" s="1903"/>
      <c r="II455" s="1903"/>
      <c r="IJ455" s="1903"/>
      <c r="IK455" s="1903"/>
      <c r="IL455" s="1903"/>
      <c r="IM455" s="1903"/>
      <c r="IN455" s="1903"/>
      <c r="IO455" s="1903"/>
      <c r="IP455" s="1903"/>
      <c r="IQ455" s="1903"/>
      <c r="IR455" s="1903"/>
      <c r="IS455" s="1903"/>
      <c r="IT455" s="1903"/>
      <c r="IU455" s="1903"/>
      <c r="IV455" s="1903"/>
    </row>
    <row r="456" spans="1:256" s="1897" customFormat="1" ht="27" customHeight="1">
      <c r="A456" s="2025"/>
      <c r="B456" s="2026"/>
      <c r="C456" s="2027"/>
      <c r="D456" s="2027" t="s">
        <v>2908</v>
      </c>
      <c r="E456" s="2027"/>
      <c r="F456" s="2028"/>
      <c r="G456" s="2029"/>
      <c r="H456" s="2029"/>
      <c r="I456" s="2030"/>
      <c r="J456" s="2031"/>
    </row>
    <row r="457" spans="1:256" s="1990" customFormat="1" ht="13.5" customHeight="1">
      <c r="A457" s="1910">
        <v>108</v>
      </c>
      <c r="B457" s="1991" t="s">
        <v>2048</v>
      </c>
      <c r="C457" s="1325" t="s">
        <v>2912</v>
      </c>
      <c r="D457" s="2032" t="s">
        <v>2913</v>
      </c>
      <c r="E457" s="2032" t="s">
        <v>210</v>
      </c>
      <c r="F457" s="1327">
        <f>SUM(F459:F459)</f>
        <v>3</v>
      </c>
      <c r="G457" s="2033"/>
      <c r="H457" s="2033">
        <f>F457*G457</f>
        <v>0</v>
      </c>
      <c r="I457" s="1993" t="s">
        <v>112</v>
      </c>
      <c r="J457" s="2034"/>
    </row>
    <row r="458" spans="1:256" s="1990" customFormat="1" ht="13.5" customHeight="1">
      <c r="A458" s="2035"/>
      <c r="B458" s="2026"/>
      <c r="C458" s="2027"/>
      <c r="D458" s="2027" t="s">
        <v>2914</v>
      </c>
      <c r="E458" s="2027"/>
      <c r="F458" s="2036"/>
      <c r="G458" s="2029"/>
      <c r="H458" s="2029"/>
      <c r="I458" s="2030"/>
    </row>
    <row r="459" spans="1:256" s="1904" customFormat="1" ht="13.5" customHeight="1">
      <c r="A459" s="1898"/>
      <c r="B459" s="1899"/>
      <c r="C459" s="1899"/>
      <c r="D459" s="1899" t="s">
        <v>2686</v>
      </c>
      <c r="E459" s="1899"/>
      <c r="F459" s="1900">
        <v>3</v>
      </c>
      <c r="G459" s="1901"/>
      <c r="H459" s="1901"/>
      <c r="I459" s="1905"/>
      <c r="J459" s="852"/>
      <c r="K459" s="1291"/>
      <c r="L459" s="1291"/>
      <c r="M459" s="1291"/>
      <c r="N459" s="1291"/>
      <c r="O459" s="1291"/>
      <c r="P459" s="1291"/>
      <c r="Q459" s="1291"/>
      <c r="R459" s="1291"/>
      <c r="S459" s="1291"/>
      <c r="T459" s="1291"/>
      <c r="U459" s="1291"/>
      <c r="V459" s="1291"/>
      <c r="W459" s="1291"/>
      <c r="X459" s="1291"/>
      <c r="Y459" s="1291"/>
      <c r="Z459" s="1291"/>
      <c r="AA459" s="1291"/>
      <c r="AB459" s="1291"/>
      <c r="AC459" s="1291"/>
      <c r="AD459" s="1291"/>
      <c r="AE459" s="1291"/>
      <c r="AF459" s="1291"/>
      <c r="AG459" s="1291"/>
      <c r="AH459" s="1291"/>
      <c r="AI459" s="1291"/>
      <c r="AJ459" s="1291"/>
      <c r="AK459" s="1291"/>
      <c r="AL459" s="1291"/>
      <c r="AM459" s="1291"/>
      <c r="AN459" s="1291"/>
      <c r="AO459" s="1291"/>
      <c r="AP459" s="1291"/>
      <c r="AQ459" s="1291"/>
      <c r="AR459" s="1903"/>
      <c r="AS459" s="1903"/>
      <c r="AT459" s="1903"/>
      <c r="AU459" s="1903"/>
      <c r="AV459" s="1903"/>
      <c r="AW459" s="1903"/>
      <c r="AX459" s="1903"/>
      <c r="AY459" s="1903"/>
      <c r="AZ459" s="1903"/>
      <c r="BA459" s="1903"/>
      <c r="BB459" s="1903"/>
      <c r="BC459" s="1903"/>
      <c r="BD459" s="1903"/>
      <c r="BE459" s="1903"/>
      <c r="BF459" s="1903"/>
      <c r="BG459" s="1903"/>
      <c r="BH459" s="1903"/>
      <c r="BI459" s="1903"/>
      <c r="BJ459" s="1903"/>
      <c r="BK459" s="1903"/>
      <c r="BL459" s="1903"/>
      <c r="BM459" s="1903"/>
      <c r="BN459" s="1903"/>
      <c r="BO459" s="1903"/>
      <c r="BP459" s="1903"/>
      <c r="BQ459" s="1903"/>
      <c r="BR459" s="1903"/>
      <c r="BS459" s="1903"/>
      <c r="BT459" s="1903"/>
      <c r="BU459" s="1903"/>
      <c r="BV459" s="1903"/>
      <c r="BW459" s="1903"/>
      <c r="BX459" s="1903"/>
      <c r="BY459" s="1903"/>
      <c r="BZ459" s="1903"/>
      <c r="CA459" s="1903"/>
      <c r="CB459" s="1903"/>
      <c r="CC459" s="1903"/>
      <c r="CD459" s="1903"/>
      <c r="CE459" s="1903"/>
      <c r="CF459" s="1903"/>
      <c r="CG459" s="1903"/>
      <c r="CH459" s="1903"/>
      <c r="CI459" s="1903"/>
      <c r="CJ459" s="1903"/>
      <c r="CK459" s="1903"/>
      <c r="CL459" s="1903"/>
      <c r="CM459" s="1903"/>
      <c r="CN459" s="1903"/>
      <c r="CO459" s="1903"/>
      <c r="CP459" s="1903"/>
      <c r="CQ459" s="1903"/>
      <c r="CR459" s="1903"/>
      <c r="CS459" s="1903"/>
      <c r="CT459" s="1903"/>
      <c r="CU459" s="1903"/>
      <c r="CV459" s="1903"/>
      <c r="CW459" s="1903"/>
      <c r="CX459" s="1903"/>
      <c r="CY459" s="1903"/>
      <c r="CZ459" s="1903"/>
      <c r="DA459" s="1903"/>
      <c r="DB459" s="1903"/>
      <c r="DC459" s="1903"/>
      <c r="DD459" s="1903"/>
      <c r="DE459" s="1903"/>
      <c r="DF459" s="1903"/>
      <c r="DG459" s="1903"/>
      <c r="DH459" s="1903"/>
      <c r="DI459" s="1903"/>
      <c r="DJ459" s="1903"/>
      <c r="DK459" s="1903"/>
      <c r="DL459" s="1903"/>
      <c r="DM459" s="1903"/>
      <c r="DN459" s="1903"/>
      <c r="DO459" s="1903"/>
      <c r="DP459" s="1903"/>
      <c r="DQ459" s="1903"/>
      <c r="DR459" s="1903"/>
      <c r="DS459" s="1903"/>
      <c r="DT459" s="1903"/>
      <c r="DU459" s="1903"/>
      <c r="DV459" s="1903"/>
      <c r="DW459" s="1903"/>
      <c r="DX459" s="1903"/>
      <c r="DY459" s="1903"/>
      <c r="DZ459" s="1903"/>
      <c r="EA459" s="1903"/>
      <c r="EB459" s="1903"/>
      <c r="EC459" s="1903"/>
      <c r="ED459" s="1903"/>
      <c r="EE459" s="1903"/>
      <c r="EF459" s="1903"/>
      <c r="EG459" s="1903"/>
      <c r="EH459" s="1903"/>
      <c r="EI459" s="1903"/>
      <c r="EJ459" s="1903"/>
      <c r="EK459" s="1903"/>
      <c r="EL459" s="1903"/>
      <c r="EM459" s="1903"/>
      <c r="EN459" s="1903"/>
      <c r="EO459" s="1903"/>
      <c r="EP459" s="1903"/>
      <c r="EQ459" s="1903"/>
      <c r="ER459" s="1903"/>
      <c r="ES459" s="1903"/>
      <c r="ET459" s="1903"/>
      <c r="EU459" s="1903"/>
      <c r="EV459" s="1903"/>
      <c r="EW459" s="1903"/>
      <c r="EX459" s="1903"/>
      <c r="EY459" s="1903"/>
      <c r="EZ459" s="1903"/>
      <c r="FA459" s="1903"/>
      <c r="FB459" s="1903"/>
      <c r="FC459" s="1903"/>
      <c r="FD459" s="1903"/>
      <c r="FE459" s="1903"/>
      <c r="FF459" s="1903"/>
      <c r="FG459" s="1903"/>
      <c r="FH459" s="1903"/>
      <c r="FI459" s="1903"/>
      <c r="FJ459" s="1903"/>
      <c r="FK459" s="1903"/>
      <c r="FL459" s="1903"/>
      <c r="FM459" s="1903"/>
      <c r="FN459" s="1903"/>
      <c r="FO459" s="1903"/>
      <c r="FP459" s="1903"/>
      <c r="FQ459" s="1903"/>
      <c r="FR459" s="1903"/>
      <c r="FS459" s="1903"/>
      <c r="FT459" s="1903"/>
      <c r="FU459" s="1903"/>
      <c r="FV459" s="1903"/>
      <c r="FW459" s="1903"/>
      <c r="FX459" s="1903"/>
      <c r="FY459" s="1903"/>
      <c r="FZ459" s="1903"/>
      <c r="GA459" s="1903"/>
      <c r="GB459" s="1903"/>
      <c r="GC459" s="1903"/>
      <c r="GD459" s="1903"/>
      <c r="GE459" s="1903"/>
      <c r="GF459" s="1903"/>
      <c r="GG459" s="1903"/>
      <c r="GH459" s="1903"/>
      <c r="GI459" s="1903"/>
      <c r="GJ459" s="1903"/>
      <c r="GK459" s="1903"/>
      <c r="GL459" s="1903"/>
      <c r="GM459" s="1903"/>
      <c r="GN459" s="1903"/>
      <c r="GO459" s="1903"/>
      <c r="GP459" s="1903"/>
      <c r="GQ459" s="1903"/>
      <c r="GR459" s="1903"/>
      <c r="GS459" s="1903"/>
      <c r="GT459" s="1903"/>
      <c r="GU459" s="1903"/>
      <c r="GV459" s="1903"/>
      <c r="GW459" s="1903"/>
      <c r="GX459" s="1903"/>
      <c r="GY459" s="1903"/>
      <c r="GZ459" s="1903"/>
      <c r="HA459" s="1903"/>
      <c r="HB459" s="1903"/>
      <c r="HC459" s="1903"/>
      <c r="HD459" s="1903"/>
      <c r="HE459" s="1903"/>
      <c r="HF459" s="1903"/>
      <c r="HG459" s="1903"/>
      <c r="HH459" s="1903"/>
      <c r="HI459" s="1903"/>
      <c r="HJ459" s="1903"/>
      <c r="HK459" s="1903"/>
      <c r="HL459" s="1903"/>
      <c r="HM459" s="1903"/>
      <c r="HN459" s="1903"/>
      <c r="HO459" s="1903"/>
      <c r="HP459" s="1903"/>
      <c r="HQ459" s="1903"/>
      <c r="HR459" s="1903"/>
      <c r="HS459" s="1903"/>
      <c r="HT459" s="1903"/>
      <c r="HU459" s="1903"/>
      <c r="HV459" s="1903"/>
      <c r="HW459" s="1903"/>
      <c r="HX459" s="1903"/>
      <c r="HY459" s="1903"/>
      <c r="HZ459" s="1903"/>
      <c r="IA459" s="1903"/>
      <c r="IB459" s="1903"/>
      <c r="IC459" s="1903"/>
      <c r="ID459" s="1903"/>
      <c r="IE459" s="1903"/>
      <c r="IF459" s="1903"/>
      <c r="IG459" s="1903"/>
      <c r="IH459" s="1903"/>
      <c r="II459" s="1903"/>
      <c r="IJ459" s="1903"/>
      <c r="IK459" s="1903"/>
      <c r="IL459" s="1903"/>
      <c r="IM459" s="1903"/>
      <c r="IN459" s="1903"/>
      <c r="IO459" s="1903"/>
      <c r="IP459" s="1903"/>
      <c r="IQ459" s="1903"/>
      <c r="IR459" s="1903"/>
      <c r="IS459" s="1903"/>
      <c r="IT459" s="1903"/>
      <c r="IU459" s="1903"/>
      <c r="IV459" s="1903"/>
    </row>
    <row r="460" spans="1:256" s="1897" customFormat="1" ht="27" customHeight="1">
      <c r="A460" s="2025"/>
      <c r="B460" s="2026"/>
      <c r="C460" s="2027"/>
      <c r="D460" s="2027" t="s">
        <v>2908</v>
      </c>
      <c r="E460" s="2027"/>
      <c r="F460" s="2028"/>
      <c r="G460" s="2029"/>
      <c r="H460" s="2029"/>
      <c r="I460" s="2030"/>
      <c r="J460" s="2031"/>
    </row>
    <row r="461" spans="1:256" s="1990" customFormat="1" ht="13.5" customHeight="1">
      <c r="A461" s="1910">
        <v>109</v>
      </c>
      <c r="B461" s="1991" t="s">
        <v>2048</v>
      </c>
      <c r="C461" s="1325" t="s">
        <v>2915</v>
      </c>
      <c r="D461" s="2032" t="s">
        <v>2916</v>
      </c>
      <c r="E461" s="2032" t="s">
        <v>210</v>
      </c>
      <c r="F461" s="1327">
        <f>SUM(F463:F463)</f>
        <v>1</v>
      </c>
      <c r="G461" s="2033"/>
      <c r="H461" s="2033">
        <f>F461*G461</f>
        <v>0</v>
      </c>
      <c r="I461" s="1993" t="s">
        <v>112</v>
      </c>
      <c r="J461" s="2034"/>
    </row>
    <row r="462" spans="1:256" s="1990" customFormat="1" ht="13.5" customHeight="1">
      <c r="A462" s="2035"/>
      <c r="B462" s="2026"/>
      <c r="C462" s="2027"/>
      <c r="D462" s="2027" t="s">
        <v>2917</v>
      </c>
      <c r="E462" s="2027"/>
      <c r="F462" s="2036"/>
      <c r="G462" s="2029"/>
      <c r="H462" s="2029"/>
      <c r="I462" s="2030"/>
    </row>
    <row r="463" spans="1:256" s="1904" customFormat="1" ht="13.5" customHeight="1">
      <c r="A463" s="1898"/>
      <c r="B463" s="1899"/>
      <c r="C463" s="1899"/>
      <c r="D463" s="1899" t="s">
        <v>2686</v>
      </c>
      <c r="E463" s="1899"/>
      <c r="F463" s="1900">
        <v>1</v>
      </c>
      <c r="G463" s="1901"/>
      <c r="H463" s="1901"/>
      <c r="I463" s="1905"/>
      <c r="J463" s="852"/>
      <c r="K463" s="1291"/>
      <c r="L463" s="1291"/>
      <c r="M463" s="1291"/>
      <c r="N463" s="1291"/>
      <c r="O463" s="1291"/>
      <c r="P463" s="1291"/>
      <c r="Q463" s="1291"/>
      <c r="R463" s="1291"/>
      <c r="S463" s="1291"/>
      <c r="T463" s="1291"/>
      <c r="U463" s="1291"/>
      <c r="V463" s="1291"/>
      <c r="W463" s="1291"/>
      <c r="X463" s="1291"/>
      <c r="Y463" s="1291"/>
      <c r="Z463" s="1291"/>
      <c r="AA463" s="1291"/>
      <c r="AB463" s="1291"/>
      <c r="AC463" s="1291"/>
      <c r="AD463" s="1291"/>
      <c r="AE463" s="1291"/>
      <c r="AF463" s="1291"/>
      <c r="AG463" s="1291"/>
      <c r="AH463" s="1291"/>
      <c r="AI463" s="1291"/>
      <c r="AJ463" s="1291"/>
      <c r="AK463" s="1291"/>
      <c r="AL463" s="1291"/>
      <c r="AM463" s="1291"/>
      <c r="AN463" s="1291"/>
      <c r="AO463" s="1291"/>
      <c r="AP463" s="1291"/>
      <c r="AQ463" s="1291"/>
      <c r="AR463" s="1903"/>
      <c r="AS463" s="1903"/>
      <c r="AT463" s="1903"/>
      <c r="AU463" s="1903"/>
      <c r="AV463" s="1903"/>
      <c r="AW463" s="1903"/>
      <c r="AX463" s="1903"/>
      <c r="AY463" s="1903"/>
      <c r="AZ463" s="1903"/>
      <c r="BA463" s="1903"/>
      <c r="BB463" s="1903"/>
      <c r="BC463" s="1903"/>
      <c r="BD463" s="1903"/>
      <c r="BE463" s="1903"/>
      <c r="BF463" s="1903"/>
      <c r="BG463" s="1903"/>
      <c r="BH463" s="1903"/>
      <c r="BI463" s="1903"/>
      <c r="BJ463" s="1903"/>
      <c r="BK463" s="1903"/>
      <c r="BL463" s="1903"/>
      <c r="BM463" s="1903"/>
      <c r="BN463" s="1903"/>
      <c r="BO463" s="1903"/>
      <c r="BP463" s="1903"/>
      <c r="BQ463" s="1903"/>
      <c r="BR463" s="1903"/>
      <c r="BS463" s="1903"/>
      <c r="BT463" s="1903"/>
      <c r="BU463" s="1903"/>
      <c r="BV463" s="1903"/>
      <c r="BW463" s="1903"/>
      <c r="BX463" s="1903"/>
      <c r="BY463" s="1903"/>
      <c r="BZ463" s="1903"/>
      <c r="CA463" s="1903"/>
      <c r="CB463" s="1903"/>
      <c r="CC463" s="1903"/>
      <c r="CD463" s="1903"/>
      <c r="CE463" s="1903"/>
      <c r="CF463" s="1903"/>
      <c r="CG463" s="1903"/>
      <c r="CH463" s="1903"/>
      <c r="CI463" s="1903"/>
      <c r="CJ463" s="1903"/>
      <c r="CK463" s="1903"/>
      <c r="CL463" s="1903"/>
      <c r="CM463" s="1903"/>
      <c r="CN463" s="1903"/>
      <c r="CO463" s="1903"/>
      <c r="CP463" s="1903"/>
      <c r="CQ463" s="1903"/>
      <c r="CR463" s="1903"/>
      <c r="CS463" s="1903"/>
      <c r="CT463" s="1903"/>
      <c r="CU463" s="1903"/>
      <c r="CV463" s="1903"/>
      <c r="CW463" s="1903"/>
      <c r="CX463" s="1903"/>
      <c r="CY463" s="1903"/>
      <c r="CZ463" s="1903"/>
      <c r="DA463" s="1903"/>
      <c r="DB463" s="1903"/>
      <c r="DC463" s="1903"/>
      <c r="DD463" s="1903"/>
      <c r="DE463" s="1903"/>
      <c r="DF463" s="1903"/>
      <c r="DG463" s="1903"/>
      <c r="DH463" s="1903"/>
      <c r="DI463" s="1903"/>
      <c r="DJ463" s="1903"/>
      <c r="DK463" s="1903"/>
      <c r="DL463" s="1903"/>
      <c r="DM463" s="1903"/>
      <c r="DN463" s="1903"/>
      <c r="DO463" s="1903"/>
      <c r="DP463" s="1903"/>
      <c r="DQ463" s="1903"/>
      <c r="DR463" s="1903"/>
      <c r="DS463" s="1903"/>
      <c r="DT463" s="1903"/>
      <c r="DU463" s="1903"/>
      <c r="DV463" s="1903"/>
      <c r="DW463" s="1903"/>
      <c r="DX463" s="1903"/>
      <c r="DY463" s="1903"/>
      <c r="DZ463" s="1903"/>
      <c r="EA463" s="1903"/>
      <c r="EB463" s="1903"/>
      <c r="EC463" s="1903"/>
      <c r="ED463" s="1903"/>
      <c r="EE463" s="1903"/>
      <c r="EF463" s="1903"/>
      <c r="EG463" s="1903"/>
      <c r="EH463" s="1903"/>
      <c r="EI463" s="1903"/>
      <c r="EJ463" s="1903"/>
      <c r="EK463" s="1903"/>
      <c r="EL463" s="1903"/>
      <c r="EM463" s="1903"/>
      <c r="EN463" s="1903"/>
      <c r="EO463" s="1903"/>
      <c r="EP463" s="1903"/>
      <c r="EQ463" s="1903"/>
      <c r="ER463" s="1903"/>
      <c r="ES463" s="1903"/>
      <c r="ET463" s="1903"/>
      <c r="EU463" s="1903"/>
      <c r="EV463" s="1903"/>
      <c r="EW463" s="1903"/>
      <c r="EX463" s="1903"/>
      <c r="EY463" s="1903"/>
      <c r="EZ463" s="1903"/>
      <c r="FA463" s="1903"/>
      <c r="FB463" s="1903"/>
      <c r="FC463" s="1903"/>
      <c r="FD463" s="1903"/>
      <c r="FE463" s="1903"/>
      <c r="FF463" s="1903"/>
      <c r="FG463" s="1903"/>
      <c r="FH463" s="1903"/>
      <c r="FI463" s="1903"/>
      <c r="FJ463" s="1903"/>
      <c r="FK463" s="1903"/>
      <c r="FL463" s="1903"/>
      <c r="FM463" s="1903"/>
      <c r="FN463" s="1903"/>
      <c r="FO463" s="1903"/>
      <c r="FP463" s="1903"/>
      <c r="FQ463" s="1903"/>
      <c r="FR463" s="1903"/>
      <c r="FS463" s="1903"/>
      <c r="FT463" s="1903"/>
      <c r="FU463" s="1903"/>
      <c r="FV463" s="1903"/>
      <c r="FW463" s="1903"/>
      <c r="FX463" s="1903"/>
      <c r="FY463" s="1903"/>
      <c r="FZ463" s="1903"/>
      <c r="GA463" s="1903"/>
      <c r="GB463" s="1903"/>
      <c r="GC463" s="1903"/>
      <c r="GD463" s="1903"/>
      <c r="GE463" s="1903"/>
      <c r="GF463" s="1903"/>
      <c r="GG463" s="1903"/>
      <c r="GH463" s="1903"/>
      <c r="GI463" s="1903"/>
      <c r="GJ463" s="1903"/>
      <c r="GK463" s="1903"/>
      <c r="GL463" s="1903"/>
      <c r="GM463" s="1903"/>
      <c r="GN463" s="1903"/>
      <c r="GO463" s="1903"/>
      <c r="GP463" s="1903"/>
      <c r="GQ463" s="1903"/>
      <c r="GR463" s="1903"/>
      <c r="GS463" s="1903"/>
      <c r="GT463" s="1903"/>
      <c r="GU463" s="1903"/>
      <c r="GV463" s="1903"/>
      <c r="GW463" s="1903"/>
      <c r="GX463" s="1903"/>
      <c r="GY463" s="1903"/>
      <c r="GZ463" s="1903"/>
      <c r="HA463" s="1903"/>
      <c r="HB463" s="1903"/>
      <c r="HC463" s="1903"/>
      <c r="HD463" s="1903"/>
      <c r="HE463" s="1903"/>
      <c r="HF463" s="1903"/>
      <c r="HG463" s="1903"/>
      <c r="HH463" s="1903"/>
      <c r="HI463" s="1903"/>
      <c r="HJ463" s="1903"/>
      <c r="HK463" s="1903"/>
      <c r="HL463" s="1903"/>
      <c r="HM463" s="1903"/>
      <c r="HN463" s="1903"/>
      <c r="HO463" s="1903"/>
      <c r="HP463" s="1903"/>
      <c r="HQ463" s="1903"/>
      <c r="HR463" s="1903"/>
      <c r="HS463" s="1903"/>
      <c r="HT463" s="1903"/>
      <c r="HU463" s="1903"/>
      <c r="HV463" s="1903"/>
      <c r="HW463" s="1903"/>
      <c r="HX463" s="1903"/>
      <c r="HY463" s="1903"/>
      <c r="HZ463" s="1903"/>
      <c r="IA463" s="1903"/>
      <c r="IB463" s="1903"/>
      <c r="IC463" s="1903"/>
      <c r="ID463" s="1903"/>
      <c r="IE463" s="1903"/>
      <c r="IF463" s="1903"/>
      <c r="IG463" s="1903"/>
      <c r="IH463" s="1903"/>
      <c r="II463" s="1903"/>
      <c r="IJ463" s="1903"/>
      <c r="IK463" s="1903"/>
      <c r="IL463" s="1903"/>
      <c r="IM463" s="1903"/>
      <c r="IN463" s="1903"/>
      <c r="IO463" s="1903"/>
      <c r="IP463" s="1903"/>
      <c r="IQ463" s="1903"/>
      <c r="IR463" s="1903"/>
      <c r="IS463" s="1903"/>
      <c r="IT463" s="1903"/>
      <c r="IU463" s="1903"/>
      <c r="IV463" s="1903"/>
    </row>
    <row r="464" spans="1:256" s="1897" customFormat="1" ht="27" customHeight="1">
      <c r="A464" s="2025"/>
      <c r="B464" s="2026"/>
      <c r="C464" s="2027"/>
      <c r="D464" s="2027" t="s">
        <v>2908</v>
      </c>
      <c r="E464" s="2027"/>
      <c r="F464" s="2028"/>
      <c r="G464" s="2029"/>
      <c r="H464" s="2029"/>
      <c r="I464" s="2030"/>
      <c r="J464" s="2031"/>
    </row>
    <row r="465" spans="1:256" s="1990" customFormat="1" ht="13.5" customHeight="1">
      <c r="A465" s="1910">
        <v>110</v>
      </c>
      <c r="B465" s="1991" t="s">
        <v>2048</v>
      </c>
      <c r="C465" s="1325" t="s">
        <v>2918</v>
      </c>
      <c r="D465" s="2032" t="s">
        <v>2919</v>
      </c>
      <c r="E465" s="2032" t="s">
        <v>210</v>
      </c>
      <c r="F465" s="1327">
        <f>SUM(F467:F467)</f>
        <v>1</v>
      </c>
      <c r="G465" s="2033"/>
      <c r="H465" s="2033">
        <f>F465*G465</f>
        <v>0</v>
      </c>
      <c r="I465" s="1993" t="s">
        <v>112</v>
      </c>
      <c r="J465" s="2034"/>
    </row>
    <row r="466" spans="1:256" s="1990" customFormat="1" ht="13.5" customHeight="1">
      <c r="A466" s="2035"/>
      <c r="B466" s="2026"/>
      <c r="C466" s="2027"/>
      <c r="D466" s="2027" t="s">
        <v>2920</v>
      </c>
      <c r="E466" s="2027"/>
      <c r="F466" s="2036"/>
      <c r="G466" s="2029"/>
      <c r="H466" s="2029"/>
      <c r="I466" s="2030"/>
    </row>
    <row r="467" spans="1:256" s="1904" customFormat="1" ht="13.5" customHeight="1">
      <c r="A467" s="1898"/>
      <c r="B467" s="1899"/>
      <c r="C467" s="1899"/>
      <c r="D467" s="1899" t="s">
        <v>2686</v>
      </c>
      <c r="E467" s="1899"/>
      <c r="F467" s="1900">
        <v>1</v>
      </c>
      <c r="G467" s="1901"/>
      <c r="H467" s="1901"/>
      <c r="I467" s="1905"/>
      <c r="J467" s="852"/>
      <c r="K467" s="1291"/>
      <c r="L467" s="1291"/>
      <c r="M467" s="1291"/>
      <c r="N467" s="1291"/>
      <c r="O467" s="1291"/>
      <c r="P467" s="1291"/>
      <c r="Q467" s="1291"/>
      <c r="R467" s="1291"/>
      <c r="S467" s="1291"/>
      <c r="T467" s="1291"/>
      <c r="U467" s="1291"/>
      <c r="V467" s="1291"/>
      <c r="W467" s="1291"/>
      <c r="X467" s="1291"/>
      <c r="Y467" s="1291"/>
      <c r="Z467" s="1291"/>
      <c r="AA467" s="1291"/>
      <c r="AB467" s="1291"/>
      <c r="AC467" s="1291"/>
      <c r="AD467" s="1291"/>
      <c r="AE467" s="1291"/>
      <c r="AF467" s="1291"/>
      <c r="AG467" s="1291"/>
      <c r="AH467" s="1291"/>
      <c r="AI467" s="1291"/>
      <c r="AJ467" s="1291"/>
      <c r="AK467" s="1291"/>
      <c r="AL467" s="1291"/>
      <c r="AM467" s="1291"/>
      <c r="AN467" s="1291"/>
      <c r="AO467" s="1291"/>
      <c r="AP467" s="1291"/>
      <c r="AQ467" s="1291"/>
      <c r="AR467" s="1903"/>
      <c r="AS467" s="1903"/>
      <c r="AT467" s="1903"/>
      <c r="AU467" s="1903"/>
      <c r="AV467" s="1903"/>
      <c r="AW467" s="1903"/>
      <c r="AX467" s="1903"/>
      <c r="AY467" s="1903"/>
      <c r="AZ467" s="1903"/>
      <c r="BA467" s="1903"/>
      <c r="BB467" s="1903"/>
      <c r="BC467" s="1903"/>
      <c r="BD467" s="1903"/>
      <c r="BE467" s="1903"/>
      <c r="BF467" s="1903"/>
      <c r="BG467" s="1903"/>
      <c r="BH467" s="1903"/>
      <c r="BI467" s="1903"/>
      <c r="BJ467" s="1903"/>
      <c r="BK467" s="1903"/>
      <c r="BL467" s="1903"/>
      <c r="BM467" s="1903"/>
      <c r="BN467" s="1903"/>
      <c r="BO467" s="1903"/>
      <c r="BP467" s="1903"/>
      <c r="BQ467" s="1903"/>
      <c r="BR467" s="1903"/>
      <c r="BS467" s="1903"/>
      <c r="BT467" s="1903"/>
      <c r="BU467" s="1903"/>
      <c r="BV467" s="1903"/>
      <c r="BW467" s="1903"/>
      <c r="BX467" s="1903"/>
      <c r="BY467" s="1903"/>
      <c r="BZ467" s="1903"/>
      <c r="CA467" s="1903"/>
      <c r="CB467" s="1903"/>
      <c r="CC467" s="1903"/>
      <c r="CD467" s="1903"/>
      <c r="CE467" s="1903"/>
      <c r="CF467" s="1903"/>
      <c r="CG467" s="1903"/>
      <c r="CH467" s="1903"/>
      <c r="CI467" s="1903"/>
      <c r="CJ467" s="1903"/>
      <c r="CK467" s="1903"/>
      <c r="CL467" s="1903"/>
      <c r="CM467" s="1903"/>
      <c r="CN467" s="1903"/>
      <c r="CO467" s="1903"/>
      <c r="CP467" s="1903"/>
      <c r="CQ467" s="1903"/>
      <c r="CR467" s="1903"/>
      <c r="CS467" s="1903"/>
      <c r="CT467" s="1903"/>
      <c r="CU467" s="1903"/>
      <c r="CV467" s="1903"/>
      <c r="CW467" s="1903"/>
      <c r="CX467" s="1903"/>
      <c r="CY467" s="1903"/>
      <c r="CZ467" s="1903"/>
      <c r="DA467" s="1903"/>
      <c r="DB467" s="1903"/>
      <c r="DC467" s="1903"/>
      <c r="DD467" s="1903"/>
      <c r="DE467" s="1903"/>
      <c r="DF467" s="1903"/>
      <c r="DG467" s="1903"/>
      <c r="DH467" s="1903"/>
      <c r="DI467" s="1903"/>
      <c r="DJ467" s="1903"/>
      <c r="DK467" s="1903"/>
      <c r="DL467" s="1903"/>
      <c r="DM467" s="1903"/>
      <c r="DN467" s="1903"/>
      <c r="DO467" s="1903"/>
      <c r="DP467" s="1903"/>
      <c r="DQ467" s="1903"/>
      <c r="DR467" s="1903"/>
      <c r="DS467" s="1903"/>
      <c r="DT467" s="1903"/>
      <c r="DU467" s="1903"/>
      <c r="DV467" s="1903"/>
      <c r="DW467" s="1903"/>
      <c r="DX467" s="1903"/>
      <c r="DY467" s="1903"/>
      <c r="DZ467" s="1903"/>
      <c r="EA467" s="1903"/>
      <c r="EB467" s="1903"/>
      <c r="EC467" s="1903"/>
      <c r="ED467" s="1903"/>
      <c r="EE467" s="1903"/>
      <c r="EF467" s="1903"/>
      <c r="EG467" s="1903"/>
      <c r="EH467" s="1903"/>
      <c r="EI467" s="1903"/>
      <c r="EJ467" s="1903"/>
      <c r="EK467" s="1903"/>
      <c r="EL467" s="1903"/>
      <c r="EM467" s="1903"/>
      <c r="EN467" s="1903"/>
      <c r="EO467" s="1903"/>
      <c r="EP467" s="1903"/>
      <c r="EQ467" s="1903"/>
      <c r="ER467" s="1903"/>
      <c r="ES467" s="1903"/>
      <c r="ET467" s="1903"/>
      <c r="EU467" s="1903"/>
      <c r="EV467" s="1903"/>
      <c r="EW467" s="1903"/>
      <c r="EX467" s="1903"/>
      <c r="EY467" s="1903"/>
      <c r="EZ467" s="1903"/>
      <c r="FA467" s="1903"/>
      <c r="FB467" s="1903"/>
      <c r="FC467" s="1903"/>
      <c r="FD467" s="1903"/>
      <c r="FE467" s="1903"/>
      <c r="FF467" s="1903"/>
      <c r="FG467" s="1903"/>
      <c r="FH467" s="1903"/>
      <c r="FI467" s="1903"/>
      <c r="FJ467" s="1903"/>
      <c r="FK467" s="1903"/>
      <c r="FL467" s="1903"/>
      <c r="FM467" s="1903"/>
      <c r="FN467" s="1903"/>
      <c r="FO467" s="1903"/>
      <c r="FP467" s="1903"/>
      <c r="FQ467" s="1903"/>
      <c r="FR467" s="1903"/>
      <c r="FS467" s="1903"/>
      <c r="FT467" s="1903"/>
      <c r="FU467" s="1903"/>
      <c r="FV467" s="1903"/>
      <c r="FW467" s="1903"/>
      <c r="FX467" s="1903"/>
      <c r="FY467" s="1903"/>
      <c r="FZ467" s="1903"/>
      <c r="GA467" s="1903"/>
      <c r="GB467" s="1903"/>
      <c r="GC467" s="1903"/>
      <c r="GD467" s="1903"/>
      <c r="GE467" s="1903"/>
      <c r="GF467" s="1903"/>
      <c r="GG467" s="1903"/>
      <c r="GH467" s="1903"/>
      <c r="GI467" s="1903"/>
      <c r="GJ467" s="1903"/>
      <c r="GK467" s="1903"/>
      <c r="GL467" s="1903"/>
      <c r="GM467" s="1903"/>
      <c r="GN467" s="1903"/>
      <c r="GO467" s="1903"/>
      <c r="GP467" s="1903"/>
      <c r="GQ467" s="1903"/>
      <c r="GR467" s="1903"/>
      <c r="GS467" s="1903"/>
      <c r="GT467" s="1903"/>
      <c r="GU467" s="1903"/>
      <c r="GV467" s="1903"/>
      <c r="GW467" s="1903"/>
      <c r="GX467" s="1903"/>
      <c r="GY467" s="1903"/>
      <c r="GZ467" s="1903"/>
      <c r="HA467" s="1903"/>
      <c r="HB467" s="1903"/>
      <c r="HC467" s="1903"/>
      <c r="HD467" s="1903"/>
      <c r="HE467" s="1903"/>
      <c r="HF467" s="1903"/>
      <c r="HG467" s="1903"/>
      <c r="HH467" s="1903"/>
      <c r="HI467" s="1903"/>
      <c r="HJ467" s="1903"/>
      <c r="HK467" s="1903"/>
      <c r="HL467" s="1903"/>
      <c r="HM467" s="1903"/>
      <c r="HN467" s="1903"/>
      <c r="HO467" s="1903"/>
      <c r="HP467" s="1903"/>
      <c r="HQ467" s="1903"/>
      <c r="HR467" s="1903"/>
      <c r="HS467" s="1903"/>
      <c r="HT467" s="1903"/>
      <c r="HU467" s="1903"/>
      <c r="HV467" s="1903"/>
      <c r="HW467" s="1903"/>
      <c r="HX467" s="1903"/>
      <c r="HY467" s="1903"/>
      <c r="HZ467" s="1903"/>
      <c r="IA467" s="1903"/>
      <c r="IB467" s="1903"/>
      <c r="IC467" s="1903"/>
      <c r="ID467" s="1903"/>
      <c r="IE467" s="1903"/>
      <c r="IF467" s="1903"/>
      <c r="IG467" s="1903"/>
      <c r="IH467" s="1903"/>
      <c r="II467" s="1903"/>
      <c r="IJ467" s="1903"/>
      <c r="IK467" s="1903"/>
      <c r="IL467" s="1903"/>
      <c r="IM467" s="1903"/>
      <c r="IN467" s="1903"/>
      <c r="IO467" s="1903"/>
      <c r="IP467" s="1903"/>
      <c r="IQ467" s="1903"/>
      <c r="IR467" s="1903"/>
      <c r="IS467" s="1903"/>
      <c r="IT467" s="1903"/>
      <c r="IU467" s="1903"/>
      <c r="IV467" s="1903"/>
    </row>
    <row r="468" spans="1:256" s="1897" customFormat="1" ht="27" customHeight="1">
      <c r="A468" s="2025"/>
      <c r="B468" s="2026"/>
      <c r="C468" s="2027"/>
      <c r="D468" s="2027" t="s">
        <v>2904</v>
      </c>
      <c r="E468" s="2027"/>
      <c r="F468" s="2028"/>
      <c r="G468" s="2029"/>
      <c r="H468" s="2029"/>
      <c r="I468" s="2030"/>
      <c r="J468" s="2031"/>
    </row>
    <row r="469" spans="1:256" s="1990" customFormat="1" ht="13.5" customHeight="1">
      <c r="A469" s="1910">
        <v>111</v>
      </c>
      <c r="B469" s="1991" t="s">
        <v>2048</v>
      </c>
      <c r="C469" s="1325" t="s">
        <v>2921</v>
      </c>
      <c r="D469" s="2032" t="s">
        <v>2922</v>
      </c>
      <c r="E469" s="2032" t="s">
        <v>210</v>
      </c>
      <c r="F469" s="1327">
        <f>SUM(F471:F471)</f>
        <v>2</v>
      </c>
      <c r="G469" s="2033"/>
      <c r="H469" s="2033">
        <f>F469*G469</f>
        <v>0</v>
      </c>
      <c r="I469" s="1993" t="s">
        <v>112</v>
      </c>
      <c r="J469" s="2034"/>
    </row>
    <row r="470" spans="1:256" s="1990" customFormat="1" ht="13.5" customHeight="1">
      <c r="A470" s="2035"/>
      <c r="B470" s="2026"/>
      <c r="C470" s="2027"/>
      <c r="D470" s="2027" t="s">
        <v>2923</v>
      </c>
      <c r="E470" s="2027"/>
      <c r="F470" s="2036"/>
      <c r="G470" s="2029"/>
      <c r="H470" s="2029"/>
      <c r="I470" s="2030"/>
    </row>
    <row r="471" spans="1:256" s="1904" customFormat="1" ht="13.5" customHeight="1">
      <c r="A471" s="1898"/>
      <c r="B471" s="1899"/>
      <c r="C471" s="1899"/>
      <c r="D471" s="1899" t="s">
        <v>2686</v>
      </c>
      <c r="E471" s="1899"/>
      <c r="F471" s="1900">
        <v>2</v>
      </c>
      <c r="G471" s="1901"/>
      <c r="H471" s="1901"/>
      <c r="I471" s="1905"/>
      <c r="J471" s="852"/>
      <c r="K471" s="1291"/>
      <c r="L471" s="1291"/>
      <c r="M471" s="1291"/>
      <c r="N471" s="1291"/>
      <c r="O471" s="1291"/>
      <c r="P471" s="1291"/>
      <c r="Q471" s="1291"/>
      <c r="R471" s="1291"/>
      <c r="S471" s="1291"/>
      <c r="T471" s="1291"/>
      <c r="U471" s="1291"/>
      <c r="V471" s="1291"/>
      <c r="W471" s="1291"/>
      <c r="X471" s="1291"/>
      <c r="Y471" s="1291"/>
      <c r="Z471" s="1291"/>
      <c r="AA471" s="1291"/>
      <c r="AB471" s="1291"/>
      <c r="AC471" s="1291"/>
      <c r="AD471" s="1291"/>
      <c r="AE471" s="1291"/>
      <c r="AF471" s="1291"/>
      <c r="AG471" s="1291"/>
      <c r="AH471" s="1291"/>
      <c r="AI471" s="1291"/>
      <c r="AJ471" s="1291"/>
      <c r="AK471" s="1291"/>
      <c r="AL471" s="1291"/>
      <c r="AM471" s="1291"/>
      <c r="AN471" s="1291"/>
      <c r="AO471" s="1291"/>
      <c r="AP471" s="1291"/>
      <c r="AQ471" s="1291"/>
      <c r="AR471" s="1903"/>
      <c r="AS471" s="1903"/>
      <c r="AT471" s="1903"/>
      <c r="AU471" s="1903"/>
      <c r="AV471" s="1903"/>
      <c r="AW471" s="1903"/>
      <c r="AX471" s="1903"/>
      <c r="AY471" s="1903"/>
      <c r="AZ471" s="1903"/>
      <c r="BA471" s="1903"/>
      <c r="BB471" s="1903"/>
      <c r="BC471" s="1903"/>
      <c r="BD471" s="1903"/>
      <c r="BE471" s="1903"/>
      <c r="BF471" s="1903"/>
      <c r="BG471" s="1903"/>
      <c r="BH471" s="1903"/>
      <c r="BI471" s="1903"/>
      <c r="BJ471" s="1903"/>
      <c r="BK471" s="1903"/>
      <c r="BL471" s="1903"/>
      <c r="BM471" s="1903"/>
      <c r="BN471" s="1903"/>
      <c r="BO471" s="1903"/>
      <c r="BP471" s="1903"/>
      <c r="BQ471" s="1903"/>
      <c r="BR471" s="1903"/>
      <c r="BS471" s="1903"/>
      <c r="BT471" s="1903"/>
      <c r="BU471" s="1903"/>
      <c r="BV471" s="1903"/>
      <c r="BW471" s="1903"/>
      <c r="BX471" s="1903"/>
      <c r="BY471" s="1903"/>
      <c r="BZ471" s="1903"/>
      <c r="CA471" s="1903"/>
      <c r="CB471" s="1903"/>
      <c r="CC471" s="1903"/>
      <c r="CD471" s="1903"/>
      <c r="CE471" s="1903"/>
      <c r="CF471" s="1903"/>
      <c r="CG471" s="1903"/>
      <c r="CH471" s="1903"/>
      <c r="CI471" s="1903"/>
      <c r="CJ471" s="1903"/>
      <c r="CK471" s="1903"/>
      <c r="CL471" s="1903"/>
      <c r="CM471" s="1903"/>
      <c r="CN471" s="1903"/>
      <c r="CO471" s="1903"/>
      <c r="CP471" s="1903"/>
      <c r="CQ471" s="1903"/>
      <c r="CR471" s="1903"/>
      <c r="CS471" s="1903"/>
      <c r="CT471" s="1903"/>
      <c r="CU471" s="1903"/>
      <c r="CV471" s="1903"/>
      <c r="CW471" s="1903"/>
      <c r="CX471" s="1903"/>
      <c r="CY471" s="1903"/>
      <c r="CZ471" s="1903"/>
      <c r="DA471" s="1903"/>
      <c r="DB471" s="1903"/>
      <c r="DC471" s="1903"/>
      <c r="DD471" s="1903"/>
      <c r="DE471" s="1903"/>
      <c r="DF471" s="1903"/>
      <c r="DG471" s="1903"/>
      <c r="DH471" s="1903"/>
      <c r="DI471" s="1903"/>
      <c r="DJ471" s="1903"/>
      <c r="DK471" s="1903"/>
      <c r="DL471" s="1903"/>
      <c r="DM471" s="1903"/>
      <c r="DN471" s="1903"/>
      <c r="DO471" s="1903"/>
      <c r="DP471" s="1903"/>
      <c r="DQ471" s="1903"/>
      <c r="DR471" s="1903"/>
      <c r="DS471" s="1903"/>
      <c r="DT471" s="1903"/>
      <c r="DU471" s="1903"/>
      <c r="DV471" s="1903"/>
      <c r="DW471" s="1903"/>
      <c r="DX471" s="1903"/>
      <c r="DY471" s="1903"/>
      <c r="DZ471" s="1903"/>
      <c r="EA471" s="1903"/>
      <c r="EB471" s="1903"/>
      <c r="EC471" s="1903"/>
      <c r="ED471" s="1903"/>
      <c r="EE471" s="1903"/>
      <c r="EF471" s="1903"/>
      <c r="EG471" s="1903"/>
      <c r="EH471" s="1903"/>
      <c r="EI471" s="1903"/>
      <c r="EJ471" s="1903"/>
      <c r="EK471" s="1903"/>
      <c r="EL471" s="1903"/>
      <c r="EM471" s="1903"/>
      <c r="EN471" s="1903"/>
      <c r="EO471" s="1903"/>
      <c r="EP471" s="1903"/>
      <c r="EQ471" s="1903"/>
      <c r="ER471" s="1903"/>
      <c r="ES471" s="1903"/>
      <c r="ET471" s="1903"/>
      <c r="EU471" s="1903"/>
      <c r="EV471" s="1903"/>
      <c r="EW471" s="1903"/>
      <c r="EX471" s="1903"/>
      <c r="EY471" s="1903"/>
      <c r="EZ471" s="1903"/>
      <c r="FA471" s="1903"/>
      <c r="FB471" s="1903"/>
      <c r="FC471" s="1903"/>
      <c r="FD471" s="1903"/>
      <c r="FE471" s="1903"/>
      <c r="FF471" s="1903"/>
      <c r="FG471" s="1903"/>
      <c r="FH471" s="1903"/>
      <c r="FI471" s="1903"/>
      <c r="FJ471" s="1903"/>
      <c r="FK471" s="1903"/>
      <c r="FL471" s="1903"/>
      <c r="FM471" s="1903"/>
      <c r="FN471" s="1903"/>
      <c r="FO471" s="1903"/>
      <c r="FP471" s="1903"/>
      <c r="FQ471" s="1903"/>
      <c r="FR471" s="1903"/>
      <c r="FS471" s="1903"/>
      <c r="FT471" s="1903"/>
      <c r="FU471" s="1903"/>
      <c r="FV471" s="1903"/>
      <c r="FW471" s="1903"/>
      <c r="FX471" s="1903"/>
      <c r="FY471" s="1903"/>
      <c r="FZ471" s="1903"/>
      <c r="GA471" s="1903"/>
      <c r="GB471" s="1903"/>
      <c r="GC471" s="1903"/>
      <c r="GD471" s="1903"/>
      <c r="GE471" s="1903"/>
      <c r="GF471" s="1903"/>
      <c r="GG471" s="1903"/>
      <c r="GH471" s="1903"/>
      <c r="GI471" s="1903"/>
      <c r="GJ471" s="1903"/>
      <c r="GK471" s="1903"/>
      <c r="GL471" s="1903"/>
      <c r="GM471" s="1903"/>
      <c r="GN471" s="1903"/>
      <c r="GO471" s="1903"/>
      <c r="GP471" s="1903"/>
      <c r="GQ471" s="1903"/>
      <c r="GR471" s="1903"/>
      <c r="GS471" s="1903"/>
      <c r="GT471" s="1903"/>
      <c r="GU471" s="1903"/>
      <c r="GV471" s="1903"/>
      <c r="GW471" s="1903"/>
      <c r="GX471" s="1903"/>
      <c r="GY471" s="1903"/>
      <c r="GZ471" s="1903"/>
      <c r="HA471" s="1903"/>
      <c r="HB471" s="1903"/>
      <c r="HC471" s="1903"/>
      <c r="HD471" s="1903"/>
      <c r="HE471" s="1903"/>
      <c r="HF471" s="1903"/>
      <c r="HG471" s="1903"/>
      <c r="HH471" s="1903"/>
      <c r="HI471" s="1903"/>
      <c r="HJ471" s="1903"/>
      <c r="HK471" s="1903"/>
      <c r="HL471" s="1903"/>
      <c r="HM471" s="1903"/>
      <c r="HN471" s="1903"/>
      <c r="HO471" s="1903"/>
      <c r="HP471" s="1903"/>
      <c r="HQ471" s="1903"/>
      <c r="HR471" s="1903"/>
      <c r="HS471" s="1903"/>
      <c r="HT471" s="1903"/>
      <c r="HU471" s="1903"/>
      <c r="HV471" s="1903"/>
      <c r="HW471" s="1903"/>
      <c r="HX471" s="1903"/>
      <c r="HY471" s="1903"/>
      <c r="HZ471" s="1903"/>
      <c r="IA471" s="1903"/>
      <c r="IB471" s="1903"/>
      <c r="IC471" s="1903"/>
      <c r="ID471" s="1903"/>
      <c r="IE471" s="1903"/>
      <c r="IF471" s="1903"/>
      <c r="IG471" s="1903"/>
      <c r="IH471" s="1903"/>
      <c r="II471" s="1903"/>
      <c r="IJ471" s="1903"/>
      <c r="IK471" s="1903"/>
      <c r="IL471" s="1903"/>
      <c r="IM471" s="1903"/>
      <c r="IN471" s="1903"/>
      <c r="IO471" s="1903"/>
      <c r="IP471" s="1903"/>
      <c r="IQ471" s="1903"/>
      <c r="IR471" s="1903"/>
      <c r="IS471" s="1903"/>
      <c r="IT471" s="1903"/>
      <c r="IU471" s="1903"/>
      <c r="IV471" s="1903"/>
    </row>
    <row r="472" spans="1:256" s="1897" customFormat="1" ht="27" customHeight="1">
      <c r="A472" s="2025"/>
      <c r="B472" s="2026"/>
      <c r="C472" s="2027"/>
      <c r="D472" s="2027" t="s">
        <v>2904</v>
      </c>
      <c r="E472" s="2027"/>
      <c r="F472" s="2028"/>
      <c r="G472" s="2029"/>
      <c r="H472" s="2029"/>
      <c r="I472" s="2030"/>
      <c r="J472" s="2031"/>
    </row>
    <row r="473" spans="1:256" s="1990" customFormat="1" ht="13.5" customHeight="1">
      <c r="A473" s="1910">
        <v>112</v>
      </c>
      <c r="B473" s="1991" t="s">
        <v>2048</v>
      </c>
      <c r="C473" s="1325" t="s">
        <v>2924</v>
      </c>
      <c r="D473" s="2032" t="s">
        <v>2925</v>
      </c>
      <c r="E473" s="2032" t="s">
        <v>210</v>
      </c>
      <c r="F473" s="1327">
        <f>SUM(F475:F475)</f>
        <v>2</v>
      </c>
      <c r="G473" s="2033"/>
      <c r="H473" s="2033">
        <f>F473*G473</f>
        <v>0</v>
      </c>
      <c r="I473" s="1993" t="s">
        <v>112</v>
      </c>
      <c r="J473" s="2034"/>
    </row>
    <row r="474" spans="1:256" s="1990" customFormat="1" ht="13.5" customHeight="1">
      <c r="A474" s="2035"/>
      <c r="B474" s="2026"/>
      <c r="C474" s="2027"/>
      <c r="D474" s="2027" t="s">
        <v>2926</v>
      </c>
      <c r="E474" s="2027"/>
      <c r="F474" s="2036"/>
      <c r="G474" s="2029"/>
      <c r="H474" s="2029"/>
      <c r="I474" s="2030"/>
    </row>
    <row r="475" spans="1:256" s="1904" customFormat="1" ht="13.5" customHeight="1">
      <c r="A475" s="1898"/>
      <c r="B475" s="1899"/>
      <c r="C475" s="1899"/>
      <c r="D475" s="1899" t="s">
        <v>2686</v>
      </c>
      <c r="E475" s="1899"/>
      <c r="F475" s="1900">
        <v>2</v>
      </c>
      <c r="G475" s="1901"/>
      <c r="H475" s="1901"/>
      <c r="I475" s="1905"/>
      <c r="J475" s="852"/>
      <c r="K475" s="1291"/>
      <c r="L475" s="1291"/>
      <c r="M475" s="1291"/>
      <c r="N475" s="1291"/>
      <c r="O475" s="1291"/>
      <c r="P475" s="1291"/>
      <c r="Q475" s="1291"/>
      <c r="R475" s="1291"/>
      <c r="S475" s="1291"/>
      <c r="T475" s="1291"/>
      <c r="U475" s="1291"/>
      <c r="V475" s="1291"/>
      <c r="W475" s="1291"/>
      <c r="X475" s="1291"/>
      <c r="Y475" s="1291"/>
      <c r="Z475" s="1291"/>
      <c r="AA475" s="1291"/>
      <c r="AB475" s="1291"/>
      <c r="AC475" s="1291"/>
      <c r="AD475" s="1291"/>
      <c r="AE475" s="1291"/>
      <c r="AF475" s="1291"/>
      <c r="AG475" s="1291"/>
      <c r="AH475" s="1291"/>
      <c r="AI475" s="1291"/>
      <c r="AJ475" s="1291"/>
      <c r="AK475" s="1291"/>
      <c r="AL475" s="1291"/>
      <c r="AM475" s="1291"/>
      <c r="AN475" s="1291"/>
      <c r="AO475" s="1291"/>
      <c r="AP475" s="1291"/>
      <c r="AQ475" s="1291"/>
      <c r="AR475" s="1903"/>
      <c r="AS475" s="1903"/>
      <c r="AT475" s="1903"/>
      <c r="AU475" s="1903"/>
      <c r="AV475" s="1903"/>
      <c r="AW475" s="1903"/>
      <c r="AX475" s="1903"/>
      <c r="AY475" s="1903"/>
      <c r="AZ475" s="1903"/>
      <c r="BA475" s="1903"/>
      <c r="BB475" s="1903"/>
      <c r="BC475" s="1903"/>
      <c r="BD475" s="1903"/>
      <c r="BE475" s="1903"/>
      <c r="BF475" s="1903"/>
      <c r="BG475" s="1903"/>
      <c r="BH475" s="1903"/>
      <c r="BI475" s="1903"/>
      <c r="BJ475" s="1903"/>
      <c r="BK475" s="1903"/>
      <c r="BL475" s="1903"/>
      <c r="BM475" s="1903"/>
      <c r="BN475" s="1903"/>
      <c r="BO475" s="1903"/>
      <c r="BP475" s="1903"/>
      <c r="BQ475" s="1903"/>
      <c r="BR475" s="1903"/>
      <c r="BS475" s="1903"/>
      <c r="BT475" s="1903"/>
      <c r="BU475" s="1903"/>
      <c r="BV475" s="1903"/>
      <c r="BW475" s="1903"/>
      <c r="BX475" s="1903"/>
      <c r="BY475" s="1903"/>
      <c r="BZ475" s="1903"/>
      <c r="CA475" s="1903"/>
      <c r="CB475" s="1903"/>
      <c r="CC475" s="1903"/>
      <c r="CD475" s="1903"/>
      <c r="CE475" s="1903"/>
      <c r="CF475" s="1903"/>
      <c r="CG475" s="1903"/>
      <c r="CH475" s="1903"/>
      <c r="CI475" s="1903"/>
      <c r="CJ475" s="1903"/>
      <c r="CK475" s="1903"/>
      <c r="CL475" s="1903"/>
      <c r="CM475" s="1903"/>
      <c r="CN475" s="1903"/>
      <c r="CO475" s="1903"/>
      <c r="CP475" s="1903"/>
      <c r="CQ475" s="1903"/>
      <c r="CR475" s="1903"/>
      <c r="CS475" s="1903"/>
      <c r="CT475" s="1903"/>
      <c r="CU475" s="1903"/>
      <c r="CV475" s="1903"/>
      <c r="CW475" s="1903"/>
      <c r="CX475" s="1903"/>
      <c r="CY475" s="1903"/>
      <c r="CZ475" s="1903"/>
      <c r="DA475" s="1903"/>
      <c r="DB475" s="1903"/>
      <c r="DC475" s="1903"/>
      <c r="DD475" s="1903"/>
      <c r="DE475" s="1903"/>
      <c r="DF475" s="1903"/>
      <c r="DG475" s="1903"/>
      <c r="DH475" s="1903"/>
      <c r="DI475" s="1903"/>
      <c r="DJ475" s="1903"/>
      <c r="DK475" s="1903"/>
      <c r="DL475" s="1903"/>
      <c r="DM475" s="1903"/>
      <c r="DN475" s="1903"/>
      <c r="DO475" s="1903"/>
      <c r="DP475" s="1903"/>
      <c r="DQ475" s="1903"/>
      <c r="DR475" s="1903"/>
      <c r="DS475" s="1903"/>
      <c r="DT475" s="1903"/>
      <c r="DU475" s="1903"/>
      <c r="DV475" s="1903"/>
      <c r="DW475" s="1903"/>
      <c r="DX475" s="1903"/>
      <c r="DY475" s="1903"/>
      <c r="DZ475" s="1903"/>
      <c r="EA475" s="1903"/>
      <c r="EB475" s="1903"/>
      <c r="EC475" s="1903"/>
      <c r="ED475" s="1903"/>
      <c r="EE475" s="1903"/>
      <c r="EF475" s="1903"/>
      <c r="EG475" s="1903"/>
      <c r="EH475" s="1903"/>
      <c r="EI475" s="1903"/>
      <c r="EJ475" s="1903"/>
      <c r="EK475" s="1903"/>
      <c r="EL475" s="1903"/>
      <c r="EM475" s="1903"/>
      <c r="EN475" s="1903"/>
      <c r="EO475" s="1903"/>
      <c r="EP475" s="1903"/>
      <c r="EQ475" s="1903"/>
      <c r="ER475" s="1903"/>
      <c r="ES475" s="1903"/>
      <c r="ET475" s="1903"/>
      <c r="EU475" s="1903"/>
      <c r="EV475" s="1903"/>
      <c r="EW475" s="1903"/>
      <c r="EX475" s="1903"/>
      <c r="EY475" s="1903"/>
      <c r="EZ475" s="1903"/>
      <c r="FA475" s="1903"/>
      <c r="FB475" s="1903"/>
      <c r="FC475" s="1903"/>
      <c r="FD475" s="1903"/>
      <c r="FE475" s="1903"/>
      <c r="FF475" s="1903"/>
      <c r="FG475" s="1903"/>
      <c r="FH475" s="1903"/>
      <c r="FI475" s="1903"/>
      <c r="FJ475" s="1903"/>
      <c r="FK475" s="1903"/>
      <c r="FL475" s="1903"/>
      <c r="FM475" s="1903"/>
      <c r="FN475" s="1903"/>
      <c r="FO475" s="1903"/>
      <c r="FP475" s="1903"/>
      <c r="FQ475" s="1903"/>
      <c r="FR475" s="1903"/>
      <c r="FS475" s="1903"/>
      <c r="FT475" s="1903"/>
      <c r="FU475" s="1903"/>
      <c r="FV475" s="1903"/>
      <c r="FW475" s="1903"/>
      <c r="FX475" s="1903"/>
      <c r="FY475" s="1903"/>
      <c r="FZ475" s="1903"/>
      <c r="GA475" s="1903"/>
      <c r="GB475" s="1903"/>
      <c r="GC475" s="1903"/>
      <c r="GD475" s="1903"/>
      <c r="GE475" s="1903"/>
      <c r="GF475" s="1903"/>
      <c r="GG475" s="1903"/>
      <c r="GH475" s="1903"/>
      <c r="GI475" s="1903"/>
      <c r="GJ475" s="1903"/>
      <c r="GK475" s="1903"/>
      <c r="GL475" s="1903"/>
      <c r="GM475" s="1903"/>
      <c r="GN475" s="1903"/>
      <c r="GO475" s="1903"/>
      <c r="GP475" s="1903"/>
      <c r="GQ475" s="1903"/>
      <c r="GR475" s="1903"/>
      <c r="GS475" s="1903"/>
      <c r="GT475" s="1903"/>
      <c r="GU475" s="1903"/>
      <c r="GV475" s="1903"/>
      <c r="GW475" s="1903"/>
      <c r="GX475" s="1903"/>
      <c r="GY475" s="1903"/>
      <c r="GZ475" s="1903"/>
      <c r="HA475" s="1903"/>
      <c r="HB475" s="1903"/>
      <c r="HC475" s="1903"/>
      <c r="HD475" s="1903"/>
      <c r="HE475" s="1903"/>
      <c r="HF475" s="1903"/>
      <c r="HG475" s="1903"/>
      <c r="HH475" s="1903"/>
      <c r="HI475" s="1903"/>
      <c r="HJ475" s="1903"/>
      <c r="HK475" s="1903"/>
      <c r="HL475" s="1903"/>
      <c r="HM475" s="1903"/>
      <c r="HN475" s="1903"/>
      <c r="HO475" s="1903"/>
      <c r="HP475" s="1903"/>
      <c r="HQ475" s="1903"/>
      <c r="HR475" s="1903"/>
      <c r="HS475" s="1903"/>
      <c r="HT475" s="1903"/>
      <c r="HU475" s="1903"/>
      <c r="HV475" s="1903"/>
      <c r="HW475" s="1903"/>
      <c r="HX475" s="1903"/>
      <c r="HY475" s="1903"/>
      <c r="HZ475" s="1903"/>
      <c r="IA475" s="1903"/>
      <c r="IB475" s="1903"/>
      <c r="IC475" s="1903"/>
      <c r="ID475" s="1903"/>
      <c r="IE475" s="1903"/>
      <c r="IF475" s="1903"/>
      <c r="IG475" s="1903"/>
      <c r="IH475" s="1903"/>
      <c r="II475" s="1903"/>
      <c r="IJ475" s="1903"/>
      <c r="IK475" s="1903"/>
      <c r="IL475" s="1903"/>
      <c r="IM475" s="1903"/>
      <c r="IN475" s="1903"/>
      <c r="IO475" s="1903"/>
      <c r="IP475" s="1903"/>
      <c r="IQ475" s="1903"/>
      <c r="IR475" s="1903"/>
      <c r="IS475" s="1903"/>
      <c r="IT475" s="1903"/>
      <c r="IU475" s="1903"/>
      <c r="IV475" s="1903"/>
    </row>
    <row r="476" spans="1:256" s="1897" customFormat="1" ht="27" customHeight="1">
      <c r="A476" s="2025"/>
      <c r="B476" s="2026"/>
      <c r="C476" s="2027"/>
      <c r="D476" s="2027" t="s">
        <v>2927</v>
      </c>
      <c r="E476" s="2027"/>
      <c r="F476" s="2028"/>
      <c r="G476" s="2029"/>
      <c r="H476" s="2029"/>
      <c r="I476" s="2030"/>
      <c r="J476" s="2031"/>
    </row>
    <row r="477" spans="1:256" s="1990" customFormat="1" ht="13.5" customHeight="1">
      <c r="A477" s="1910">
        <v>113</v>
      </c>
      <c r="B477" s="1991" t="s">
        <v>2048</v>
      </c>
      <c r="C477" s="1325" t="s">
        <v>2928</v>
      </c>
      <c r="D477" s="2032" t="s">
        <v>2929</v>
      </c>
      <c r="E477" s="2032" t="s">
        <v>210</v>
      </c>
      <c r="F477" s="1327">
        <f>SUM(F479:F479)</f>
        <v>1</v>
      </c>
      <c r="G477" s="2033"/>
      <c r="H477" s="2033">
        <f>F477*G477</f>
        <v>0</v>
      </c>
      <c r="I477" s="1993" t="s">
        <v>112</v>
      </c>
      <c r="J477" s="2034"/>
    </row>
    <row r="478" spans="1:256" s="1990" customFormat="1" ht="13.5" customHeight="1">
      <c r="A478" s="2035"/>
      <c r="B478" s="2026"/>
      <c r="C478" s="2027"/>
      <c r="D478" s="2027" t="s">
        <v>2930</v>
      </c>
      <c r="E478" s="2027"/>
      <c r="F478" s="2036"/>
      <c r="G478" s="2029"/>
      <c r="H478" s="2029"/>
      <c r="I478" s="2030"/>
    </row>
    <row r="479" spans="1:256" s="1904" customFormat="1" ht="13.5" customHeight="1">
      <c r="A479" s="1898"/>
      <c r="B479" s="1899"/>
      <c r="C479" s="1899"/>
      <c r="D479" s="1899" t="s">
        <v>2686</v>
      </c>
      <c r="E479" s="1899"/>
      <c r="F479" s="1900">
        <v>1</v>
      </c>
      <c r="G479" s="1901"/>
      <c r="H479" s="1901"/>
      <c r="I479" s="1905"/>
      <c r="J479" s="852"/>
      <c r="K479" s="1291"/>
      <c r="L479" s="1291"/>
      <c r="M479" s="1291"/>
      <c r="N479" s="1291"/>
      <c r="O479" s="1291"/>
      <c r="P479" s="1291"/>
      <c r="Q479" s="1291"/>
      <c r="R479" s="1291"/>
      <c r="S479" s="1291"/>
      <c r="T479" s="1291"/>
      <c r="U479" s="1291"/>
      <c r="V479" s="1291"/>
      <c r="W479" s="1291"/>
      <c r="X479" s="1291"/>
      <c r="Y479" s="1291"/>
      <c r="Z479" s="1291"/>
      <c r="AA479" s="1291"/>
      <c r="AB479" s="1291"/>
      <c r="AC479" s="1291"/>
      <c r="AD479" s="1291"/>
      <c r="AE479" s="1291"/>
      <c r="AF479" s="1291"/>
      <c r="AG479" s="1291"/>
      <c r="AH479" s="1291"/>
      <c r="AI479" s="1291"/>
      <c r="AJ479" s="1291"/>
      <c r="AK479" s="1291"/>
      <c r="AL479" s="1291"/>
      <c r="AM479" s="1291"/>
      <c r="AN479" s="1291"/>
      <c r="AO479" s="1291"/>
      <c r="AP479" s="1291"/>
      <c r="AQ479" s="1291"/>
      <c r="AR479" s="1903"/>
      <c r="AS479" s="1903"/>
      <c r="AT479" s="1903"/>
      <c r="AU479" s="1903"/>
      <c r="AV479" s="1903"/>
      <c r="AW479" s="1903"/>
      <c r="AX479" s="1903"/>
      <c r="AY479" s="1903"/>
      <c r="AZ479" s="1903"/>
      <c r="BA479" s="1903"/>
      <c r="BB479" s="1903"/>
      <c r="BC479" s="1903"/>
      <c r="BD479" s="1903"/>
      <c r="BE479" s="1903"/>
      <c r="BF479" s="1903"/>
      <c r="BG479" s="1903"/>
      <c r="BH479" s="1903"/>
      <c r="BI479" s="1903"/>
      <c r="BJ479" s="1903"/>
      <c r="BK479" s="1903"/>
      <c r="BL479" s="1903"/>
      <c r="BM479" s="1903"/>
      <c r="BN479" s="1903"/>
      <c r="BO479" s="1903"/>
      <c r="BP479" s="1903"/>
      <c r="BQ479" s="1903"/>
      <c r="BR479" s="1903"/>
      <c r="BS479" s="1903"/>
      <c r="BT479" s="1903"/>
      <c r="BU479" s="1903"/>
      <c r="BV479" s="1903"/>
      <c r="BW479" s="1903"/>
      <c r="BX479" s="1903"/>
      <c r="BY479" s="1903"/>
      <c r="BZ479" s="1903"/>
      <c r="CA479" s="1903"/>
      <c r="CB479" s="1903"/>
      <c r="CC479" s="1903"/>
      <c r="CD479" s="1903"/>
      <c r="CE479" s="1903"/>
      <c r="CF479" s="1903"/>
      <c r="CG479" s="1903"/>
      <c r="CH479" s="1903"/>
      <c r="CI479" s="1903"/>
      <c r="CJ479" s="1903"/>
      <c r="CK479" s="1903"/>
      <c r="CL479" s="1903"/>
      <c r="CM479" s="1903"/>
      <c r="CN479" s="1903"/>
      <c r="CO479" s="1903"/>
      <c r="CP479" s="1903"/>
      <c r="CQ479" s="1903"/>
      <c r="CR479" s="1903"/>
      <c r="CS479" s="1903"/>
      <c r="CT479" s="1903"/>
      <c r="CU479" s="1903"/>
      <c r="CV479" s="1903"/>
      <c r="CW479" s="1903"/>
      <c r="CX479" s="1903"/>
      <c r="CY479" s="1903"/>
      <c r="CZ479" s="1903"/>
      <c r="DA479" s="1903"/>
      <c r="DB479" s="1903"/>
      <c r="DC479" s="1903"/>
      <c r="DD479" s="1903"/>
      <c r="DE479" s="1903"/>
      <c r="DF479" s="1903"/>
      <c r="DG479" s="1903"/>
      <c r="DH479" s="1903"/>
      <c r="DI479" s="1903"/>
      <c r="DJ479" s="1903"/>
      <c r="DK479" s="1903"/>
      <c r="DL479" s="1903"/>
      <c r="DM479" s="1903"/>
      <c r="DN479" s="1903"/>
      <c r="DO479" s="1903"/>
      <c r="DP479" s="1903"/>
      <c r="DQ479" s="1903"/>
      <c r="DR479" s="1903"/>
      <c r="DS479" s="1903"/>
      <c r="DT479" s="1903"/>
      <c r="DU479" s="1903"/>
      <c r="DV479" s="1903"/>
      <c r="DW479" s="1903"/>
      <c r="DX479" s="1903"/>
      <c r="DY479" s="1903"/>
      <c r="DZ479" s="1903"/>
      <c r="EA479" s="1903"/>
      <c r="EB479" s="1903"/>
      <c r="EC479" s="1903"/>
      <c r="ED479" s="1903"/>
      <c r="EE479" s="1903"/>
      <c r="EF479" s="1903"/>
      <c r="EG479" s="1903"/>
      <c r="EH479" s="1903"/>
      <c r="EI479" s="1903"/>
      <c r="EJ479" s="1903"/>
      <c r="EK479" s="1903"/>
      <c r="EL479" s="1903"/>
      <c r="EM479" s="1903"/>
      <c r="EN479" s="1903"/>
      <c r="EO479" s="1903"/>
      <c r="EP479" s="1903"/>
      <c r="EQ479" s="1903"/>
      <c r="ER479" s="1903"/>
      <c r="ES479" s="1903"/>
      <c r="ET479" s="1903"/>
      <c r="EU479" s="1903"/>
      <c r="EV479" s="1903"/>
      <c r="EW479" s="1903"/>
      <c r="EX479" s="1903"/>
      <c r="EY479" s="1903"/>
      <c r="EZ479" s="1903"/>
      <c r="FA479" s="1903"/>
      <c r="FB479" s="1903"/>
      <c r="FC479" s="1903"/>
      <c r="FD479" s="1903"/>
      <c r="FE479" s="1903"/>
      <c r="FF479" s="1903"/>
      <c r="FG479" s="1903"/>
      <c r="FH479" s="1903"/>
      <c r="FI479" s="1903"/>
      <c r="FJ479" s="1903"/>
      <c r="FK479" s="1903"/>
      <c r="FL479" s="1903"/>
      <c r="FM479" s="1903"/>
      <c r="FN479" s="1903"/>
      <c r="FO479" s="1903"/>
      <c r="FP479" s="1903"/>
      <c r="FQ479" s="1903"/>
      <c r="FR479" s="1903"/>
      <c r="FS479" s="1903"/>
      <c r="FT479" s="1903"/>
      <c r="FU479" s="1903"/>
      <c r="FV479" s="1903"/>
      <c r="FW479" s="1903"/>
      <c r="FX479" s="1903"/>
      <c r="FY479" s="1903"/>
      <c r="FZ479" s="1903"/>
      <c r="GA479" s="1903"/>
      <c r="GB479" s="1903"/>
      <c r="GC479" s="1903"/>
      <c r="GD479" s="1903"/>
      <c r="GE479" s="1903"/>
      <c r="GF479" s="1903"/>
      <c r="GG479" s="1903"/>
      <c r="GH479" s="1903"/>
      <c r="GI479" s="1903"/>
      <c r="GJ479" s="1903"/>
      <c r="GK479" s="1903"/>
      <c r="GL479" s="1903"/>
      <c r="GM479" s="1903"/>
      <c r="GN479" s="1903"/>
      <c r="GO479" s="1903"/>
      <c r="GP479" s="1903"/>
      <c r="GQ479" s="1903"/>
      <c r="GR479" s="1903"/>
      <c r="GS479" s="1903"/>
      <c r="GT479" s="1903"/>
      <c r="GU479" s="1903"/>
      <c r="GV479" s="1903"/>
      <c r="GW479" s="1903"/>
      <c r="GX479" s="1903"/>
      <c r="GY479" s="1903"/>
      <c r="GZ479" s="1903"/>
      <c r="HA479" s="1903"/>
      <c r="HB479" s="1903"/>
      <c r="HC479" s="1903"/>
      <c r="HD479" s="1903"/>
      <c r="HE479" s="1903"/>
      <c r="HF479" s="1903"/>
      <c r="HG479" s="1903"/>
      <c r="HH479" s="1903"/>
      <c r="HI479" s="1903"/>
      <c r="HJ479" s="1903"/>
      <c r="HK479" s="1903"/>
      <c r="HL479" s="1903"/>
      <c r="HM479" s="1903"/>
      <c r="HN479" s="1903"/>
      <c r="HO479" s="1903"/>
      <c r="HP479" s="1903"/>
      <c r="HQ479" s="1903"/>
      <c r="HR479" s="1903"/>
      <c r="HS479" s="1903"/>
      <c r="HT479" s="1903"/>
      <c r="HU479" s="1903"/>
      <c r="HV479" s="1903"/>
      <c r="HW479" s="1903"/>
      <c r="HX479" s="1903"/>
      <c r="HY479" s="1903"/>
      <c r="HZ479" s="1903"/>
      <c r="IA479" s="1903"/>
      <c r="IB479" s="1903"/>
      <c r="IC479" s="1903"/>
      <c r="ID479" s="1903"/>
      <c r="IE479" s="1903"/>
      <c r="IF479" s="1903"/>
      <c r="IG479" s="1903"/>
      <c r="IH479" s="1903"/>
      <c r="II479" s="1903"/>
      <c r="IJ479" s="1903"/>
      <c r="IK479" s="1903"/>
      <c r="IL479" s="1903"/>
      <c r="IM479" s="1903"/>
      <c r="IN479" s="1903"/>
      <c r="IO479" s="1903"/>
      <c r="IP479" s="1903"/>
      <c r="IQ479" s="1903"/>
      <c r="IR479" s="1903"/>
      <c r="IS479" s="1903"/>
      <c r="IT479" s="1903"/>
      <c r="IU479" s="1903"/>
      <c r="IV479" s="1903"/>
    </row>
    <row r="480" spans="1:256" s="1897" customFormat="1" ht="27" customHeight="1">
      <c r="A480" s="2025"/>
      <c r="B480" s="2026"/>
      <c r="C480" s="2027"/>
      <c r="D480" s="2027" t="s">
        <v>2908</v>
      </c>
      <c r="E480" s="2027"/>
      <c r="F480" s="2028"/>
      <c r="G480" s="2029"/>
      <c r="H480" s="2029"/>
      <c r="I480" s="2030"/>
      <c r="J480" s="2031"/>
    </row>
    <row r="481" spans="1:256" s="1990" customFormat="1" ht="13.5" customHeight="1">
      <c r="A481" s="1910">
        <v>114</v>
      </c>
      <c r="B481" s="1991" t="s">
        <v>2048</v>
      </c>
      <c r="C481" s="1325" t="s">
        <v>2931</v>
      </c>
      <c r="D481" s="2032" t="s">
        <v>2932</v>
      </c>
      <c r="E481" s="2032" t="s">
        <v>210</v>
      </c>
      <c r="F481" s="1327">
        <f>SUM(F483:F483)</f>
        <v>1</v>
      </c>
      <c r="G481" s="2033"/>
      <c r="H481" s="2033">
        <f>F481*G481</f>
        <v>0</v>
      </c>
      <c r="I481" s="1993" t="s">
        <v>112</v>
      </c>
      <c r="J481" s="2034"/>
    </row>
    <row r="482" spans="1:256" s="1990" customFormat="1" ht="13.5" customHeight="1">
      <c r="A482" s="2035"/>
      <c r="B482" s="2026"/>
      <c r="C482" s="2027"/>
      <c r="D482" s="2027" t="s">
        <v>2933</v>
      </c>
      <c r="E482" s="2027"/>
      <c r="F482" s="2036"/>
      <c r="G482" s="2029"/>
      <c r="H482" s="2029"/>
      <c r="I482" s="2030"/>
    </row>
    <row r="483" spans="1:256" s="1904" customFormat="1" ht="13.5" customHeight="1">
      <c r="A483" s="1898"/>
      <c r="B483" s="1899"/>
      <c r="C483" s="1899"/>
      <c r="D483" s="1899" t="s">
        <v>2686</v>
      </c>
      <c r="E483" s="1899"/>
      <c r="F483" s="1900">
        <v>1</v>
      </c>
      <c r="G483" s="1901"/>
      <c r="H483" s="1901"/>
      <c r="I483" s="1905"/>
      <c r="J483" s="852"/>
      <c r="K483" s="1291"/>
      <c r="L483" s="1291"/>
      <c r="M483" s="1291"/>
      <c r="N483" s="1291"/>
      <c r="O483" s="1291"/>
      <c r="P483" s="1291"/>
      <c r="Q483" s="1291"/>
      <c r="R483" s="1291"/>
      <c r="S483" s="1291"/>
      <c r="T483" s="1291"/>
      <c r="U483" s="1291"/>
      <c r="V483" s="1291"/>
      <c r="W483" s="1291"/>
      <c r="X483" s="1291"/>
      <c r="Y483" s="1291"/>
      <c r="Z483" s="1291"/>
      <c r="AA483" s="1291"/>
      <c r="AB483" s="1291"/>
      <c r="AC483" s="1291"/>
      <c r="AD483" s="1291"/>
      <c r="AE483" s="1291"/>
      <c r="AF483" s="1291"/>
      <c r="AG483" s="1291"/>
      <c r="AH483" s="1291"/>
      <c r="AI483" s="1291"/>
      <c r="AJ483" s="1291"/>
      <c r="AK483" s="1291"/>
      <c r="AL483" s="1291"/>
      <c r="AM483" s="1291"/>
      <c r="AN483" s="1291"/>
      <c r="AO483" s="1291"/>
      <c r="AP483" s="1291"/>
      <c r="AQ483" s="1291"/>
      <c r="AR483" s="1903"/>
      <c r="AS483" s="1903"/>
      <c r="AT483" s="1903"/>
      <c r="AU483" s="1903"/>
      <c r="AV483" s="1903"/>
      <c r="AW483" s="1903"/>
      <c r="AX483" s="1903"/>
      <c r="AY483" s="1903"/>
      <c r="AZ483" s="1903"/>
      <c r="BA483" s="1903"/>
      <c r="BB483" s="1903"/>
      <c r="BC483" s="1903"/>
      <c r="BD483" s="1903"/>
      <c r="BE483" s="1903"/>
      <c r="BF483" s="1903"/>
      <c r="BG483" s="1903"/>
      <c r="BH483" s="1903"/>
      <c r="BI483" s="1903"/>
      <c r="BJ483" s="1903"/>
      <c r="BK483" s="1903"/>
      <c r="BL483" s="1903"/>
      <c r="BM483" s="1903"/>
      <c r="BN483" s="1903"/>
      <c r="BO483" s="1903"/>
      <c r="BP483" s="1903"/>
      <c r="BQ483" s="1903"/>
      <c r="BR483" s="1903"/>
      <c r="BS483" s="1903"/>
      <c r="BT483" s="1903"/>
      <c r="BU483" s="1903"/>
      <c r="BV483" s="1903"/>
      <c r="BW483" s="1903"/>
      <c r="BX483" s="1903"/>
      <c r="BY483" s="1903"/>
      <c r="BZ483" s="1903"/>
      <c r="CA483" s="1903"/>
      <c r="CB483" s="1903"/>
      <c r="CC483" s="1903"/>
      <c r="CD483" s="1903"/>
      <c r="CE483" s="1903"/>
      <c r="CF483" s="1903"/>
      <c r="CG483" s="1903"/>
      <c r="CH483" s="1903"/>
      <c r="CI483" s="1903"/>
      <c r="CJ483" s="1903"/>
      <c r="CK483" s="1903"/>
      <c r="CL483" s="1903"/>
      <c r="CM483" s="1903"/>
      <c r="CN483" s="1903"/>
      <c r="CO483" s="1903"/>
      <c r="CP483" s="1903"/>
      <c r="CQ483" s="1903"/>
      <c r="CR483" s="1903"/>
      <c r="CS483" s="1903"/>
      <c r="CT483" s="1903"/>
      <c r="CU483" s="1903"/>
      <c r="CV483" s="1903"/>
      <c r="CW483" s="1903"/>
      <c r="CX483" s="1903"/>
      <c r="CY483" s="1903"/>
      <c r="CZ483" s="1903"/>
      <c r="DA483" s="1903"/>
      <c r="DB483" s="1903"/>
      <c r="DC483" s="1903"/>
      <c r="DD483" s="1903"/>
      <c r="DE483" s="1903"/>
      <c r="DF483" s="1903"/>
      <c r="DG483" s="1903"/>
      <c r="DH483" s="1903"/>
      <c r="DI483" s="1903"/>
      <c r="DJ483" s="1903"/>
      <c r="DK483" s="1903"/>
      <c r="DL483" s="1903"/>
      <c r="DM483" s="1903"/>
      <c r="DN483" s="1903"/>
      <c r="DO483" s="1903"/>
      <c r="DP483" s="1903"/>
      <c r="DQ483" s="1903"/>
      <c r="DR483" s="1903"/>
      <c r="DS483" s="1903"/>
      <c r="DT483" s="1903"/>
      <c r="DU483" s="1903"/>
      <c r="DV483" s="1903"/>
      <c r="DW483" s="1903"/>
      <c r="DX483" s="1903"/>
      <c r="DY483" s="1903"/>
      <c r="DZ483" s="1903"/>
      <c r="EA483" s="1903"/>
      <c r="EB483" s="1903"/>
      <c r="EC483" s="1903"/>
      <c r="ED483" s="1903"/>
      <c r="EE483" s="1903"/>
      <c r="EF483" s="1903"/>
      <c r="EG483" s="1903"/>
      <c r="EH483" s="1903"/>
      <c r="EI483" s="1903"/>
      <c r="EJ483" s="1903"/>
      <c r="EK483" s="1903"/>
      <c r="EL483" s="1903"/>
      <c r="EM483" s="1903"/>
      <c r="EN483" s="1903"/>
      <c r="EO483" s="1903"/>
      <c r="EP483" s="1903"/>
      <c r="EQ483" s="1903"/>
      <c r="ER483" s="1903"/>
      <c r="ES483" s="1903"/>
      <c r="ET483" s="1903"/>
      <c r="EU483" s="1903"/>
      <c r="EV483" s="1903"/>
      <c r="EW483" s="1903"/>
      <c r="EX483" s="1903"/>
      <c r="EY483" s="1903"/>
      <c r="EZ483" s="1903"/>
      <c r="FA483" s="1903"/>
      <c r="FB483" s="1903"/>
      <c r="FC483" s="1903"/>
      <c r="FD483" s="1903"/>
      <c r="FE483" s="1903"/>
      <c r="FF483" s="1903"/>
      <c r="FG483" s="1903"/>
      <c r="FH483" s="1903"/>
      <c r="FI483" s="1903"/>
      <c r="FJ483" s="1903"/>
      <c r="FK483" s="1903"/>
      <c r="FL483" s="1903"/>
      <c r="FM483" s="1903"/>
      <c r="FN483" s="1903"/>
      <c r="FO483" s="1903"/>
      <c r="FP483" s="1903"/>
      <c r="FQ483" s="1903"/>
      <c r="FR483" s="1903"/>
      <c r="FS483" s="1903"/>
      <c r="FT483" s="1903"/>
      <c r="FU483" s="1903"/>
      <c r="FV483" s="1903"/>
      <c r="FW483" s="1903"/>
      <c r="FX483" s="1903"/>
      <c r="FY483" s="1903"/>
      <c r="FZ483" s="1903"/>
      <c r="GA483" s="1903"/>
      <c r="GB483" s="1903"/>
      <c r="GC483" s="1903"/>
      <c r="GD483" s="1903"/>
      <c r="GE483" s="1903"/>
      <c r="GF483" s="1903"/>
      <c r="GG483" s="1903"/>
      <c r="GH483" s="1903"/>
      <c r="GI483" s="1903"/>
      <c r="GJ483" s="1903"/>
      <c r="GK483" s="1903"/>
      <c r="GL483" s="1903"/>
      <c r="GM483" s="1903"/>
      <c r="GN483" s="1903"/>
      <c r="GO483" s="1903"/>
      <c r="GP483" s="1903"/>
      <c r="GQ483" s="1903"/>
      <c r="GR483" s="1903"/>
      <c r="GS483" s="1903"/>
      <c r="GT483" s="1903"/>
      <c r="GU483" s="1903"/>
      <c r="GV483" s="1903"/>
      <c r="GW483" s="1903"/>
      <c r="GX483" s="1903"/>
      <c r="GY483" s="1903"/>
      <c r="GZ483" s="1903"/>
      <c r="HA483" s="1903"/>
      <c r="HB483" s="1903"/>
      <c r="HC483" s="1903"/>
      <c r="HD483" s="1903"/>
      <c r="HE483" s="1903"/>
      <c r="HF483" s="1903"/>
      <c r="HG483" s="1903"/>
      <c r="HH483" s="1903"/>
      <c r="HI483" s="1903"/>
      <c r="HJ483" s="1903"/>
      <c r="HK483" s="1903"/>
      <c r="HL483" s="1903"/>
      <c r="HM483" s="1903"/>
      <c r="HN483" s="1903"/>
      <c r="HO483" s="1903"/>
      <c r="HP483" s="1903"/>
      <c r="HQ483" s="1903"/>
      <c r="HR483" s="1903"/>
      <c r="HS483" s="1903"/>
      <c r="HT483" s="1903"/>
      <c r="HU483" s="1903"/>
      <c r="HV483" s="1903"/>
      <c r="HW483" s="1903"/>
      <c r="HX483" s="1903"/>
      <c r="HY483" s="1903"/>
      <c r="HZ483" s="1903"/>
      <c r="IA483" s="1903"/>
      <c r="IB483" s="1903"/>
      <c r="IC483" s="1903"/>
      <c r="ID483" s="1903"/>
      <c r="IE483" s="1903"/>
      <c r="IF483" s="1903"/>
      <c r="IG483" s="1903"/>
      <c r="IH483" s="1903"/>
      <c r="II483" s="1903"/>
      <c r="IJ483" s="1903"/>
      <c r="IK483" s="1903"/>
      <c r="IL483" s="1903"/>
      <c r="IM483" s="1903"/>
      <c r="IN483" s="1903"/>
      <c r="IO483" s="1903"/>
      <c r="IP483" s="1903"/>
      <c r="IQ483" s="1903"/>
      <c r="IR483" s="1903"/>
      <c r="IS483" s="1903"/>
      <c r="IT483" s="1903"/>
      <c r="IU483" s="1903"/>
      <c r="IV483" s="1903"/>
    </row>
    <row r="484" spans="1:256" s="1897" customFormat="1" ht="27" customHeight="1">
      <c r="A484" s="2025"/>
      <c r="B484" s="2026"/>
      <c r="C484" s="2027"/>
      <c r="D484" s="2027" t="s">
        <v>2927</v>
      </c>
      <c r="E484" s="2027"/>
      <c r="F484" s="2028"/>
      <c r="G484" s="2029"/>
      <c r="H484" s="2029"/>
      <c r="I484" s="2030"/>
      <c r="J484" s="2031"/>
    </row>
    <row r="485" spans="1:256" s="1990" customFormat="1" ht="13.5" customHeight="1">
      <c r="A485" s="1910">
        <v>115</v>
      </c>
      <c r="B485" s="1991" t="s">
        <v>2048</v>
      </c>
      <c r="C485" s="1325" t="s">
        <v>2934</v>
      </c>
      <c r="D485" s="2032" t="s">
        <v>2935</v>
      </c>
      <c r="E485" s="2032" t="s">
        <v>210</v>
      </c>
      <c r="F485" s="1327">
        <f>SUM(F487:F487)</f>
        <v>2</v>
      </c>
      <c r="G485" s="2033"/>
      <c r="H485" s="2033">
        <f>F485*G485</f>
        <v>0</v>
      </c>
      <c r="I485" s="1993" t="s">
        <v>112</v>
      </c>
      <c r="J485" s="2034"/>
    </row>
    <row r="486" spans="1:256" s="1990" customFormat="1" ht="13.5" customHeight="1">
      <c r="A486" s="2035"/>
      <c r="B486" s="2026"/>
      <c r="C486" s="2027"/>
      <c r="D486" s="2027" t="s">
        <v>2936</v>
      </c>
      <c r="E486" s="2027"/>
      <c r="F486" s="2036"/>
      <c r="G486" s="2029"/>
      <c r="H486" s="2029"/>
      <c r="I486" s="2030"/>
    </row>
    <row r="487" spans="1:256" s="1904" customFormat="1" ht="13.5" customHeight="1">
      <c r="A487" s="1898"/>
      <c r="B487" s="1899"/>
      <c r="C487" s="1899"/>
      <c r="D487" s="1899" t="s">
        <v>2686</v>
      </c>
      <c r="E487" s="1899"/>
      <c r="F487" s="1900">
        <v>2</v>
      </c>
      <c r="G487" s="1901"/>
      <c r="H487" s="1901"/>
      <c r="I487" s="1905"/>
      <c r="J487" s="852"/>
      <c r="K487" s="1291"/>
      <c r="L487" s="1291"/>
      <c r="M487" s="1291"/>
      <c r="N487" s="1291"/>
      <c r="O487" s="1291"/>
      <c r="P487" s="1291"/>
      <c r="Q487" s="1291"/>
      <c r="R487" s="1291"/>
      <c r="S487" s="1291"/>
      <c r="T487" s="1291"/>
      <c r="U487" s="1291"/>
      <c r="V487" s="1291"/>
      <c r="W487" s="1291"/>
      <c r="X487" s="1291"/>
      <c r="Y487" s="1291"/>
      <c r="Z487" s="1291"/>
      <c r="AA487" s="1291"/>
      <c r="AB487" s="1291"/>
      <c r="AC487" s="1291"/>
      <c r="AD487" s="1291"/>
      <c r="AE487" s="1291"/>
      <c r="AF487" s="1291"/>
      <c r="AG487" s="1291"/>
      <c r="AH487" s="1291"/>
      <c r="AI487" s="1291"/>
      <c r="AJ487" s="1291"/>
      <c r="AK487" s="1291"/>
      <c r="AL487" s="1291"/>
      <c r="AM487" s="1291"/>
      <c r="AN487" s="1291"/>
      <c r="AO487" s="1291"/>
      <c r="AP487" s="1291"/>
      <c r="AQ487" s="1291"/>
      <c r="AR487" s="1903"/>
      <c r="AS487" s="1903"/>
      <c r="AT487" s="1903"/>
      <c r="AU487" s="1903"/>
      <c r="AV487" s="1903"/>
      <c r="AW487" s="1903"/>
      <c r="AX487" s="1903"/>
      <c r="AY487" s="1903"/>
      <c r="AZ487" s="1903"/>
      <c r="BA487" s="1903"/>
      <c r="BB487" s="1903"/>
      <c r="BC487" s="1903"/>
      <c r="BD487" s="1903"/>
      <c r="BE487" s="1903"/>
      <c r="BF487" s="1903"/>
      <c r="BG487" s="1903"/>
      <c r="BH487" s="1903"/>
      <c r="BI487" s="1903"/>
      <c r="BJ487" s="1903"/>
      <c r="BK487" s="1903"/>
      <c r="BL487" s="1903"/>
      <c r="BM487" s="1903"/>
      <c r="BN487" s="1903"/>
      <c r="BO487" s="1903"/>
      <c r="BP487" s="1903"/>
      <c r="BQ487" s="1903"/>
      <c r="BR487" s="1903"/>
      <c r="BS487" s="1903"/>
      <c r="BT487" s="1903"/>
      <c r="BU487" s="1903"/>
      <c r="BV487" s="1903"/>
      <c r="BW487" s="1903"/>
      <c r="BX487" s="1903"/>
      <c r="BY487" s="1903"/>
      <c r="BZ487" s="1903"/>
      <c r="CA487" s="1903"/>
      <c r="CB487" s="1903"/>
      <c r="CC487" s="1903"/>
      <c r="CD487" s="1903"/>
      <c r="CE487" s="1903"/>
      <c r="CF487" s="1903"/>
      <c r="CG487" s="1903"/>
      <c r="CH487" s="1903"/>
      <c r="CI487" s="1903"/>
      <c r="CJ487" s="1903"/>
      <c r="CK487" s="1903"/>
      <c r="CL487" s="1903"/>
      <c r="CM487" s="1903"/>
      <c r="CN487" s="1903"/>
      <c r="CO487" s="1903"/>
      <c r="CP487" s="1903"/>
      <c r="CQ487" s="1903"/>
      <c r="CR487" s="1903"/>
      <c r="CS487" s="1903"/>
      <c r="CT487" s="1903"/>
      <c r="CU487" s="1903"/>
      <c r="CV487" s="1903"/>
      <c r="CW487" s="1903"/>
      <c r="CX487" s="1903"/>
      <c r="CY487" s="1903"/>
      <c r="CZ487" s="1903"/>
      <c r="DA487" s="1903"/>
      <c r="DB487" s="1903"/>
      <c r="DC487" s="1903"/>
      <c r="DD487" s="1903"/>
      <c r="DE487" s="1903"/>
      <c r="DF487" s="1903"/>
      <c r="DG487" s="1903"/>
      <c r="DH487" s="1903"/>
      <c r="DI487" s="1903"/>
      <c r="DJ487" s="1903"/>
      <c r="DK487" s="1903"/>
      <c r="DL487" s="1903"/>
      <c r="DM487" s="1903"/>
      <c r="DN487" s="1903"/>
      <c r="DO487" s="1903"/>
      <c r="DP487" s="1903"/>
      <c r="DQ487" s="1903"/>
      <c r="DR487" s="1903"/>
      <c r="DS487" s="1903"/>
      <c r="DT487" s="1903"/>
      <c r="DU487" s="1903"/>
      <c r="DV487" s="1903"/>
      <c r="DW487" s="1903"/>
      <c r="DX487" s="1903"/>
      <c r="DY487" s="1903"/>
      <c r="DZ487" s="1903"/>
      <c r="EA487" s="1903"/>
      <c r="EB487" s="1903"/>
      <c r="EC487" s="1903"/>
      <c r="ED487" s="1903"/>
      <c r="EE487" s="1903"/>
      <c r="EF487" s="1903"/>
      <c r="EG487" s="1903"/>
      <c r="EH487" s="1903"/>
      <c r="EI487" s="1903"/>
      <c r="EJ487" s="1903"/>
      <c r="EK487" s="1903"/>
      <c r="EL487" s="1903"/>
      <c r="EM487" s="1903"/>
      <c r="EN487" s="1903"/>
      <c r="EO487" s="1903"/>
      <c r="EP487" s="1903"/>
      <c r="EQ487" s="1903"/>
      <c r="ER487" s="1903"/>
      <c r="ES487" s="1903"/>
      <c r="ET487" s="1903"/>
      <c r="EU487" s="1903"/>
      <c r="EV487" s="1903"/>
      <c r="EW487" s="1903"/>
      <c r="EX487" s="1903"/>
      <c r="EY487" s="1903"/>
      <c r="EZ487" s="1903"/>
      <c r="FA487" s="1903"/>
      <c r="FB487" s="1903"/>
      <c r="FC487" s="1903"/>
      <c r="FD487" s="1903"/>
      <c r="FE487" s="1903"/>
      <c r="FF487" s="1903"/>
      <c r="FG487" s="1903"/>
      <c r="FH487" s="1903"/>
      <c r="FI487" s="1903"/>
      <c r="FJ487" s="1903"/>
      <c r="FK487" s="1903"/>
      <c r="FL487" s="1903"/>
      <c r="FM487" s="1903"/>
      <c r="FN487" s="1903"/>
      <c r="FO487" s="1903"/>
      <c r="FP487" s="1903"/>
      <c r="FQ487" s="1903"/>
      <c r="FR487" s="1903"/>
      <c r="FS487" s="1903"/>
      <c r="FT487" s="1903"/>
      <c r="FU487" s="1903"/>
      <c r="FV487" s="1903"/>
      <c r="FW487" s="1903"/>
      <c r="FX487" s="1903"/>
      <c r="FY487" s="1903"/>
      <c r="FZ487" s="1903"/>
      <c r="GA487" s="1903"/>
      <c r="GB487" s="1903"/>
      <c r="GC487" s="1903"/>
      <c r="GD487" s="1903"/>
      <c r="GE487" s="1903"/>
      <c r="GF487" s="1903"/>
      <c r="GG487" s="1903"/>
      <c r="GH487" s="1903"/>
      <c r="GI487" s="1903"/>
      <c r="GJ487" s="1903"/>
      <c r="GK487" s="1903"/>
      <c r="GL487" s="1903"/>
      <c r="GM487" s="1903"/>
      <c r="GN487" s="1903"/>
      <c r="GO487" s="1903"/>
      <c r="GP487" s="1903"/>
      <c r="GQ487" s="1903"/>
      <c r="GR487" s="1903"/>
      <c r="GS487" s="1903"/>
      <c r="GT487" s="1903"/>
      <c r="GU487" s="1903"/>
      <c r="GV487" s="1903"/>
      <c r="GW487" s="1903"/>
      <c r="GX487" s="1903"/>
      <c r="GY487" s="1903"/>
      <c r="GZ487" s="1903"/>
      <c r="HA487" s="1903"/>
      <c r="HB487" s="1903"/>
      <c r="HC487" s="1903"/>
      <c r="HD487" s="1903"/>
      <c r="HE487" s="1903"/>
      <c r="HF487" s="1903"/>
      <c r="HG487" s="1903"/>
      <c r="HH487" s="1903"/>
      <c r="HI487" s="1903"/>
      <c r="HJ487" s="1903"/>
      <c r="HK487" s="1903"/>
      <c r="HL487" s="1903"/>
      <c r="HM487" s="1903"/>
      <c r="HN487" s="1903"/>
      <c r="HO487" s="1903"/>
      <c r="HP487" s="1903"/>
      <c r="HQ487" s="1903"/>
      <c r="HR487" s="1903"/>
      <c r="HS487" s="1903"/>
      <c r="HT487" s="1903"/>
      <c r="HU487" s="1903"/>
      <c r="HV487" s="1903"/>
      <c r="HW487" s="1903"/>
      <c r="HX487" s="1903"/>
      <c r="HY487" s="1903"/>
      <c r="HZ487" s="1903"/>
      <c r="IA487" s="1903"/>
      <c r="IB487" s="1903"/>
      <c r="IC487" s="1903"/>
      <c r="ID487" s="1903"/>
      <c r="IE487" s="1903"/>
      <c r="IF487" s="1903"/>
      <c r="IG487" s="1903"/>
      <c r="IH487" s="1903"/>
      <c r="II487" s="1903"/>
      <c r="IJ487" s="1903"/>
      <c r="IK487" s="1903"/>
      <c r="IL487" s="1903"/>
      <c r="IM487" s="1903"/>
      <c r="IN487" s="1903"/>
      <c r="IO487" s="1903"/>
      <c r="IP487" s="1903"/>
      <c r="IQ487" s="1903"/>
      <c r="IR487" s="1903"/>
      <c r="IS487" s="1903"/>
      <c r="IT487" s="1903"/>
      <c r="IU487" s="1903"/>
      <c r="IV487" s="1903"/>
    </row>
    <row r="488" spans="1:256" s="1897" customFormat="1" ht="27" customHeight="1">
      <c r="A488" s="2025"/>
      <c r="B488" s="2026"/>
      <c r="C488" s="2027"/>
      <c r="D488" s="2027" t="s">
        <v>2904</v>
      </c>
      <c r="E488" s="2027"/>
      <c r="F488" s="2028"/>
      <c r="G488" s="2029"/>
      <c r="H488" s="2029"/>
      <c r="I488" s="2030"/>
      <c r="J488" s="2031"/>
    </row>
    <row r="489" spans="1:256" s="1990" customFormat="1" ht="13.5" customHeight="1">
      <c r="A489" s="1910">
        <v>116</v>
      </c>
      <c r="B489" s="1991" t="s">
        <v>2048</v>
      </c>
      <c r="C489" s="1325" t="s">
        <v>2937</v>
      </c>
      <c r="D489" s="2032" t="s">
        <v>2938</v>
      </c>
      <c r="E489" s="2032" t="s">
        <v>210</v>
      </c>
      <c r="F489" s="1327">
        <f>SUM(F491:F491)</f>
        <v>1</v>
      </c>
      <c r="G489" s="2033"/>
      <c r="H489" s="2033">
        <f>F489*G489</f>
        <v>0</v>
      </c>
      <c r="I489" s="1993" t="s">
        <v>112</v>
      </c>
      <c r="J489" s="2034"/>
    </row>
    <row r="490" spans="1:256" s="1990" customFormat="1" ht="13.5" customHeight="1">
      <c r="A490" s="2035"/>
      <c r="B490" s="2026"/>
      <c r="C490" s="2027"/>
      <c r="D490" s="2027" t="s">
        <v>2939</v>
      </c>
      <c r="E490" s="2027"/>
      <c r="F490" s="2036"/>
      <c r="G490" s="2029"/>
      <c r="H490" s="2029"/>
      <c r="I490" s="2030"/>
    </row>
    <row r="491" spans="1:256" s="1904" customFormat="1" ht="13.5" customHeight="1">
      <c r="A491" s="1898"/>
      <c r="B491" s="1899"/>
      <c r="C491" s="1899"/>
      <c r="D491" s="1899" t="s">
        <v>2686</v>
      </c>
      <c r="E491" s="1899"/>
      <c r="F491" s="1900">
        <v>1</v>
      </c>
      <c r="G491" s="1901"/>
      <c r="H491" s="1901"/>
      <c r="I491" s="1905"/>
      <c r="J491" s="852"/>
      <c r="K491" s="1291"/>
      <c r="L491" s="1291"/>
      <c r="M491" s="1291"/>
      <c r="N491" s="1291"/>
      <c r="O491" s="1291"/>
      <c r="P491" s="1291"/>
      <c r="Q491" s="1291"/>
      <c r="R491" s="1291"/>
      <c r="S491" s="1291"/>
      <c r="T491" s="1291"/>
      <c r="U491" s="1291"/>
      <c r="V491" s="1291"/>
      <c r="W491" s="1291"/>
      <c r="X491" s="1291"/>
      <c r="Y491" s="1291"/>
      <c r="Z491" s="1291"/>
      <c r="AA491" s="1291"/>
      <c r="AB491" s="1291"/>
      <c r="AC491" s="1291"/>
      <c r="AD491" s="1291"/>
      <c r="AE491" s="1291"/>
      <c r="AF491" s="1291"/>
      <c r="AG491" s="1291"/>
      <c r="AH491" s="1291"/>
      <c r="AI491" s="1291"/>
      <c r="AJ491" s="1291"/>
      <c r="AK491" s="1291"/>
      <c r="AL491" s="1291"/>
      <c r="AM491" s="1291"/>
      <c r="AN491" s="1291"/>
      <c r="AO491" s="1291"/>
      <c r="AP491" s="1291"/>
      <c r="AQ491" s="1291"/>
      <c r="AR491" s="1903"/>
      <c r="AS491" s="1903"/>
      <c r="AT491" s="1903"/>
      <c r="AU491" s="1903"/>
      <c r="AV491" s="1903"/>
      <c r="AW491" s="1903"/>
      <c r="AX491" s="1903"/>
      <c r="AY491" s="1903"/>
      <c r="AZ491" s="1903"/>
      <c r="BA491" s="1903"/>
      <c r="BB491" s="1903"/>
      <c r="BC491" s="1903"/>
      <c r="BD491" s="1903"/>
      <c r="BE491" s="1903"/>
      <c r="BF491" s="1903"/>
      <c r="BG491" s="1903"/>
      <c r="BH491" s="1903"/>
      <c r="BI491" s="1903"/>
      <c r="BJ491" s="1903"/>
      <c r="BK491" s="1903"/>
      <c r="BL491" s="1903"/>
      <c r="BM491" s="1903"/>
      <c r="BN491" s="1903"/>
      <c r="BO491" s="1903"/>
      <c r="BP491" s="1903"/>
      <c r="BQ491" s="1903"/>
      <c r="BR491" s="1903"/>
      <c r="BS491" s="1903"/>
      <c r="BT491" s="1903"/>
      <c r="BU491" s="1903"/>
      <c r="BV491" s="1903"/>
      <c r="BW491" s="1903"/>
      <c r="BX491" s="1903"/>
      <c r="BY491" s="1903"/>
      <c r="BZ491" s="1903"/>
      <c r="CA491" s="1903"/>
      <c r="CB491" s="1903"/>
      <c r="CC491" s="1903"/>
      <c r="CD491" s="1903"/>
      <c r="CE491" s="1903"/>
      <c r="CF491" s="1903"/>
      <c r="CG491" s="1903"/>
      <c r="CH491" s="1903"/>
      <c r="CI491" s="1903"/>
      <c r="CJ491" s="1903"/>
      <c r="CK491" s="1903"/>
      <c r="CL491" s="1903"/>
      <c r="CM491" s="1903"/>
      <c r="CN491" s="1903"/>
      <c r="CO491" s="1903"/>
      <c r="CP491" s="1903"/>
      <c r="CQ491" s="1903"/>
      <c r="CR491" s="1903"/>
      <c r="CS491" s="1903"/>
      <c r="CT491" s="1903"/>
      <c r="CU491" s="1903"/>
      <c r="CV491" s="1903"/>
      <c r="CW491" s="1903"/>
      <c r="CX491" s="1903"/>
      <c r="CY491" s="1903"/>
      <c r="CZ491" s="1903"/>
      <c r="DA491" s="1903"/>
      <c r="DB491" s="1903"/>
      <c r="DC491" s="1903"/>
      <c r="DD491" s="1903"/>
      <c r="DE491" s="1903"/>
      <c r="DF491" s="1903"/>
      <c r="DG491" s="1903"/>
      <c r="DH491" s="1903"/>
      <c r="DI491" s="1903"/>
      <c r="DJ491" s="1903"/>
      <c r="DK491" s="1903"/>
      <c r="DL491" s="1903"/>
      <c r="DM491" s="1903"/>
      <c r="DN491" s="1903"/>
      <c r="DO491" s="1903"/>
      <c r="DP491" s="1903"/>
      <c r="DQ491" s="1903"/>
      <c r="DR491" s="1903"/>
      <c r="DS491" s="1903"/>
      <c r="DT491" s="1903"/>
      <c r="DU491" s="1903"/>
      <c r="DV491" s="1903"/>
      <c r="DW491" s="1903"/>
      <c r="DX491" s="1903"/>
      <c r="DY491" s="1903"/>
      <c r="DZ491" s="1903"/>
      <c r="EA491" s="1903"/>
      <c r="EB491" s="1903"/>
      <c r="EC491" s="1903"/>
      <c r="ED491" s="1903"/>
      <c r="EE491" s="1903"/>
      <c r="EF491" s="1903"/>
      <c r="EG491" s="1903"/>
      <c r="EH491" s="1903"/>
      <c r="EI491" s="1903"/>
      <c r="EJ491" s="1903"/>
      <c r="EK491" s="1903"/>
      <c r="EL491" s="1903"/>
      <c r="EM491" s="1903"/>
      <c r="EN491" s="1903"/>
      <c r="EO491" s="1903"/>
      <c r="EP491" s="1903"/>
      <c r="EQ491" s="1903"/>
      <c r="ER491" s="1903"/>
      <c r="ES491" s="1903"/>
      <c r="ET491" s="1903"/>
      <c r="EU491" s="1903"/>
      <c r="EV491" s="1903"/>
      <c r="EW491" s="1903"/>
      <c r="EX491" s="1903"/>
      <c r="EY491" s="1903"/>
      <c r="EZ491" s="1903"/>
      <c r="FA491" s="1903"/>
      <c r="FB491" s="1903"/>
      <c r="FC491" s="1903"/>
      <c r="FD491" s="1903"/>
      <c r="FE491" s="1903"/>
      <c r="FF491" s="1903"/>
      <c r="FG491" s="1903"/>
      <c r="FH491" s="1903"/>
      <c r="FI491" s="1903"/>
      <c r="FJ491" s="1903"/>
      <c r="FK491" s="1903"/>
      <c r="FL491" s="1903"/>
      <c r="FM491" s="1903"/>
      <c r="FN491" s="1903"/>
      <c r="FO491" s="1903"/>
      <c r="FP491" s="1903"/>
      <c r="FQ491" s="1903"/>
      <c r="FR491" s="1903"/>
      <c r="FS491" s="1903"/>
      <c r="FT491" s="1903"/>
      <c r="FU491" s="1903"/>
      <c r="FV491" s="1903"/>
      <c r="FW491" s="1903"/>
      <c r="FX491" s="1903"/>
      <c r="FY491" s="1903"/>
      <c r="FZ491" s="1903"/>
      <c r="GA491" s="1903"/>
      <c r="GB491" s="1903"/>
      <c r="GC491" s="1903"/>
      <c r="GD491" s="1903"/>
      <c r="GE491" s="1903"/>
      <c r="GF491" s="1903"/>
      <c r="GG491" s="1903"/>
      <c r="GH491" s="1903"/>
      <c r="GI491" s="1903"/>
      <c r="GJ491" s="1903"/>
      <c r="GK491" s="1903"/>
      <c r="GL491" s="1903"/>
      <c r="GM491" s="1903"/>
      <c r="GN491" s="1903"/>
      <c r="GO491" s="1903"/>
      <c r="GP491" s="1903"/>
      <c r="GQ491" s="1903"/>
      <c r="GR491" s="1903"/>
      <c r="GS491" s="1903"/>
      <c r="GT491" s="1903"/>
      <c r="GU491" s="1903"/>
      <c r="GV491" s="1903"/>
      <c r="GW491" s="1903"/>
      <c r="GX491" s="1903"/>
      <c r="GY491" s="1903"/>
      <c r="GZ491" s="1903"/>
      <c r="HA491" s="1903"/>
      <c r="HB491" s="1903"/>
      <c r="HC491" s="1903"/>
      <c r="HD491" s="1903"/>
      <c r="HE491" s="1903"/>
      <c r="HF491" s="1903"/>
      <c r="HG491" s="1903"/>
      <c r="HH491" s="1903"/>
      <c r="HI491" s="1903"/>
      <c r="HJ491" s="1903"/>
      <c r="HK491" s="1903"/>
      <c r="HL491" s="1903"/>
      <c r="HM491" s="1903"/>
      <c r="HN491" s="1903"/>
      <c r="HO491" s="1903"/>
      <c r="HP491" s="1903"/>
      <c r="HQ491" s="1903"/>
      <c r="HR491" s="1903"/>
      <c r="HS491" s="1903"/>
      <c r="HT491" s="1903"/>
      <c r="HU491" s="1903"/>
      <c r="HV491" s="1903"/>
      <c r="HW491" s="1903"/>
      <c r="HX491" s="1903"/>
      <c r="HY491" s="1903"/>
      <c r="HZ491" s="1903"/>
      <c r="IA491" s="1903"/>
      <c r="IB491" s="1903"/>
      <c r="IC491" s="1903"/>
      <c r="ID491" s="1903"/>
      <c r="IE491" s="1903"/>
      <c r="IF491" s="1903"/>
      <c r="IG491" s="1903"/>
      <c r="IH491" s="1903"/>
      <c r="II491" s="1903"/>
      <c r="IJ491" s="1903"/>
      <c r="IK491" s="1903"/>
      <c r="IL491" s="1903"/>
      <c r="IM491" s="1903"/>
      <c r="IN491" s="1903"/>
      <c r="IO491" s="1903"/>
      <c r="IP491" s="1903"/>
      <c r="IQ491" s="1903"/>
      <c r="IR491" s="1903"/>
      <c r="IS491" s="1903"/>
      <c r="IT491" s="1903"/>
      <c r="IU491" s="1903"/>
      <c r="IV491" s="1903"/>
    </row>
    <row r="492" spans="1:256" s="1897" customFormat="1" ht="27" customHeight="1">
      <c r="A492" s="2025"/>
      <c r="B492" s="2026"/>
      <c r="C492" s="2027"/>
      <c r="D492" s="2027" t="s">
        <v>2940</v>
      </c>
      <c r="E492" s="2027"/>
      <c r="F492" s="2028"/>
      <c r="G492" s="2029"/>
      <c r="H492" s="2029"/>
      <c r="I492" s="2030"/>
      <c r="J492" s="2031"/>
    </row>
    <row r="493" spans="1:256" s="1990" customFormat="1" ht="27" customHeight="1">
      <c r="A493" s="1910">
        <v>117</v>
      </c>
      <c r="B493" s="1991" t="s">
        <v>2048</v>
      </c>
      <c r="C493" s="1325" t="s">
        <v>2941</v>
      </c>
      <c r="D493" s="2032" t="s">
        <v>2942</v>
      </c>
      <c r="E493" s="2032" t="s">
        <v>210</v>
      </c>
      <c r="F493" s="1327">
        <f>SUM(F495:F495)</f>
        <v>1</v>
      </c>
      <c r="G493" s="2033"/>
      <c r="H493" s="2033">
        <f>F493*G493</f>
        <v>0</v>
      </c>
      <c r="I493" s="1993" t="s">
        <v>112</v>
      </c>
      <c r="J493" s="2034"/>
    </row>
    <row r="494" spans="1:256" s="1990" customFormat="1" ht="13.5" customHeight="1">
      <c r="A494" s="2035"/>
      <c r="B494" s="2026"/>
      <c r="C494" s="2027"/>
      <c r="D494" s="2027" t="s">
        <v>2943</v>
      </c>
      <c r="E494" s="2027"/>
      <c r="F494" s="2036"/>
      <c r="G494" s="2029"/>
      <c r="H494" s="2029"/>
      <c r="I494" s="2030"/>
    </row>
    <row r="495" spans="1:256" s="1904" customFormat="1" ht="13.5" customHeight="1">
      <c r="A495" s="1898"/>
      <c r="B495" s="1899"/>
      <c r="C495" s="1899"/>
      <c r="D495" s="1899" t="s">
        <v>2686</v>
      </c>
      <c r="E495" s="1899"/>
      <c r="F495" s="1900">
        <v>1</v>
      </c>
      <c r="G495" s="1901"/>
      <c r="H495" s="1901"/>
      <c r="I495" s="1905"/>
      <c r="J495" s="852"/>
      <c r="K495" s="1291"/>
      <c r="L495" s="1291"/>
      <c r="M495" s="1291"/>
      <c r="N495" s="1291"/>
      <c r="O495" s="1291"/>
      <c r="P495" s="1291"/>
      <c r="Q495" s="1291"/>
      <c r="R495" s="1291"/>
      <c r="S495" s="1291"/>
      <c r="T495" s="1291"/>
      <c r="U495" s="1291"/>
      <c r="V495" s="1291"/>
      <c r="W495" s="1291"/>
      <c r="X495" s="1291"/>
      <c r="Y495" s="1291"/>
      <c r="Z495" s="1291"/>
      <c r="AA495" s="1291"/>
      <c r="AB495" s="1291"/>
      <c r="AC495" s="1291"/>
      <c r="AD495" s="1291"/>
      <c r="AE495" s="1291"/>
      <c r="AF495" s="1291"/>
      <c r="AG495" s="1291"/>
      <c r="AH495" s="1291"/>
      <c r="AI495" s="1291"/>
      <c r="AJ495" s="1291"/>
      <c r="AK495" s="1291"/>
      <c r="AL495" s="1291"/>
      <c r="AM495" s="1291"/>
      <c r="AN495" s="1291"/>
      <c r="AO495" s="1291"/>
      <c r="AP495" s="1291"/>
      <c r="AQ495" s="1291"/>
      <c r="AR495" s="1903"/>
      <c r="AS495" s="1903"/>
      <c r="AT495" s="1903"/>
      <c r="AU495" s="1903"/>
      <c r="AV495" s="1903"/>
      <c r="AW495" s="1903"/>
      <c r="AX495" s="1903"/>
      <c r="AY495" s="1903"/>
      <c r="AZ495" s="1903"/>
      <c r="BA495" s="1903"/>
      <c r="BB495" s="1903"/>
      <c r="BC495" s="1903"/>
      <c r="BD495" s="1903"/>
      <c r="BE495" s="1903"/>
      <c r="BF495" s="1903"/>
      <c r="BG495" s="1903"/>
      <c r="BH495" s="1903"/>
      <c r="BI495" s="1903"/>
      <c r="BJ495" s="1903"/>
      <c r="BK495" s="1903"/>
      <c r="BL495" s="1903"/>
      <c r="BM495" s="1903"/>
      <c r="BN495" s="1903"/>
      <c r="BO495" s="1903"/>
      <c r="BP495" s="1903"/>
      <c r="BQ495" s="1903"/>
      <c r="BR495" s="1903"/>
      <c r="BS495" s="1903"/>
      <c r="BT495" s="1903"/>
      <c r="BU495" s="1903"/>
      <c r="BV495" s="1903"/>
      <c r="BW495" s="1903"/>
      <c r="BX495" s="1903"/>
      <c r="BY495" s="1903"/>
      <c r="BZ495" s="1903"/>
      <c r="CA495" s="1903"/>
      <c r="CB495" s="1903"/>
      <c r="CC495" s="1903"/>
      <c r="CD495" s="1903"/>
      <c r="CE495" s="1903"/>
      <c r="CF495" s="1903"/>
      <c r="CG495" s="1903"/>
      <c r="CH495" s="1903"/>
      <c r="CI495" s="1903"/>
      <c r="CJ495" s="1903"/>
      <c r="CK495" s="1903"/>
      <c r="CL495" s="1903"/>
      <c r="CM495" s="1903"/>
      <c r="CN495" s="1903"/>
      <c r="CO495" s="1903"/>
      <c r="CP495" s="1903"/>
      <c r="CQ495" s="1903"/>
      <c r="CR495" s="1903"/>
      <c r="CS495" s="1903"/>
      <c r="CT495" s="1903"/>
      <c r="CU495" s="1903"/>
      <c r="CV495" s="1903"/>
      <c r="CW495" s="1903"/>
      <c r="CX495" s="1903"/>
      <c r="CY495" s="1903"/>
      <c r="CZ495" s="1903"/>
      <c r="DA495" s="1903"/>
      <c r="DB495" s="1903"/>
      <c r="DC495" s="1903"/>
      <c r="DD495" s="1903"/>
      <c r="DE495" s="1903"/>
      <c r="DF495" s="1903"/>
      <c r="DG495" s="1903"/>
      <c r="DH495" s="1903"/>
      <c r="DI495" s="1903"/>
      <c r="DJ495" s="1903"/>
      <c r="DK495" s="1903"/>
      <c r="DL495" s="1903"/>
      <c r="DM495" s="1903"/>
      <c r="DN495" s="1903"/>
      <c r="DO495" s="1903"/>
      <c r="DP495" s="1903"/>
      <c r="DQ495" s="1903"/>
      <c r="DR495" s="1903"/>
      <c r="DS495" s="1903"/>
      <c r="DT495" s="1903"/>
      <c r="DU495" s="1903"/>
      <c r="DV495" s="1903"/>
      <c r="DW495" s="1903"/>
      <c r="DX495" s="1903"/>
      <c r="DY495" s="1903"/>
      <c r="DZ495" s="1903"/>
      <c r="EA495" s="1903"/>
      <c r="EB495" s="1903"/>
      <c r="EC495" s="1903"/>
      <c r="ED495" s="1903"/>
      <c r="EE495" s="1903"/>
      <c r="EF495" s="1903"/>
      <c r="EG495" s="1903"/>
      <c r="EH495" s="1903"/>
      <c r="EI495" s="1903"/>
      <c r="EJ495" s="1903"/>
      <c r="EK495" s="1903"/>
      <c r="EL495" s="1903"/>
      <c r="EM495" s="1903"/>
      <c r="EN495" s="1903"/>
      <c r="EO495" s="1903"/>
      <c r="EP495" s="1903"/>
      <c r="EQ495" s="1903"/>
      <c r="ER495" s="1903"/>
      <c r="ES495" s="1903"/>
      <c r="ET495" s="1903"/>
      <c r="EU495" s="1903"/>
      <c r="EV495" s="1903"/>
      <c r="EW495" s="1903"/>
      <c r="EX495" s="1903"/>
      <c r="EY495" s="1903"/>
      <c r="EZ495" s="1903"/>
      <c r="FA495" s="1903"/>
      <c r="FB495" s="1903"/>
      <c r="FC495" s="1903"/>
      <c r="FD495" s="1903"/>
      <c r="FE495" s="1903"/>
      <c r="FF495" s="1903"/>
      <c r="FG495" s="1903"/>
      <c r="FH495" s="1903"/>
      <c r="FI495" s="1903"/>
      <c r="FJ495" s="1903"/>
      <c r="FK495" s="1903"/>
      <c r="FL495" s="1903"/>
      <c r="FM495" s="1903"/>
      <c r="FN495" s="1903"/>
      <c r="FO495" s="1903"/>
      <c r="FP495" s="1903"/>
      <c r="FQ495" s="1903"/>
      <c r="FR495" s="1903"/>
      <c r="FS495" s="1903"/>
      <c r="FT495" s="1903"/>
      <c r="FU495" s="1903"/>
      <c r="FV495" s="1903"/>
      <c r="FW495" s="1903"/>
      <c r="FX495" s="1903"/>
      <c r="FY495" s="1903"/>
      <c r="FZ495" s="1903"/>
      <c r="GA495" s="1903"/>
      <c r="GB495" s="1903"/>
      <c r="GC495" s="1903"/>
      <c r="GD495" s="1903"/>
      <c r="GE495" s="1903"/>
      <c r="GF495" s="1903"/>
      <c r="GG495" s="1903"/>
      <c r="GH495" s="1903"/>
      <c r="GI495" s="1903"/>
      <c r="GJ495" s="1903"/>
      <c r="GK495" s="1903"/>
      <c r="GL495" s="1903"/>
      <c r="GM495" s="1903"/>
      <c r="GN495" s="1903"/>
      <c r="GO495" s="1903"/>
      <c r="GP495" s="1903"/>
      <c r="GQ495" s="1903"/>
      <c r="GR495" s="1903"/>
      <c r="GS495" s="1903"/>
      <c r="GT495" s="1903"/>
      <c r="GU495" s="1903"/>
      <c r="GV495" s="1903"/>
      <c r="GW495" s="1903"/>
      <c r="GX495" s="1903"/>
      <c r="GY495" s="1903"/>
      <c r="GZ495" s="1903"/>
      <c r="HA495" s="1903"/>
      <c r="HB495" s="1903"/>
      <c r="HC495" s="1903"/>
      <c r="HD495" s="1903"/>
      <c r="HE495" s="1903"/>
      <c r="HF495" s="1903"/>
      <c r="HG495" s="1903"/>
      <c r="HH495" s="1903"/>
      <c r="HI495" s="1903"/>
      <c r="HJ495" s="1903"/>
      <c r="HK495" s="1903"/>
      <c r="HL495" s="1903"/>
      <c r="HM495" s="1903"/>
      <c r="HN495" s="1903"/>
      <c r="HO495" s="1903"/>
      <c r="HP495" s="1903"/>
      <c r="HQ495" s="1903"/>
      <c r="HR495" s="1903"/>
      <c r="HS495" s="1903"/>
      <c r="HT495" s="1903"/>
      <c r="HU495" s="1903"/>
      <c r="HV495" s="1903"/>
      <c r="HW495" s="1903"/>
      <c r="HX495" s="1903"/>
      <c r="HY495" s="1903"/>
      <c r="HZ495" s="1903"/>
      <c r="IA495" s="1903"/>
      <c r="IB495" s="1903"/>
      <c r="IC495" s="1903"/>
      <c r="ID495" s="1903"/>
      <c r="IE495" s="1903"/>
      <c r="IF495" s="1903"/>
      <c r="IG495" s="1903"/>
      <c r="IH495" s="1903"/>
      <c r="II495" s="1903"/>
      <c r="IJ495" s="1903"/>
      <c r="IK495" s="1903"/>
      <c r="IL495" s="1903"/>
      <c r="IM495" s="1903"/>
      <c r="IN495" s="1903"/>
      <c r="IO495" s="1903"/>
      <c r="IP495" s="1903"/>
      <c r="IQ495" s="1903"/>
      <c r="IR495" s="1903"/>
      <c r="IS495" s="1903"/>
      <c r="IT495" s="1903"/>
      <c r="IU495" s="1903"/>
      <c r="IV495" s="1903"/>
    </row>
    <row r="496" spans="1:256" s="1897" customFormat="1" ht="27" customHeight="1">
      <c r="A496" s="2025"/>
      <c r="B496" s="2026"/>
      <c r="C496" s="2027"/>
      <c r="D496" s="2027" t="s">
        <v>2904</v>
      </c>
      <c r="E496" s="2027"/>
      <c r="F496" s="2028"/>
      <c r="G496" s="2029"/>
      <c r="H496" s="2029"/>
      <c r="I496" s="2030"/>
      <c r="J496" s="2031"/>
    </row>
    <row r="497" spans="1:19" s="1341" customFormat="1" ht="13.5" customHeight="1">
      <c r="A497" s="1335">
        <v>118</v>
      </c>
      <c r="B497" s="1991" t="s">
        <v>2048</v>
      </c>
      <c r="C497" s="1325" t="s">
        <v>2944</v>
      </c>
      <c r="D497" s="1337" t="s">
        <v>2945</v>
      </c>
      <c r="E497" s="1337" t="s">
        <v>210</v>
      </c>
      <c r="F497" s="1327">
        <f>SUM(F499:F499)</f>
        <v>29</v>
      </c>
      <c r="G497" s="1339"/>
      <c r="H497" s="1339">
        <f>F497*G497</f>
        <v>0</v>
      </c>
      <c r="I497" s="1993" t="s">
        <v>112</v>
      </c>
      <c r="J497" s="1340"/>
      <c r="M497" s="1340"/>
    </row>
    <row r="498" spans="1:19" s="1341" customFormat="1" ht="13.5" customHeight="1">
      <c r="A498" s="1335"/>
      <c r="B498" s="1336"/>
      <c r="C498" s="1337"/>
      <c r="D498" s="1343" t="s">
        <v>2946</v>
      </c>
      <c r="E498" s="1337"/>
      <c r="G498" s="1339"/>
      <c r="H498" s="1339"/>
      <c r="I498" s="1345"/>
      <c r="J498" s="2037"/>
      <c r="K498" s="2038"/>
      <c r="L498" s="2038"/>
      <c r="M498" s="2039"/>
      <c r="N498" s="2040"/>
      <c r="O498" s="2040"/>
    </row>
    <row r="499" spans="1:19" s="1341" customFormat="1" ht="13.5" customHeight="1">
      <c r="A499" s="1335"/>
      <c r="B499" s="1336"/>
      <c r="C499" s="1337"/>
      <c r="D499" s="1343" t="s">
        <v>2947</v>
      </c>
      <c r="E499" s="1337"/>
      <c r="F499" s="1390">
        <f>(9+19+1)</f>
        <v>29</v>
      </c>
      <c r="G499" s="1339"/>
      <c r="H499" s="1339"/>
      <c r="I499" s="1345"/>
      <c r="J499" s="1896"/>
      <c r="K499" s="1896"/>
      <c r="L499" s="1896"/>
      <c r="M499" s="1896"/>
      <c r="N499" s="1896"/>
      <c r="O499" s="1896"/>
      <c r="P499" s="1896"/>
      <c r="Q499" s="1896"/>
      <c r="R499" s="1896"/>
      <c r="S499" s="1896"/>
    </row>
    <row r="500" spans="1:19" s="1897" customFormat="1" ht="40.5" customHeight="1">
      <c r="A500" s="1890"/>
      <c r="B500" s="1891"/>
      <c r="C500" s="342"/>
      <c r="D500" s="342" t="s">
        <v>2948</v>
      </c>
      <c r="E500" s="342"/>
      <c r="F500" s="1892"/>
      <c r="G500" s="1893"/>
      <c r="H500" s="1893"/>
      <c r="I500" s="1345"/>
      <c r="J500" s="2041"/>
    </row>
    <row r="501" spans="1:19" s="1341" customFormat="1" ht="13.5" customHeight="1">
      <c r="A501" s="1335">
        <v>119</v>
      </c>
      <c r="B501" s="1991" t="s">
        <v>2048</v>
      </c>
      <c r="C501" s="1325" t="s">
        <v>2949</v>
      </c>
      <c r="D501" s="1337" t="s">
        <v>2950</v>
      </c>
      <c r="E501" s="1337" t="s">
        <v>49</v>
      </c>
      <c r="F501" s="1327">
        <f>F502</f>
        <v>1</v>
      </c>
      <c r="G501" s="1339"/>
      <c r="H501" s="1339">
        <f>F501*G501</f>
        <v>0</v>
      </c>
      <c r="I501" s="1993" t="s">
        <v>112</v>
      </c>
      <c r="J501" s="1340"/>
      <c r="M501" s="1340"/>
    </row>
    <row r="502" spans="1:19" s="1341" customFormat="1" ht="13.5" customHeight="1">
      <c r="A502" s="1335"/>
      <c r="B502" s="1336"/>
      <c r="C502" s="1337"/>
      <c r="D502" s="1343" t="s">
        <v>2067</v>
      </c>
      <c r="E502" s="1337"/>
      <c r="F502" s="1390">
        <v>1</v>
      </c>
      <c r="G502" s="1339"/>
      <c r="H502" s="1339"/>
      <c r="I502" s="1345"/>
      <c r="J502" s="1340"/>
      <c r="M502" s="1340"/>
    </row>
    <row r="503" spans="1:19" s="2045" customFormat="1" ht="13.5" customHeight="1">
      <c r="A503" s="1983">
        <v>120</v>
      </c>
      <c r="B503" s="1991" t="s">
        <v>2048</v>
      </c>
      <c r="C503" s="1985">
        <v>998725201</v>
      </c>
      <c r="D503" s="1985" t="s">
        <v>2951</v>
      </c>
      <c r="E503" s="1985" t="s">
        <v>10</v>
      </c>
      <c r="F503" s="2042">
        <v>0.15</v>
      </c>
      <c r="G503" s="1350"/>
      <c r="H503" s="2043">
        <f>F503*G503</f>
        <v>0</v>
      </c>
      <c r="I503" s="1993" t="s">
        <v>138</v>
      </c>
      <c r="J503" s="2044"/>
    </row>
    <row r="504" spans="1:19" s="1990" customFormat="1" ht="13.5" customHeight="1">
      <c r="A504" s="1983">
        <v>121</v>
      </c>
      <c r="B504" s="1991" t="s">
        <v>369</v>
      </c>
      <c r="C504" s="1325" t="s">
        <v>856</v>
      </c>
      <c r="D504" s="1985" t="s">
        <v>857</v>
      </c>
      <c r="E504" s="1985" t="s">
        <v>69</v>
      </c>
      <c r="F504" s="1327">
        <f>F505</f>
        <v>20</v>
      </c>
      <c r="G504" s="2043"/>
      <c r="H504" s="2043">
        <f>F504*G504</f>
        <v>0</v>
      </c>
      <c r="I504" s="1993" t="s">
        <v>138</v>
      </c>
      <c r="J504" s="2046"/>
    </row>
    <row r="505" spans="1:19" s="2051" customFormat="1" ht="13.5" customHeight="1">
      <c r="A505" s="2047"/>
      <c r="B505" s="2048"/>
      <c r="C505" s="2048"/>
      <c r="D505" s="342" t="s">
        <v>2952</v>
      </c>
      <c r="E505" s="2048"/>
      <c r="F505" s="1892">
        <v>20</v>
      </c>
      <c r="G505" s="2049"/>
      <c r="H505" s="2043"/>
      <c r="I505" s="2050"/>
    </row>
    <row r="506" spans="1:19" s="2051" customFormat="1" ht="13.5" customHeight="1">
      <c r="A506" s="2047"/>
      <c r="B506" s="2048"/>
      <c r="C506" s="2048"/>
      <c r="D506" s="342" t="s">
        <v>540</v>
      </c>
      <c r="E506" s="2048"/>
      <c r="F506" s="1892"/>
      <c r="G506" s="2049"/>
      <c r="H506" s="2043"/>
      <c r="I506" s="2050"/>
      <c r="J506" s="2052"/>
    </row>
    <row r="507" spans="1:19" ht="21" customHeight="1">
      <c r="A507" s="1392"/>
      <c r="B507" s="1393"/>
      <c r="C507" s="1393"/>
      <c r="D507" s="1393" t="s">
        <v>0</v>
      </c>
      <c r="E507" s="1393"/>
      <c r="F507" s="1394"/>
      <c r="G507" s="1395"/>
      <c r="H507" s="1395">
        <f>H7+H98</f>
        <v>0</v>
      </c>
      <c r="I507" s="1396"/>
    </row>
    <row r="508" spans="1:19">
      <c r="A508" s="1397"/>
      <c r="B508" s="1397"/>
      <c r="C508" s="1398"/>
      <c r="D508" s="1398"/>
      <c r="E508" s="1399"/>
      <c r="F508" s="1400"/>
      <c r="G508" s="1401"/>
      <c r="H508" s="1401"/>
      <c r="I508" s="1402"/>
    </row>
    <row r="509" spans="1:19" ht="13.5" customHeight="1">
      <c r="A509" s="3072" t="s">
        <v>875</v>
      </c>
      <c r="B509" s="3073"/>
      <c r="C509" s="3074"/>
      <c r="D509" s="1403" t="s">
        <v>2953</v>
      </c>
      <c r="E509" s="1404"/>
      <c r="F509" s="1405"/>
      <c r="G509" s="1406"/>
      <c r="H509" s="1407">
        <f>H507</f>
        <v>0</v>
      </c>
      <c r="I509" s="1408"/>
    </row>
    <row r="510" spans="1:19" ht="13.5" customHeight="1">
      <c r="A510" s="1409"/>
      <c r="B510" s="1410"/>
      <c r="C510" s="1410"/>
      <c r="D510" s="1411"/>
      <c r="E510" s="1412"/>
      <c r="F510" s="1413"/>
      <c r="G510" s="1414"/>
      <c r="H510" s="1415"/>
      <c r="I510" s="1396"/>
    </row>
    <row r="511" spans="1:19" ht="13.5" customHeight="1">
      <c r="A511" s="129" t="s">
        <v>1</v>
      </c>
      <c r="B511" s="129"/>
      <c r="C511" s="129"/>
      <c r="D511" s="129"/>
      <c r="E511" s="129"/>
      <c r="F511" s="129"/>
      <c r="G511" s="129"/>
      <c r="H511" s="129"/>
      <c r="I511" s="129"/>
    </row>
    <row r="512" spans="1:19" ht="27" customHeight="1">
      <c r="A512" s="3018" t="s">
        <v>877</v>
      </c>
      <c r="B512" s="3018"/>
      <c r="C512" s="3018"/>
      <c r="D512" s="3018"/>
      <c r="E512" s="3018"/>
      <c r="F512" s="3018"/>
      <c r="G512" s="3018"/>
      <c r="H512" s="129"/>
      <c r="I512" s="1396"/>
    </row>
    <row r="513" spans="1:9" ht="93.75" customHeight="1">
      <c r="A513" s="3018" t="s">
        <v>104</v>
      </c>
      <c r="B513" s="3018"/>
      <c r="C513" s="3018"/>
      <c r="D513" s="3018"/>
      <c r="E513" s="3018"/>
      <c r="F513" s="3018"/>
      <c r="G513" s="3018"/>
      <c r="H513" s="129"/>
      <c r="I513" s="129"/>
    </row>
    <row r="514" spans="1:9" ht="13.5" customHeight="1">
      <c r="A514" s="3018" t="s">
        <v>105</v>
      </c>
      <c r="B514" s="3018"/>
      <c r="C514" s="3018"/>
      <c r="D514" s="3018"/>
      <c r="E514" s="3018"/>
      <c r="F514" s="3018"/>
      <c r="G514" s="3018"/>
      <c r="H514" s="507"/>
      <c r="I514" s="507"/>
    </row>
    <row r="515" spans="1:9" ht="13.5" customHeight="1">
      <c r="A515" s="3018" t="s">
        <v>106</v>
      </c>
      <c r="B515" s="3018"/>
      <c r="C515" s="3018"/>
      <c r="D515" s="3018"/>
      <c r="E515" s="3018"/>
      <c r="F515" s="3018"/>
      <c r="G515" s="3018"/>
      <c r="H515" s="507"/>
      <c r="I515" s="507"/>
    </row>
    <row r="516" spans="1:9" ht="94.5" customHeight="1">
      <c r="A516" s="3057" t="s">
        <v>2166</v>
      </c>
      <c r="B516" s="3057"/>
      <c r="C516" s="3057"/>
      <c r="D516" s="3057"/>
      <c r="E516" s="3057"/>
      <c r="F516" s="3057"/>
      <c r="G516" s="3057"/>
      <c r="H516" s="1368"/>
      <c r="I516" s="1733"/>
    </row>
  </sheetData>
  <mergeCells count="6">
    <mergeCell ref="A516:G516"/>
    <mergeCell ref="A509:C509"/>
    <mergeCell ref="A512:G512"/>
    <mergeCell ref="A513:G513"/>
    <mergeCell ref="A514:G514"/>
    <mergeCell ref="A515:G51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9" fitToHeight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16C4-8448-4038-B22D-CE8462902E59}">
  <sheetPr>
    <tabColor rgb="FFFF00FF"/>
    <pageSetUpPr fitToPage="1"/>
  </sheetPr>
  <dimension ref="A1:CS711"/>
  <sheetViews>
    <sheetView zoomScaleNormal="100" workbookViewId="0"/>
  </sheetViews>
  <sheetFormatPr defaultRowHeight="15"/>
  <cols>
    <col min="1" max="2" width="4.83203125" customWidth="1"/>
    <col min="3" max="3" width="16.83203125" customWidth="1"/>
    <col min="4" max="4" width="75.83203125" customWidth="1"/>
    <col min="5" max="5" width="7.83203125" customWidth="1"/>
    <col min="6" max="6" width="11.83203125" customWidth="1"/>
    <col min="7" max="7" width="13.6640625" customWidth="1"/>
    <col min="8" max="8" width="18.33203125" customWidth="1"/>
    <col min="9" max="9" width="20" customWidth="1"/>
    <col min="10" max="10" width="17.33203125" customWidth="1"/>
    <col min="11" max="11" width="24" customWidth="1"/>
    <col min="12" max="12" width="23.1640625" customWidth="1"/>
    <col min="13" max="13" width="12.5" style="1553" bestFit="1" customWidth="1"/>
    <col min="14" max="14" width="10.6640625" style="1477" bestFit="1" customWidth="1"/>
    <col min="15" max="15" width="13.83203125" style="1477" customWidth="1"/>
    <col min="16" max="16" width="10.6640625" style="1477" customWidth="1"/>
    <col min="17" max="17" width="13.1640625" style="1477" customWidth="1"/>
    <col min="18" max="23" width="9.33203125" style="1477"/>
  </cols>
  <sheetData>
    <row r="1" spans="1:97" s="1191" customFormat="1" ht="20.25" customHeight="1">
      <c r="A1" s="2267" t="s">
        <v>2956</v>
      </c>
      <c r="B1" s="509"/>
      <c r="C1" s="509"/>
      <c r="D1" s="510"/>
      <c r="E1" s="1187"/>
      <c r="F1" s="1187"/>
      <c r="G1" s="1187"/>
      <c r="H1" s="1187"/>
      <c r="I1" s="1187"/>
      <c r="M1" s="1553"/>
      <c r="N1" s="1469"/>
      <c r="O1" s="1469"/>
      <c r="P1" s="1469"/>
      <c r="Q1" s="1469"/>
      <c r="R1" s="1469"/>
      <c r="S1" s="1469"/>
      <c r="T1" s="1469"/>
      <c r="U1" s="1469"/>
      <c r="V1" s="1469"/>
      <c r="W1" s="1469"/>
    </row>
    <row r="2" spans="1:97" s="1259" customFormat="1" ht="13.5" customHeight="1">
      <c r="A2" s="3065" t="s">
        <v>116</v>
      </c>
      <c r="B2" s="3075"/>
      <c r="C2" s="3075"/>
      <c r="D2" s="3075"/>
      <c r="E2" s="3075"/>
      <c r="F2" s="3075"/>
      <c r="G2" s="3075"/>
      <c r="H2" s="3075"/>
      <c r="I2" s="3075"/>
      <c r="J2" s="1470"/>
      <c r="K2" s="595"/>
      <c r="L2" s="1554"/>
      <c r="M2" s="1555"/>
      <c r="N2" s="1556"/>
      <c r="O2" s="2387"/>
    </row>
    <row r="3" spans="1:97" s="1259" customFormat="1" ht="13.5" customHeight="1">
      <c r="A3" s="585" t="s">
        <v>2171</v>
      </c>
      <c r="B3" s="1471"/>
      <c r="C3" s="1472"/>
      <c r="D3" s="1472"/>
      <c r="E3" s="1472"/>
      <c r="F3" s="1473"/>
      <c r="G3" s="1472"/>
      <c r="H3" s="1472"/>
      <c r="I3" s="1191"/>
      <c r="J3" s="1470"/>
      <c r="K3" s="595"/>
      <c r="L3" s="1554"/>
      <c r="M3" s="1555"/>
      <c r="N3" s="1556"/>
      <c r="O3" s="2387"/>
    </row>
    <row r="4" spans="1:97" ht="13.5" customHeight="1">
      <c r="A4" s="1474"/>
      <c r="B4" s="1474"/>
      <c r="C4" s="1474"/>
      <c r="D4" s="1474"/>
      <c r="E4" s="1475"/>
      <c r="F4" s="1474"/>
      <c r="G4" s="1474"/>
      <c r="H4" s="1474"/>
      <c r="I4" s="1476"/>
    </row>
    <row r="5" spans="1:97" ht="24.75" customHeight="1">
      <c r="A5" s="1478" t="s">
        <v>119</v>
      </c>
      <c r="B5" s="1478" t="s">
        <v>120</v>
      </c>
      <c r="C5" s="1478" t="s">
        <v>121</v>
      </c>
      <c r="D5" s="1478" t="s">
        <v>122</v>
      </c>
      <c r="E5" s="1478" t="s">
        <v>123</v>
      </c>
      <c r="F5" s="1478" t="s">
        <v>124</v>
      </c>
      <c r="G5" s="1478" t="s">
        <v>125</v>
      </c>
      <c r="H5" s="1479" t="s">
        <v>2</v>
      </c>
      <c r="I5" s="1480" t="s">
        <v>46</v>
      </c>
      <c r="J5" s="1557"/>
      <c r="L5" s="1422"/>
      <c r="M5"/>
      <c r="N5"/>
    </row>
    <row r="6" spans="1:97" ht="12.75" customHeight="1">
      <c r="A6" s="1478" t="s">
        <v>126</v>
      </c>
      <c r="B6" s="1478" t="s">
        <v>127</v>
      </c>
      <c r="C6" s="1478">
        <v>3</v>
      </c>
      <c r="D6" s="1478">
        <v>4</v>
      </c>
      <c r="E6" s="1478">
        <v>5</v>
      </c>
      <c r="F6" s="1478">
        <v>6</v>
      </c>
      <c r="G6" s="1478">
        <v>7</v>
      </c>
      <c r="H6" s="1479">
        <v>8</v>
      </c>
      <c r="I6" s="1480">
        <v>9</v>
      </c>
    </row>
    <row r="7" spans="1:97" s="1191" customFormat="1" ht="21" customHeight="1">
      <c r="A7" s="1481"/>
      <c r="B7" s="1201"/>
      <c r="C7" s="1201" t="s">
        <v>373</v>
      </c>
      <c r="D7" s="1201" t="s">
        <v>374</v>
      </c>
      <c r="E7" s="1201"/>
      <c r="F7" s="1482"/>
      <c r="G7" s="1483"/>
      <c r="H7" s="1483">
        <f>H8+H86+H332+H340</f>
        <v>0</v>
      </c>
      <c r="J7" s="1558"/>
      <c r="M7" s="1553"/>
      <c r="N7" s="1469"/>
      <c r="O7" s="1469"/>
      <c r="P7" s="1469"/>
      <c r="Q7" s="1469"/>
      <c r="R7" s="1469"/>
      <c r="S7" s="1469"/>
      <c r="T7" s="1469"/>
      <c r="U7" s="1469"/>
      <c r="V7" s="1469"/>
      <c r="W7" s="1469"/>
    </row>
    <row r="8" spans="1:97" s="1191" customFormat="1" ht="13.5" customHeight="1">
      <c r="A8" s="2388"/>
      <c r="B8" s="2389"/>
      <c r="C8" s="2389">
        <v>751</v>
      </c>
      <c r="D8" s="2389" t="s">
        <v>2172</v>
      </c>
      <c r="E8" s="2389"/>
      <c r="F8" s="2390"/>
      <c r="G8" s="2391"/>
      <c r="H8" s="2391">
        <f>SUM(H9:H85)</f>
        <v>0</v>
      </c>
      <c r="I8" s="2392"/>
      <c r="M8" s="1553"/>
      <c r="N8" s="1469"/>
      <c r="O8" s="1469"/>
      <c r="P8" s="1469"/>
      <c r="Q8" s="1469"/>
      <c r="R8" s="1469"/>
      <c r="S8" s="1469"/>
      <c r="T8" s="1469"/>
      <c r="U8" s="1469"/>
      <c r="V8" s="1469"/>
      <c r="W8" s="1469"/>
    </row>
    <row r="9" spans="1:97" s="1227" customFormat="1" ht="13.5" customHeight="1">
      <c r="A9" s="1208">
        <v>1</v>
      </c>
      <c r="B9" s="1218">
        <v>751</v>
      </c>
      <c r="C9" s="1218" t="s">
        <v>2173</v>
      </c>
      <c r="D9" s="1218" t="s">
        <v>3301</v>
      </c>
      <c r="E9" s="1218" t="s">
        <v>210</v>
      </c>
      <c r="F9" s="1431">
        <f>F10</f>
        <v>1</v>
      </c>
      <c r="G9" s="1220"/>
      <c r="H9" s="2320">
        <f>F9*G9</f>
        <v>0</v>
      </c>
      <c r="I9" s="1221" t="s">
        <v>112</v>
      </c>
      <c r="J9" s="1197"/>
      <c r="K9" s="1224"/>
      <c r="L9" s="1224"/>
      <c r="M9" s="1224"/>
      <c r="N9" s="1224"/>
      <c r="O9" s="1224"/>
      <c r="P9" s="1224"/>
      <c r="Q9" s="1226"/>
      <c r="R9" s="1226"/>
      <c r="S9" s="1226"/>
      <c r="T9" s="1226"/>
      <c r="U9" s="1226"/>
      <c r="V9" s="1226"/>
      <c r="W9" s="1226"/>
      <c r="X9" s="1226"/>
      <c r="Y9" s="1226"/>
      <c r="Z9" s="1226"/>
      <c r="AA9" s="1226"/>
      <c r="AB9" s="1226"/>
      <c r="AC9" s="1226"/>
      <c r="AD9" s="1226"/>
      <c r="AE9" s="1226"/>
      <c r="AF9" s="1226"/>
      <c r="AG9" s="1226"/>
      <c r="AH9" s="1226"/>
      <c r="AI9" s="1226"/>
      <c r="AJ9" s="1226"/>
      <c r="AK9" s="1226"/>
      <c r="AL9" s="1226"/>
      <c r="AM9" s="1226"/>
      <c r="AN9" s="1226"/>
      <c r="AO9" s="1226"/>
      <c r="AP9" s="1226"/>
      <c r="AQ9" s="1226"/>
      <c r="AR9" s="1226"/>
      <c r="AS9" s="1226"/>
      <c r="AT9" s="1226"/>
      <c r="AU9" s="1226"/>
      <c r="AV9" s="1226"/>
      <c r="AW9" s="1226"/>
      <c r="AX9" s="1226"/>
      <c r="AY9" s="1226"/>
      <c r="AZ9" s="1226"/>
      <c r="BA9" s="1226"/>
      <c r="BB9" s="1226"/>
      <c r="BC9" s="1226"/>
      <c r="BD9" s="1226"/>
      <c r="BE9" s="1226"/>
      <c r="BF9" s="1226"/>
      <c r="BG9" s="1226"/>
      <c r="BH9" s="1226"/>
      <c r="BI9" s="1226"/>
      <c r="BJ9" s="1226"/>
      <c r="BK9" s="1226"/>
      <c r="BL9" s="1226"/>
      <c r="BM9" s="1226"/>
      <c r="BN9" s="1226"/>
      <c r="BO9" s="1226"/>
      <c r="BP9" s="1226"/>
      <c r="BQ9" s="1226"/>
      <c r="BR9" s="1226"/>
      <c r="BS9" s="1226"/>
      <c r="BT9" s="1226"/>
      <c r="BU9" s="1226"/>
      <c r="BV9" s="1226"/>
      <c r="BW9" s="1226"/>
      <c r="BX9" s="1226"/>
      <c r="BY9" s="1226"/>
      <c r="BZ9" s="1226"/>
      <c r="CA9" s="1226"/>
      <c r="CB9" s="1226"/>
      <c r="CC9" s="1226"/>
      <c r="CD9" s="1226"/>
      <c r="CE9" s="1226"/>
      <c r="CF9" s="1226"/>
      <c r="CG9" s="1226"/>
      <c r="CH9" s="1226"/>
      <c r="CI9" s="1226"/>
      <c r="CJ9" s="1226"/>
      <c r="CK9" s="1226"/>
      <c r="CL9" s="1226"/>
      <c r="CM9" s="1226"/>
      <c r="CN9" s="1226"/>
      <c r="CO9" s="1226"/>
      <c r="CP9" s="1226"/>
      <c r="CQ9" s="1226"/>
      <c r="CR9" s="1226"/>
      <c r="CS9" s="1226"/>
    </row>
    <row r="10" spans="1:97" s="1226" customFormat="1" ht="39.75" customHeight="1">
      <c r="A10" s="2393"/>
      <c r="B10" s="2394"/>
      <c r="C10" s="2394"/>
      <c r="D10" s="2364" t="s">
        <v>3302</v>
      </c>
      <c r="E10" s="2394"/>
      <c r="F10" s="2398">
        <v>1</v>
      </c>
      <c r="G10" s="2396"/>
      <c r="H10" s="2396"/>
      <c r="I10" s="2396"/>
      <c r="J10" s="1560"/>
    </row>
    <row r="11" spans="1:97" s="1226" customFormat="1" ht="59.25" customHeight="1">
      <c r="A11" s="2393"/>
      <c r="B11" s="2394"/>
      <c r="C11" s="2394"/>
      <c r="D11" s="2399" t="s">
        <v>3303</v>
      </c>
      <c r="E11" s="2394"/>
      <c r="F11" s="2400"/>
      <c r="G11" s="2396"/>
      <c r="H11" s="2396"/>
      <c r="I11" s="2397"/>
      <c r="J11" s="2401"/>
      <c r="K11" s="1561"/>
    </row>
    <row r="12" spans="1:97" s="1226" customFormat="1" ht="53.25" customHeight="1">
      <c r="A12" s="2393"/>
      <c r="B12" s="2394"/>
      <c r="C12" s="2394"/>
      <c r="D12" s="2399" t="s">
        <v>3304</v>
      </c>
      <c r="E12" s="2394"/>
      <c r="F12" s="2400"/>
      <c r="G12" s="2396"/>
      <c r="H12" s="2396"/>
      <c r="I12" s="2397"/>
      <c r="J12" s="1560"/>
      <c r="K12" s="1562"/>
    </row>
    <row r="13" spans="1:97" s="1226" customFormat="1" ht="13.5" customHeight="1">
      <c r="A13" s="2393"/>
      <c r="B13" s="2394"/>
      <c r="C13" s="2394"/>
      <c r="D13" s="2364" t="s">
        <v>2174</v>
      </c>
      <c r="E13" s="2394"/>
      <c r="F13" s="2398"/>
      <c r="G13" s="2396"/>
      <c r="H13" s="2396"/>
      <c r="I13" s="2397"/>
      <c r="J13" s="1560"/>
      <c r="K13" s="1562"/>
    </row>
    <row r="14" spans="1:97" s="1226" customFormat="1" ht="27" customHeight="1">
      <c r="A14" s="2393"/>
      <c r="B14" s="2394"/>
      <c r="C14" s="2394"/>
      <c r="D14" s="2364" t="s">
        <v>3305</v>
      </c>
      <c r="E14" s="2394"/>
      <c r="F14" s="2398"/>
      <c r="G14" s="2396"/>
      <c r="H14" s="2396"/>
      <c r="I14" s="2397"/>
    </row>
    <row r="15" spans="1:97" s="1227" customFormat="1" ht="13.5" customHeight="1">
      <c r="A15" s="1208">
        <v>2</v>
      </c>
      <c r="B15" s="1218">
        <v>751</v>
      </c>
      <c r="C15" s="1218" t="s">
        <v>3306</v>
      </c>
      <c r="D15" s="1218" t="s">
        <v>3307</v>
      </c>
      <c r="E15" s="1218" t="s">
        <v>210</v>
      </c>
      <c r="F15" s="1431">
        <f>F16</f>
        <v>1</v>
      </c>
      <c r="G15" s="1220"/>
      <c r="H15" s="2320">
        <f>F15*G15</f>
        <v>0</v>
      </c>
      <c r="I15" s="1221" t="s">
        <v>112</v>
      </c>
      <c r="J15" s="1197"/>
      <c r="K15" s="1224"/>
      <c r="L15" s="1224"/>
      <c r="M15" s="1224"/>
      <c r="N15" s="1224"/>
      <c r="O15" s="1224"/>
      <c r="P15" s="1224"/>
      <c r="Q15" s="1226"/>
      <c r="R15" s="1226"/>
      <c r="S15" s="1226"/>
      <c r="T15" s="1226"/>
      <c r="U15" s="1226"/>
      <c r="V15" s="1226"/>
      <c r="W15" s="1226"/>
      <c r="X15" s="1226"/>
      <c r="Y15" s="1226"/>
      <c r="Z15" s="1226"/>
      <c r="AA15" s="1226"/>
      <c r="AB15" s="1226"/>
      <c r="AC15" s="1226"/>
      <c r="AD15" s="1226"/>
      <c r="AE15" s="1226"/>
      <c r="AF15" s="1226"/>
      <c r="AG15" s="1226"/>
      <c r="AH15" s="1226"/>
      <c r="AI15" s="1226"/>
      <c r="AJ15" s="1226"/>
      <c r="AK15" s="1226"/>
      <c r="AL15" s="1226"/>
      <c r="AM15" s="1226"/>
      <c r="AN15" s="1226"/>
      <c r="AO15" s="1226"/>
      <c r="AP15" s="1226"/>
      <c r="AQ15" s="1226"/>
      <c r="AR15" s="1226"/>
      <c r="AS15" s="1226"/>
      <c r="AT15" s="1226"/>
      <c r="AU15" s="1226"/>
      <c r="AV15" s="1226"/>
      <c r="AW15" s="1226"/>
      <c r="AX15" s="1226"/>
      <c r="AY15" s="1226"/>
      <c r="AZ15" s="1226"/>
      <c r="BA15" s="1226"/>
      <c r="BB15" s="1226"/>
      <c r="BC15" s="1226"/>
      <c r="BD15" s="1226"/>
      <c r="BE15" s="1226"/>
      <c r="BF15" s="1226"/>
      <c r="BG15" s="1226"/>
      <c r="BH15" s="1226"/>
      <c r="BI15" s="1226"/>
      <c r="BJ15" s="1226"/>
      <c r="BK15" s="1226"/>
      <c r="BL15" s="1226"/>
      <c r="BM15" s="1226"/>
      <c r="BN15" s="1226"/>
      <c r="BO15" s="1226"/>
      <c r="BP15" s="1226"/>
      <c r="BQ15" s="1226"/>
      <c r="BR15" s="1226"/>
      <c r="BS15" s="1226"/>
      <c r="BT15" s="1226"/>
      <c r="BU15" s="1226"/>
      <c r="BV15" s="1226"/>
      <c r="BW15" s="1226"/>
      <c r="BX15" s="1226"/>
      <c r="BY15" s="1226"/>
      <c r="BZ15" s="1226"/>
      <c r="CA15" s="1226"/>
      <c r="CB15" s="1226"/>
      <c r="CC15" s="1226"/>
      <c r="CD15" s="1226"/>
      <c r="CE15" s="1226"/>
      <c r="CF15" s="1226"/>
      <c r="CG15" s="1226"/>
      <c r="CH15" s="1226"/>
      <c r="CI15" s="1226"/>
      <c r="CJ15" s="1226"/>
      <c r="CK15" s="1226"/>
      <c r="CL15" s="1226"/>
      <c r="CM15" s="1226"/>
      <c r="CN15" s="1226"/>
      <c r="CO15" s="1226"/>
      <c r="CP15" s="1226"/>
      <c r="CQ15" s="1226"/>
      <c r="CR15" s="1226"/>
      <c r="CS15" s="1226"/>
    </row>
    <row r="16" spans="1:97" s="1226" customFormat="1" ht="39.75" customHeight="1">
      <c r="A16" s="2393"/>
      <c r="B16" s="2394"/>
      <c r="C16" s="2394"/>
      <c r="D16" s="2364" t="s">
        <v>3308</v>
      </c>
      <c r="E16" s="2394"/>
      <c r="F16" s="2398">
        <v>1</v>
      </c>
      <c r="G16" s="2396"/>
      <c r="H16" s="2396"/>
      <c r="I16" s="2396"/>
      <c r="J16" s="1560"/>
    </row>
    <row r="17" spans="1:97" s="1226" customFormat="1" ht="59.25" customHeight="1">
      <c r="A17" s="2393"/>
      <c r="B17" s="2394"/>
      <c r="C17" s="2394"/>
      <c r="D17" s="2399" t="s">
        <v>3309</v>
      </c>
      <c r="E17" s="2394"/>
      <c r="F17" s="2400"/>
      <c r="G17" s="2396"/>
      <c r="H17" s="2396"/>
      <c r="I17" s="2397"/>
      <c r="J17" s="2401"/>
      <c r="K17" s="1561"/>
    </row>
    <row r="18" spans="1:97" s="1226" customFormat="1" ht="53.25" customHeight="1">
      <c r="A18" s="2393"/>
      <c r="B18" s="2394"/>
      <c r="C18" s="2394"/>
      <c r="D18" s="2399" t="s">
        <v>3304</v>
      </c>
      <c r="E18" s="2394"/>
      <c r="F18" s="2400"/>
      <c r="G18" s="2396"/>
      <c r="H18" s="2396"/>
      <c r="I18" s="2397"/>
      <c r="J18" s="1560"/>
      <c r="K18" s="1562"/>
    </row>
    <row r="19" spans="1:97" s="1226" customFormat="1" ht="13.5" customHeight="1">
      <c r="A19" s="2393"/>
      <c r="B19" s="2394"/>
      <c r="C19" s="2394"/>
      <c r="D19" s="2364" t="s">
        <v>2174</v>
      </c>
      <c r="E19" s="2394"/>
      <c r="F19" s="2398"/>
      <c r="G19" s="2396"/>
      <c r="H19" s="2396"/>
      <c r="I19" s="2397"/>
      <c r="J19" s="1560"/>
      <c r="K19" s="1562"/>
    </row>
    <row r="20" spans="1:97" s="1226" customFormat="1" ht="27" customHeight="1">
      <c r="A20" s="2393"/>
      <c r="B20" s="2394"/>
      <c r="C20" s="2394"/>
      <c r="D20" s="2364" t="s">
        <v>3305</v>
      </c>
      <c r="E20" s="2394"/>
      <c r="F20" s="2398"/>
      <c r="G20" s="2396"/>
      <c r="H20" s="2396"/>
      <c r="I20" s="2397"/>
    </row>
    <row r="21" spans="1:97" s="1227" customFormat="1" ht="13.5" customHeight="1">
      <c r="A21" s="1208">
        <v>3</v>
      </c>
      <c r="B21" s="1218">
        <v>751</v>
      </c>
      <c r="C21" s="1218" t="s">
        <v>3310</v>
      </c>
      <c r="D21" s="1218" t="s">
        <v>3311</v>
      </c>
      <c r="E21" s="1218" t="s">
        <v>210</v>
      </c>
      <c r="F21" s="1431">
        <f>F22</f>
        <v>4</v>
      </c>
      <c r="G21" s="1220"/>
      <c r="H21" s="2320">
        <f>F21*G21</f>
        <v>0</v>
      </c>
      <c r="I21" s="1221" t="s">
        <v>112</v>
      </c>
      <c r="J21" s="1197"/>
      <c r="K21" s="1224"/>
      <c r="L21" s="1224"/>
      <c r="M21" s="1224"/>
      <c r="N21" s="1224"/>
      <c r="O21" s="1224"/>
      <c r="P21" s="1224"/>
      <c r="Q21" s="1226"/>
      <c r="R21" s="1226"/>
      <c r="S21" s="1226"/>
      <c r="T21" s="1226"/>
      <c r="U21" s="1226"/>
      <c r="V21" s="1226"/>
      <c r="W21" s="1226"/>
      <c r="X21" s="1226"/>
      <c r="Y21" s="1226"/>
      <c r="Z21" s="1226"/>
      <c r="AA21" s="1226"/>
      <c r="AB21" s="1226"/>
      <c r="AC21" s="1226"/>
      <c r="AD21" s="1226"/>
      <c r="AE21" s="1226"/>
      <c r="AF21" s="1226"/>
      <c r="AG21" s="1226"/>
      <c r="AH21" s="1226"/>
      <c r="AI21" s="1226"/>
      <c r="AJ21" s="1226"/>
      <c r="AK21" s="1226"/>
      <c r="AL21" s="1226"/>
      <c r="AM21" s="1226"/>
      <c r="AN21" s="1226"/>
      <c r="AO21" s="1226"/>
      <c r="AP21" s="1226"/>
      <c r="AQ21" s="1226"/>
      <c r="AR21" s="1226"/>
      <c r="AS21" s="1226"/>
      <c r="AT21" s="1226"/>
      <c r="AU21" s="1226"/>
      <c r="AV21" s="1226"/>
      <c r="AW21" s="1226"/>
      <c r="AX21" s="1226"/>
      <c r="AY21" s="1226"/>
      <c r="AZ21" s="1226"/>
      <c r="BA21" s="1226"/>
      <c r="BB21" s="1226"/>
      <c r="BC21" s="1226"/>
      <c r="BD21" s="1226"/>
      <c r="BE21" s="1226"/>
      <c r="BF21" s="1226"/>
      <c r="BG21" s="1226"/>
      <c r="BH21" s="1226"/>
      <c r="BI21" s="1226"/>
      <c r="BJ21" s="1226"/>
      <c r="BK21" s="1226"/>
      <c r="BL21" s="1226"/>
      <c r="BM21" s="1226"/>
      <c r="BN21" s="1226"/>
      <c r="BO21" s="1226"/>
      <c r="BP21" s="1226"/>
      <c r="BQ21" s="1226"/>
      <c r="BR21" s="1226"/>
      <c r="BS21" s="1226"/>
      <c r="BT21" s="1226"/>
      <c r="BU21" s="1226"/>
      <c r="BV21" s="1226"/>
      <c r="BW21" s="1226"/>
      <c r="BX21" s="1226"/>
      <c r="BY21" s="1226"/>
      <c r="BZ21" s="1226"/>
      <c r="CA21" s="1226"/>
      <c r="CB21" s="1226"/>
      <c r="CC21" s="1226"/>
      <c r="CD21" s="1226"/>
      <c r="CE21" s="1226"/>
      <c r="CF21" s="1226"/>
      <c r="CG21" s="1226"/>
      <c r="CH21" s="1226"/>
      <c r="CI21" s="1226"/>
      <c r="CJ21" s="1226"/>
      <c r="CK21" s="1226"/>
      <c r="CL21" s="1226"/>
      <c r="CM21" s="1226"/>
      <c r="CN21" s="1226"/>
      <c r="CO21" s="1226"/>
      <c r="CP21" s="1226"/>
      <c r="CQ21" s="1226"/>
      <c r="CR21" s="1226"/>
      <c r="CS21" s="1226"/>
    </row>
    <row r="22" spans="1:97" s="1226" customFormat="1" ht="39.75" customHeight="1">
      <c r="A22" s="2393"/>
      <c r="B22" s="2394"/>
      <c r="C22" s="2394"/>
      <c r="D22" s="2364" t="s">
        <v>3312</v>
      </c>
      <c r="E22" s="2394"/>
      <c r="F22" s="2398">
        <v>4</v>
      </c>
      <c r="G22" s="2396"/>
      <c r="H22" s="2396"/>
      <c r="I22" s="2397"/>
      <c r="J22" s="1560"/>
    </row>
    <row r="23" spans="1:97" s="1226" customFormat="1" ht="59.25" customHeight="1">
      <c r="A23" s="2393"/>
      <c r="B23" s="2394"/>
      <c r="C23" s="2394"/>
      <c r="D23" s="2399" t="s">
        <v>3313</v>
      </c>
      <c r="E23" s="2394"/>
      <c r="F23" s="2400"/>
      <c r="G23" s="2396"/>
      <c r="H23" s="2396"/>
      <c r="I23" s="2397"/>
      <c r="J23" s="2401"/>
      <c r="K23" s="1561"/>
    </row>
    <row r="24" spans="1:97" s="1226" customFormat="1" ht="53.25" customHeight="1">
      <c r="A24" s="2393"/>
      <c r="B24" s="2394"/>
      <c r="C24" s="2394"/>
      <c r="D24" s="2399" t="s">
        <v>3304</v>
      </c>
      <c r="E24" s="2394"/>
      <c r="F24" s="2400"/>
      <c r="G24" s="2396"/>
      <c r="H24" s="2396"/>
      <c r="I24" s="2397"/>
      <c r="J24" s="1560"/>
      <c r="K24" s="1562"/>
    </row>
    <row r="25" spans="1:97" s="1226" customFormat="1" ht="13.5" customHeight="1">
      <c r="A25" s="2393"/>
      <c r="B25" s="2394"/>
      <c r="C25" s="2394"/>
      <c r="D25" s="2364" t="s">
        <v>2174</v>
      </c>
      <c r="E25" s="2394"/>
      <c r="F25" s="2398"/>
      <c r="G25" s="2396"/>
      <c r="H25" s="2396"/>
      <c r="I25" s="2397"/>
      <c r="J25" s="1560"/>
      <c r="K25" s="1562"/>
    </row>
    <row r="26" spans="1:97" s="1226" customFormat="1" ht="27" customHeight="1">
      <c r="A26" s="2393"/>
      <c r="B26" s="2394"/>
      <c r="C26" s="2394"/>
      <c r="D26" s="2364" t="s">
        <v>3305</v>
      </c>
      <c r="E26" s="2394"/>
      <c r="F26" s="2398"/>
      <c r="G26" s="2396"/>
      <c r="H26" s="2396"/>
      <c r="I26" s="2397"/>
    </row>
    <row r="27" spans="1:97" s="1227" customFormat="1" ht="13.5" customHeight="1">
      <c r="A27" s="1208">
        <v>4</v>
      </c>
      <c r="B27" s="1218">
        <v>751</v>
      </c>
      <c r="C27" s="1218" t="s">
        <v>3314</v>
      </c>
      <c r="D27" s="1218" t="s">
        <v>3315</v>
      </c>
      <c r="E27" s="1218" t="s">
        <v>210</v>
      </c>
      <c r="F27" s="1431">
        <f>F28</f>
        <v>2</v>
      </c>
      <c r="G27" s="1220"/>
      <c r="H27" s="2320">
        <f>F27*G27</f>
        <v>0</v>
      </c>
      <c r="I27" s="1221" t="s">
        <v>112</v>
      </c>
      <c r="J27" s="1197"/>
      <c r="K27" s="1224"/>
      <c r="L27" s="1224"/>
      <c r="M27" s="1224"/>
      <c r="N27" s="1224"/>
      <c r="O27" s="1224"/>
      <c r="P27" s="1224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6"/>
      <c r="AH27" s="1226"/>
      <c r="AI27" s="1226"/>
      <c r="AJ27" s="1226"/>
      <c r="AK27" s="1226"/>
      <c r="AL27" s="1226"/>
      <c r="AM27" s="1226"/>
      <c r="AN27" s="1226"/>
      <c r="AO27" s="1226"/>
      <c r="AP27" s="1226"/>
      <c r="AQ27" s="1226"/>
      <c r="AR27" s="1226"/>
      <c r="AS27" s="1226"/>
      <c r="AT27" s="1226"/>
      <c r="AU27" s="1226"/>
      <c r="AV27" s="1226"/>
      <c r="AW27" s="1226"/>
      <c r="AX27" s="1226"/>
      <c r="AY27" s="1226"/>
      <c r="AZ27" s="1226"/>
      <c r="BA27" s="1226"/>
      <c r="BB27" s="1226"/>
      <c r="BC27" s="1226"/>
      <c r="BD27" s="1226"/>
      <c r="BE27" s="1226"/>
      <c r="BF27" s="1226"/>
      <c r="BG27" s="1226"/>
      <c r="BH27" s="1226"/>
      <c r="BI27" s="1226"/>
      <c r="BJ27" s="1226"/>
      <c r="BK27" s="1226"/>
      <c r="BL27" s="1226"/>
      <c r="BM27" s="1226"/>
      <c r="BN27" s="1226"/>
      <c r="BO27" s="1226"/>
      <c r="BP27" s="1226"/>
      <c r="BQ27" s="1226"/>
      <c r="BR27" s="1226"/>
      <c r="BS27" s="1226"/>
      <c r="BT27" s="1226"/>
      <c r="BU27" s="1226"/>
      <c r="BV27" s="1226"/>
      <c r="BW27" s="1226"/>
      <c r="BX27" s="1226"/>
      <c r="BY27" s="1226"/>
      <c r="BZ27" s="1226"/>
      <c r="CA27" s="1226"/>
      <c r="CB27" s="1226"/>
      <c r="CC27" s="1226"/>
      <c r="CD27" s="1226"/>
      <c r="CE27" s="1226"/>
      <c r="CF27" s="1226"/>
      <c r="CG27" s="1226"/>
      <c r="CH27" s="1226"/>
      <c r="CI27" s="1226"/>
      <c r="CJ27" s="1226"/>
      <c r="CK27" s="1226"/>
      <c r="CL27" s="1226"/>
      <c r="CM27" s="1226"/>
      <c r="CN27" s="1226"/>
      <c r="CO27" s="1226"/>
      <c r="CP27" s="1226"/>
      <c r="CQ27" s="1226"/>
      <c r="CR27" s="1226"/>
      <c r="CS27" s="1226"/>
    </row>
    <row r="28" spans="1:97" s="1226" customFormat="1" ht="39.75" customHeight="1">
      <c r="A28" s="2393"/>
      <c r="B28" s="2394"/>
      <c r="C28" s="2394"/>
      <c r="D28" s="2364" t="s">
        <v>3316</v>
      </c>
      <c r="E28" s="2394"/>
      <c r="F28" s="2398">
        <v>2</v>
      </c>
      <c r="G28" s="2396"/>
      <c r="H28" s="2396"/>
      <c r="I28" s="2396"/>
      <c r="J28" s="1560"/>
    </row>
    <row r="29" spans="1:97" s="1226" customFormat="1" ht="59.25" customHeight="1">
      <c r="A29" s="2393"/>
      <c r="B29" s="2394"/>
      <c r="C29" s="2394"/>
      <c r="D29" s="2399" t="s">
        <v>3317</v>
      </c>
      <c r="E29" s="2394"/>
      <c r="F29" s="2400"/>
      <c r="G29" s="2396"/>
      <c r="H29" s="2396"/>
      <c r="I29" s="2397"/>
      <c r="J29" s="2401"/>
      <c r="K29" s="1561"/>
    </row>
    <row r="30" spans="1:97" s="1226" customFormat="1" ht="53.25" customHeight="1">
      <c r="A30" s="2393"/>
      <c r="B30" s="2394"/>
      <c r="C30" s="2394"/>
      <c r="D30" s="2399" t="s">
        <v>3304</v>
      </c>
      <c r="E30" s="2394"/>
      <c r="F30" s="2400"/>
      <c r="G30" s="2396"/>
      <c r="H30" s="2396"/>
      <c r="I30" s="2397"/>
      <c r="J30" s="1560"/>
      <c r="K30" s="1562"/>
    </row>
    <row r="31" spans="1:97" s="1226" customFormat="1" ht="13.5" customHeight="1">
      <c r="A31" s="2393"/>
      <c r="B31" s="2394"/>
      <c r="C31" s="2394"/>
      <c r="D31" s="2364" t="s">
        <v>2174</v>
      </c>
      <c r="E31" s="2394"/>
      <c r="F31" s="2398"/>
      <c r="G31" s="2396"/>
      <c r="H31" s="2396"/>
      <c r="I31" s="2397"/>
      <c r="J31" s="1560"/>
      <c r="K31" s="1562"/>
    </row>
    <row r="32" spans="1:97" s="1226" customFormat="1" ht="27" customHeight="1">
      <c r="A32" s="2393"/>
      <c r="B32" s="2394"/>
      <c r="C32" s="2394"/>
      <c r="D32" s="2364" t="s">
        <v>3305</v>
      </c>
      <c r="E32" s="2394"/>
      <c r="F32" s="2398"/>
      <c r="G32" s="2396"/>
      <c r="H32" s="2396"/>
      <c r="I32" s="2397"/>
    </row>
    <row r="33" spans="1:97" s="1227" customFormat="1" ht="13.5" customHeight="1">
      <c r="A33" s="1208">
        <v>5</v>
      </c>
      <c r="B33" s="1218">
        <v>751</v>
      </c>
      <c r="C33" s="1218" t="s">
        <v>3318</v>
      </c>
      <c r="D33" s="1218" t="s">
        <v>3319</v>
      </c>
      <c r="E33" s="1218" t="s">
        <v>210</v>
      </c>
      <c r="F33" s="1431">
        <f>F34</f>
        <v>1</v>
      </c>
      <c r="G33" s="1220"/>
      <c r="H33" s="2320">
        <f>F33*G33</f>
        <v>0</v>
      </c>
      <c r="I33" s="1221" t="s">
        <v>112</v>
      </c>
      <c r="J33" s="1197"/>
      <c r="K33" s="1224"/>
      <c r="L33" s="1224"/>
      <c r="M33" s="1224"/>
      <c r="N33" s="1224"/>
      <c r="O33" s="1224"/>
      <c r="P33" s="1224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  <c r="AC33" s="1226"/>
      <c r="AD33" s="1226"/>
      <c r="AE33" s="1226"/>
      <c r="AF33" s="1226"/>
      <c r="AG33" s="1226"/>
      <c r="AH33" s="1226"/>
      <c r="AI33" s="1226"/>
      <c r="AJ33" s="1226"/>
      <c r="AK33" s="1226"/>
      <c r="AL33" s="1226"/>
      <c r="AM33" s="1226"/>
      <c r="AN33" s="1226"/>
      <c r="AO33" s="1226"/>
      <c r="AP33" s="1226"/>
      <c r="AQ33" s="1226"/>
      <c r="AR33" s="1226"/>
      <c r="AS33" s="1226"/>
      <c r="AT33" s="1226"/>
      <c r="AU33" s="1226"/>
      <c r="AV33" s="1226"/>
      <c r="AW33" s="1226"/>
      <c r="AX33" s="1226"/>
      <c r="AY33" s="1226"/>
      <c r="AZ33" s="1226"/>
      <c r="BA33" s="1226"/>
      <c r="BB33" s="1226"/>
      <c r="BC33" s="1226"/>
      <c r="BD33" s="1226"/>
      <c r="BE33" s="1226"/>
      <c r="BF33" s="1226"/>
      <c r="BG33" s="1226"/>
      <c r="BH33" s="1226"/>
      <c r="BI33" s="1226"/>
      <c r="BJ33" s="1226"/>
      <c r="BK33" s="1226"/>
      <c r="BL33" s="1226"/>
      <c r="BM33" s="1226"/>
      <c r="BN33" s="1226"/>
      <c r="BO33" s="1226"/>
      <c r="BP33" s="1226"/>
      <c r="BQ33" s="1226"/>
      <c r="BR33" s="1226"/>
      <c r="BS33" s="1226"/>
      <c r="BT33" s="1226"/>
      <c r="BU33" s="1226"/>
      <c r="BV33" s="1226"/>
      <c r="BW33" s="1226"/>
      <c r="BX33" s="1226"/>
      <c r="BY33" s="1226"/>
      <c r="BZ33" s="1226"/>
      <c r="CA33" s="1226"/>
      <c r="CB33" s="1226"/>
      <c r="CC33" s="1226"/>
      <c r="CD33" s="1226"/>
      <c r="CE33" s="1226"/>
      <c r="CF33" s="1226"/>
      <c r="CG33" s="1226"/>
      <c r="CH33" s="1226"/>
      <c r="CI33" s="1226"/>
      <c r="CJ33" s="1226"/>
      <c r="CK33" s="1226"/>
      <c r="CL33" s="1226"/>
      <c r="CM33" s="1226"/>
      <c r="CN33" s="1226"/>
      <c r="CO33" s="1226"/>
      <c r="CP33" s="1226"/>
      <c r="CQ33" s="1226"/>
      <c r="CR33" s="1226"/>
      <c r="CS33" s="1226"/>
    </row>
    <row r="34" spans="1:97" s="1226" customFormat="1" ht="39.75" customHeight="1">
      <c r="A34" s="2393"/>
      <c r="B34" s="2394"/>
      <c r="C34" s="2394"/>
      <c r="D34" s="2364" t="s">
        <v>3320</v>
      </c>
      <c r="E34" s="2394"/>
      <c r="F34" s="2398">
        <v>1</v>
      </c>
      <c r="G34" s="2396"/>
      <c r="H34" s="2396"/>
      <c r="I34" s="2396"/>
      <c r="J34" s="1560"/>
    </row>
    <row r="35" spans="1:97" s="1226" customFormat="1" ht="59.25" customHeight="1">
      <c r="A35" s="2393"/>
      <c r="B35" s="2394"/>
      <c r="C35" s="2394"/>
      <c r="D35" s="2399" t="s">
        <v>3321</v>
      </c>
      <c r="E35" s="2394"/>
      <c r="F35" s="2400"/>
      <c r="G35" s="2396"/>
      <c r="H35" s="2396"/>
      <c r="I35" s="2397"/>
      <c r="J35" s="2401"/>
      <c r="K35" s="1561"/>
    </row>
    <row r="36" spans="1:97" s="1226" customFormat="1" ht="53.25" customHeight="1">
      <c r="A36" s="2393"/>
      <c r="B36" s="2394"/>
      <c r="C36" s="2394"/>
      <c r="D36" s="2399" t="s">
        <v>3304</v>
      </c>
      <c r="E36" s="2394"/>
      <c r="F36" s="2400"/>
      <c r="G36" s="2396"/>
      <c r="H36" s="2396"/>
      <c r="I36" s="2397"/>
      <c r="J36" s="1560"/>
      <c r="K36" s="1562"/>
    </row>
    <row r="37" spans="1:97" s="1226" customFormat="1" ht="13.5" customHeight="1">
      <c r="A37" s="2393"/>
      <c r="B37" s="2394"/>
      <c r="C37" s="2394"/>
      <c r="D37" s="2364" t="s">
        <v>2174</v>
      </c>
      <c r="E37" s="2394"/>
      <c r="F37" s="2398"/>
      <c r="G37" s="2396"/>
      <c r="H37" s="2396"/>
      <c r="I37" s="2397"/>
      <c r="J37" s="1560"/>
      <c r="K37" s="1562"/>
    </row>
    <row r="38" spans="1:97" s="1226" customFormat="1" ht="27" customHeight="1">
      <c r="A38" s="2393"/>
      <c r="B38" s="2394"/>
      <c r="C38" s="2394"/>
      <c r="D38" s="2364" t="s">
        <v>3305</v>
      </c>
      <c r="E38" s="2394"/>
      <c r="F38" s="2398"/>
      <c r="G38" s="2396"/>
      <c r="H38" s="2396"/>
      <c r="I38" s="2397"/>
    </row>
    <row r="39" spans="1:97" s="1191" customFormat="1" ht="13.5" customHeight="1">
      <c r="A39" s="1430">
        <v>6</v>
      </c>
      <c r="B39" s="1484" t="s">
        <v>2175</v>
      </c>
      <c r="C39" s="1218" t="s">
        <v>3322</v>
      </c>
      <c r="D39" s="1218" t="s">
        <v>3323</v>
      </c>
      <c r="E39" s="1218" t="s">
        <v>210</v>
      </c>
      <c r="F39" s="1431">
        <f>ROUND(SUM(F42),3)</f>
        <v>1</v>
      </c>
      <c r="G39" s="1435"/>
      <c r="H39" s="2402">
        <f t="shared" ref="H39" si="0">ROUND(F39*G39,2)</f>
        <v>0</v>
      </c>
      <c r="I39" s="1221" t="s">
        <v>111</v>
      </c>
      <c r="J39" s="1271"/>
      <c r="K39" s="1566"/>
      <c r="L39" s="1224"/>
      <c r="M39" s="1224"/>
      <c r="N39" s="1224"/>
      <c r="O39" s="1224"/>
      <c r="P39" s="1224" t="s">
        <v>3324</v>
      </c>
      <c r="Q39" s="1224"/>
      <c r="R39" s="2403"/>
      <c r="S39" s="2404"/>
    </row>
    <row r="40" spans="1:97" s="1226" customFormat="1" ht="13.5" customHeight="1">
      <c r="A40" s="1430"/>
      <c r="B40" s="1218"/>
      <c r="C40" s="1218"/>
      <c r="D40" s="1487" t="s">
        <v>3325</v>
      </c>
      <c r="E40" s="1218"/>
      <c r="F40" s="2405"/>
      <c r="G40" s="1435"/>
      <c r="H40" s="1435"/>
      <c r="I40" s="1221"/>
      <c r="J40" s="1271"/>
      <c r="K40" s="1488"/>
      <c r="L40" s="1224"/>
      <c r="M40" s="1224"/>
      <c r="N40" s="1224"/>
      <c r="O40" s="1224"/>
      <c r="P40" s="1224" t="s">
        <v>3324</v>
      </c>
      <c r="Q40" s="1224"/>
      <c r="R40" s="1224"/>
      <c r="S40" s="1224"/>
      <c r="W40" s="2363"/>
      <c r="X40" s="1489"/>
    </row>
    <row r="41" spans="1:97" s="1191" customFormat="1" ht="13.5" customHeight="1">
      <c r="A41" s="1430"/>
      <c r="B41" s="1484"/>
      <c r="C41" s="1218"/>
      <c r="D41" s="1487" t="s">
        <v>3326</v>
      </c>
      <c r="E41" s="1218"/>
      <c r="F41" s="1229"/>
      <c r="G41" s="1435"/>
      <c r="H41" s="1435"/>
      <c r="I41" s="1221"/>
      <c r="J41" s="1271"/>
      <c r="K41" s="1488"/>
      <c r="L41" s="1224"/>
      <c r="M41" s="1224"/>
      <c r="N41" s="1224"/>
      <c r="O41" s="1224"/>
      <c r="P41" s="2406" t="s">
        <v>3324</v>
      </c>
      <c r="Q41" s="1224"/>
      <c r="R41" s="1224"/>
      <c r="S41" s="1224"/>
      <c r="T41" s="1224"/>
    </row>
    <row r="42" spans="1:97" s="1226" customFormat="1" ht="13.5" customHeight="1">
      <c r="A42" s="1430"/>
      <c r="B42" s="1218"/>
      <c r="C42" s="1218"/>
      <c r="D42" s="1487" t="s">
        <v>1182</v>
      </c>
      <c r="E42" s="1218"/>
      <c r="F42" s="1229">
        <v>1</v>
      </c>
      <c r="G42" s="1435"/>
      <c r="H42" s="1435"/>
      <c r="I42" s="1221"/>
      <c r="J42" s="1271"/>
      <c r="K42" s="1224"/>
      <c r="L42" s="1224"/>
      <c r="M42" s="1224"/>
      <c r="N42" s="1224"/>
      <c r="O42" s="1224"/>
      <c r="P42" s="1224"/>
      <c r="Q42" s="1224"/>
      <c r="R42" s="1224"/>
      <c r="S42" s="2407"/>
      <c r="T42" s="1224"/>
      <c r="U42" s="2404"/>
      <c r="V42" s="2406"/>
    </row>
    <row r="43" spans="1:97" s="1226" customFormat="1" ht="27" customHeight="1">
      <c r="A43" s="1430"/>
      <c r="B43" s="1218"/>
      <c r="C43" s="1218"/>
      <c r="D43" s="1487" t="s">
        <v>3327</v>
      </c>
      <c r="E43" s="1218"/>
      <c r="F43" s="2405"/>
      <c r="G43" s="1435"/>
      <c r="H43" s="1435"/>
      <c r="I43" s="2408"/>
      <c r="O43" s="1224"/>
      <c r="P43" s="1224"/>
      <c r="Q43" s="1224"/>
      <c r="R43" s="1224"/>
      <c r="S43" s="1224"/>
      <c r="T43" s="1224"/>
      <c r="Y43" s="1191"/>
    </row>
    <row r="44" spans="1:97" s="1191" customFormat="1" ht="13.5" customHeight="1">
      <c r="A44" s="1430">
        <v>7</v>
      </c>
      <c r="B44" s="1484" t="s">
        <v>2175</v>
      </c>
      <c r="C44" s="1218" t="s">
        <v>3328</v>
      </c>
      <c r="D44" s="1218" t="s">
        <v>3329</v>
      </c>
      <c r="E44" s="1218" t="s">
        <v>210</v>
      </c>
      <c r="F44" s="1431">
        <f>ROUND(SUM(F47),3)</f>
        <v>1</v>
      </c>
      <c r="G44" s="1435"/>
      <c r="H44" s="2402">
        <f t="shared" ref="H44" si="1">ROUND(F44*G44,2)</f>
        <v>0</v>
      </c>
      <c r="I44" s="1221" t="s">
        <v>111</v>
      </c>
      <c r="J44" s="1271"/>
      <c r="K44" s="1566"/>
      <c r="L44" s="1224"/>
      <c r="M44" s="1224"/>
      <c r="N44" s="1224"/>
      <c r="O44" s="1224"/>
      <c r="P44" s="1224" t="s">
        <v>3324</v>
      </c>
      <c r="Q44" s="1224"/>
      <c r="R44" s="2403"/>
      <c r="S44" s="2404"/>
    </row>
    <row r="45" spans="1:97" s="1226" customFormat="1" ht="13.5" customHeight="1">
      <c r="A45" s="1430"/>
      <c r="B45" s="1218"/>
      <c r="C45" s="1218"/>
      <c r="D45" s="1487" t="s">
        <v>3330</v>
      </c>
      <c r="E45" s="1218"/>
      <c r="F45" s="2405"/>
      <c r="G45" s="1435"/>
      <c r="H45" s="1435"/>
      <c r="I45" s="1221"/>
      <c r="J45" s="1271"/>
      <c r="K45" s="1224"/>
      <c r="L45" s="1224"/>
      <c r="M45" s="1224"/>
      <c r="N45" s="1224"/>
      <c r="O45" s="1224"/>
      <c r="P45" s="1224" t="s">
        <v>3324</v>
      </c>
      <c r="Q45" s="1224"/>
      <c r="R45" s="1224"/>
      <c r="S45" s="1224"/>
      <c r="W45" s="2363"/>
      <c r="X45" s="1489"/>
    </row>
    <row r="46" spans="1:97" s="1191" customFormat="1" ht="13.5" customHeight="1">
      <c r="A46" s="1430"/>
      <c r="B46" s="1484"/>
      <c r="C46" s="1218"/>
      <c r="D46" s="1487" t="s">
        <v>3331</v>
      </c>
      <c r="E46" s="1218"/>
      <c r="F46" s="1229"/>
      <c r="G46" s="1435"/>
      <c r="H46" s="1435"/>
      <c r="I46" s="1221"/>
      <c r="J46" s="1271"/>
      <c r="K46" s="1488"/>
      <c r="L46" s="1224"/>
      <c r="M46" s="1224"/>
      <c r="N46" s="1224"/>
      <c r="O46" s="1224"/>
      <c r="P46" s="2406" t="s">
        <v>3324</v>
      </c>
      <c r="Q46" s="1224"/>
      <c r="R46" s="1224"/>
      <c r="S46" s="1224"/>
      <c r="T46" s="1224"/>
    </row>
    <row r="47" spans="1:97" s="1226" customFormat="1" ht="13.5" customHeight="1">
      <c r="A47" s="1430"/>
      <c r="B47" s="1218"/>
      <c r="C47" s="1218"/>
      <c r="D47" s="1487" t="s">
        <v>1182</v>
      </c>
      <c r="E47" s="1218"/>
      <c r="F47" s="1229">
        <v>1</v>
      </c>
      <c r="G47" s="1435"/>
      <c r="H47" s="1435"/>
      <c r="I47" s="1221"/>
      <c r="J47" s="1271"/>
      <c r="K47" s="1224"/>
      <c r="L47" s="1224"/>
      <c r="M47" s="1224"/>
      <c r="N47" s="1224"/>
      <c r="O47" s="1224"/>
      <c r="P47" s="1224"/>
      <c r="Q47" s="1224"/>
      <c r="R47" s="1224"/>
      <c r="S47" s="2407"/>
      <c r="T47" s="1224"/>
      <c r="U47" s="2404"/>
      <c r="V47" s="2406"/>
    </row>
    <row r="48" spans="1:97" s="1226" customFormat="1" ht="27" customHeight="1">
      <c r="A48" s="1430"/>
      <c r="B48" s="1218"/>
      <c r="C48" s="1218"/>
      <c r="D48" s="1487" t="s">
        <v>3327</v>
      </c>
      <c r="E48" s="1218"/>
      <c r="F48" s="2405"/>
      <c r="G48" s="1435"/>
      <c r="H48" s="1435"/>
      <c r="I48" s="2408"/>
      <c r="O48" s="1224"/>
      <c r="P48" s="1224"/>
      <c r="Q48" s="1224"/>
      <c r="R48" s="1224"/>
      <c r="S48" s="1224"/>
      <c r="T48" s="1224"/>
      <c r="Y48" s="1191"/>
    </row>
    <row r="49" spans="1:25" s="1191" customFormat="1" ht="13.5" customHeight="1">
      <c r="A49" s="1430">
        <v>8</v>
      </c>
      <c r="B49" s="1484" t="s">
        <v>2175</v>
      </c>
      <c r="C49" s="1218" t="s">
        <v>3332</v>
      </c>
      <c r="D49" s="1218" t="s">
        <v>3333</v>
      </c>
      <c r="E49" s="1218" t="s">
        <v>210</v>
      </c>
      <c r="F49" s="1431">
        <f>ROUND(SUM(F52),3)</f>
        <v>1</v>
      </c>
      <c r="G49" s="1435"/>
      <c r="H49" s="2402">
        <f t="shared" ref="H49" si="2">ROUND(F49*G49,2)</f>
        <v>0</v>
      </c>
      <c r="I49" s="1221" t="s">
        <v>111</v>
      </c>
      <c r="J49" s="1271"/>
      <c r="K49" s="1566"/>
      <c r="L49" s="1224"/>
      <c r="M49" s="1224"/>
      <c r="N49" s="1224"/>
      <c r="O49" s="1224"/>
      <c r="P49" s="1224" t="s">
        <v>3324</v>
      </c>
      <c r="Q49" s="1224"/>
      <c r="R49" s="2403"/>
      <c r="S49" s="2404"/>
    </row>
    <row r="50" spans="1:25" s="1226" customFormat="1" ht="13.5" customHeight="1">
      <c r="A50" s="1430"/>
      <c r="B50" s="1218"/>
      <c r="C50" s="1218"/>
      <c r="D50" s="1487" t="s">
        <v>3325</v>
      </c>
      <c r="E50" s="1218"/>
      <c r="F50" s="2405"/>
      <c r="G50" s="1435"/>
      <c r="H50" s="1435"/>
      <c r="I50" s="1221"/>
      <c r="J50" s="1271"/>
      <c r="K50" s="1488"/>
      <c r="L50" s="1224"/>
      <c r="M50" s="1224"/>
      <c r="N50" s="1224"/>
      <c r="O50" s="1224"/>
      <c r="P50" s="1224" t="s">
        <v>3324</v>
      </c>
      <c r="Q50" s="1224"/>
      <c r="R50" s="1224"/>
      <c r="S50" s="1224"/>
      <c r="W50" s="2363"/>
      <c r="X50" s="1489"/>
    </row>
    <row r="51" spans="1:25" s="1191" customFormat="1" ht="13.5" customHeight="1">
      <c r="A51" s="1430"/>
      <c r="B51" s="1484"/>
      <c r="C51" s="1218"/>
      <c r="D51" s="1487" t="s">
        <v>3334</v>
      </c>
      <c r="E51" s="1218"/>
      <c r="F51" s="1229"/>
      <c r="G51" s="1435"/>
      <c r="H51" s="1435"/>
      <c r="I51" s="1221"/>
      <c r="J51" s="1271"/>
      <c r="K51" s="1488"/>
      <c r="L51" s="1224"/>
      <c r="M51" s="1224"/>
      <c r="N51" s="1224"/>
      <c r="O51" s="1224"/>
      <c r="P51" s="2406" t="s">
        <v>3324</v>
      </c>
      <c r="Q51" s="1224"/>
      <c r="R51" s="1224"/>
      <c r="S51" s="1224"/>
      <c r="T51" s="1224"/>
    </row>
    <row r="52" spans="1:25" s="1226" customFormat="1" ht="13.5" customHeight="1">
      <c r="A52" s="1430"/>
      <c r="B52" s="1218"/>
      <c r="C52" s="1218"/>
      <c r="D52" s="1487" t="s">
        <v>1182</v>
      </c>
      <c r="E52" s="1218"/>
      <c r="F52" s="1229">
        <v>1</v>
      </c>
      <c r="G52" s="1435"/>
      <c r="H52" s="1435"/>
      <c r="I52" s="1221"/>
      <c r="J52" s="1271"/>
      <c r="K52" s="1224"/>
      <c r="L52" s="1224"/>
      <c r="M52" s="1224"/>
      <c r="N52" s="1224"/>
      <c r="O52" s="1224"/>
      <c r="P52" s="1224"/>
      <c r="Q52" s="1224"/>
      <c r="R52" s="1224"/>
      <c r="S52" s="2407"/>
      <c r="T52" s="1224"/>
      <c r="U52" s="2404"/>
      <c r="V52" s="2406"/>
    </row>
    <row r="53" spans="1:25" s="1226" customFormat="1" ht="27" customHeight="1">
      <c r="A53" s="1430"/>
      <c r="B53" s="1218"/>
      <c r="C53" s="1218"/>
      <c r="D53" s="1487" t="s">
        <v>3327</v>
      </c>
      <c r="E53" s="1218"/>
      <c r="F53" s="2405"/>
      <c r="G53" s="1435"/>
      <c r="H53" s="1435"/>
      <c r="I53" s="2408"/>
      <c r="O53" s="1224"/>
      <c r="P53" s="1224"/>
      <c r="Q53" s="1224"/>
      <c r="R53" s="1224"/>
      <c r="S53" s="1224"/>
      <c r="T53" s="1224"/>
      <c r="Y53" s="1191"/>
    </row>
    <row r="54" spans="1:25" s="1191" customFormat="1" ht="13.5" customHeight="1">
      <c r="A54" s="1430">
        <v>9</v>
      </c>
      <c r="B54" s="1484" t="s">
        <v>2175</v>
      </c>
      <c r="C54" s="1218" t="s">
        <v>3335</v>
      </c>
      <c r="D54" s="1218" t="s">
        <v>3336</v>
      </c>
      <c r="E54" s="1218" t="s">
        <v>210</v>
      </c>
      <c r="F54" s="1431">
        <f>ROUND(SUM(F57),3)</f>
        <v>1</v>
      </c>
      <c r="G54" s="1435"/>
      <c r="H54" s="2402">
        <f t="shared" ref="H54" si="3">ROUND(F54*G54,2)</f>
        <v>0</v>
      </c>
      <c r="I54" s="1221" t="s">
        <v>111</v>
      </c>
      <c r="J54" s="1271"/>
      <c r="K54" s="1566"/>
      <c r="L54" s="1224"/>
      <c r="M54" s="1224"/>
      <c r="N54" s="1224"/>
      <c r="O54" s="1224"/>
      <c r="P54" s="1224" t="s">
        <v>3324</v>
      </c>
      <c r="Q54" s="1224"/>
      <c r="R54" s="2403"/>
      <c r="S54" s="2404"/>
    </row>
    <row r="55" spans="1:25" s="1226" customFormat="1" ht="13.5" customHeight="1">
      <c r="A55" s="1430"/>
      <c r="B55" s="1218"/>
      <c r="C55" s="1218"/>
      <c r="D55" s="1487" t="s">
        <v>3325</v>
      </c>
      <c r="E55" s="1218"/>
      <c r="F55" s="2405"/>
      <c r="G55" s="1435"/>
      <c r="H55" s="1435"/>
      <c r="I55" s="1221"/>
      <c r="J55" s="1271"/>
      <c r="K55" s="1488"/>
      <c r="L55" s="1224"/>
      <c r="M55" s="1224"/>
      <c r="N55" s="1224"/>
      <c r="O55" s="1224"/>
      <c r="P55" s="1224" t="s">
        <v>3324</v>
      </c>
      <c r="Q55" s="1224"/>
      <c r="R55" s="1224"/>
      <c r="S55" s="1224"/>
      <c r="W55" s="2363"/>
      <c r="X55" s="1489"/>
    </row>
    <row r="56" spans="1:25" s="1191" customFormat="1" ht="13.5" customHeight="1">
      <c r="A56" s="1430"/>
      <c r="B56" s="1484"/>
      <c r="C56" s="1218"/>
      <c r="D56" s="1487" t="s">
        <v>3337</v>
      </c>
      <c r="E56" s="1218"/>
      <c r="F56" s="1229"/>
      <c r="G56" s="1435"/>
      <c r="H56" s="1435"/>
      <c r="I56" s="1221"/>
      <c r="J56" s="1271"/>
      <c r="K56" s="1488"/>
      <c r="L56" s="1224"/>
      <c r="M56" s="1224"/>
      <c r="N56" s="1224"/>
      <c r="O56" s="1224"/>
      <c r="P56" s="2406" t="s">
        <v>3324</v>
      </c>
      <c r="Q56" s="1224"/>
      <c r="R56" s="1224"/>
      <c r="S56" s="1224"/>
      <c r="T56" s="1224"/>
    </row>
    <row r="57" spans="1:25" s="1226" customFormat="1" ht="13.5" customHeight="1">
      <c r="A57" s="1430"/>
      <c r="B57" s="1218"/>
      <c r="C57" s="1218"/>
      <c r="D57" s="1487" t="s">
        <v>1182</v>
      </c>
      <c r="E57" s="1218"/>
      <c r="F57" s="1229">
        <v>1</v>
      </c>
      <c r="G57" s="1435"/>
      <c r="H57" s="1435"/>
      <c r="I57" s="1221"/>
      <c r="J57" s="1271"/>
      <c r="K57" s="1224"/>
      <c r="L57" s="1224"/>
      <c r="M57" s="1224"/>
      <c r="N57" s="1224"/>
      <c r="O57" s="1224"/>
      <c r="P57" s="1224"/>
      <c r="Q57" s="1224"/>
      <c r="R57" s="1224"/>
      <c r="S57" s="2407"/>
      <c r="T57" s="1224"/>
      <c r="U57" s="2404"/>
      <c r="V57" s="2406"/>
    </row>
    <row r="58" spans="1:25" s="1226" customFormat="1" ht="27" customHeight="1">
      <c r="A58" s="1430"/>
      <c r="B58" s="1218"/>
      <c r="C58" s="1218"/>
      <c r="D58" s="1487" t="s">
        <v>3327</v>
      </c>
      <c r="E58" s="1218"/>
      <c r="F58" s="2405"/>
      <c r="G58" s="1435"/>
      <c r="H58" s="1435"/>
      <c r="I58" s="2408"/>
      <c r="O58" s="1224"/>
      <c r="P58" s="1224"/>
      <c r="Q58" s="1224"/>
      <c r="R58" s="1224"/>
      <c r="S58" s="1224"/>
      <c r="T58" s="1224"/>
      <c r="Y58" s="1191"/>
    </row>
    <row r="59" spans="1:25" s="1191" customFormat="1" ht="13.5" customHeight="1">
      <c r="A59" s="1430">
        <v>10</v>
      </c>
      <c r="B59" s="1484" t="s">
        <v>2175</v>
      </c>
      <c r="C59" s="1218" t="s">
        <v>3338</v>
      </c>
      <c r="D59" s="1218" t="s">
        <v>3339</v>
      </c>
      <c r="E59" s="1218" t="s">
        <v>210</v>
      </c>
      <c r="F59" s="1431">
        <f>ROUND(SUM(F62),3)</f>
        <v>1</v>
      </c>
      <c r="G59" s="1435"/>
      <c r="H59" s="2402">
        <f t="shared" ref="H59" si="4">ROUND(F59*G59,2)</f>
        <v>0</v>
      </c>
      <c r="I59" s="1221" t="s">
        <v>111</v>
      </c>
      <c r="J59" s="1271"/>
      <c r="K59" s="1566"/>
      <c r="L59" s="1224"/>
      <c r="M59" s="1224"/>
      <c r="N59" s="1224"/>
      <c r="O59" s="1224"/>
      <c r="P59" s="1224" t="s">
        <v>3324</v>
      </c>
      <c r="Q59" s="1224"/>
      <c r="R59" s="2403"/>
      <c r="S59" s="2404"/>
    </row>
    <row r="60" spans="1:25" s="1226" customFormat="1" ht="13.5" customHeight="1">
      <c r="A60" s="1430"/>
      <c r="B60" s="1218"/>
      <c r="C60" s="1218"/>
      <c r="D60" s="1487" t="s">
        <v>3325</v>
      </c>
      <c r="E60" s="1218"/>
      <c r="F60" s="2405"/>
      <c r="G60" s="1435"/>
      <c r="H60" s="1435"/>
      <c r="I60" s="1221"/>
      <c r="J60" s="1271"/>
      <c r="K60" s="1488"/>
      <c r="L60" s="1224"/>
      <c r="M60" s="1224"/>
      <c r="N60" s="1224"/>
      <c r="O60" s="1224"/>
      <c r="P60" s="1224" t="s">
        <v>3324</v>
      </c>
      <c r="Q60" s="1224"/>
      <c r="R60" s="1224"/>
      <c r="S60" s="1224"/>
      <c r="W60" s="2363"/>
      <c r="X60" s="1489"/>
    </row>
    <row r="61" spans="1:25" s="1191" customFormat="1" ht="13.5" customHeight="1">
      <c r="A61" s="1430"/>
      <c r="B61" s="1484"/>
      <c r="C61" s="1218"/>
      <c r="D61" s="1487" t="s">
        <v>3326</v>
      </c>
      <c r="E61" s="1218"/>
      <c r="F61" s="1229"/>
      <c r="G61" s="1435"/>
      <c r="H61" s="1435"/>
      <c r="I61" s="1221"/>
      <c r="J61" s="1271"/>
      <c r="K61" s="1488"/>
      <c r="L61" s="1224"/>
      <c r="M61" s="1224"/>
      <c r="N61" s="1224"/>
      <c r="O61" s="1224"/>
      <c r="P61" s="2406" t="s">
        <v>3324</v>
      </c>
      <c r="Q61" s="1224"/>
      <c r="R61" s="1224"/>
      <c r="S61" s="1224"/>
      <c r="T61" s="1224"/>
    </row>
    <row r="62" spans="1:25" s="1226" customFormat="1" ht="13.5" customHeight="1">
      <c r="A62" s="1430"/>
      <c r="B62" s="1218"/>
      <c r="C62" s="1218"/>
      <c r="D62" s="1487" t="s">
        <v>1182</v>
      </c>
      <c r="E62" s="1218"/>
      <c r="F62" s="1229">
        <v>1</v>
      </c>
      <c r="G62" s="1435"/>
      <c r="H62" s="1435"/>
      <c r="I62" s="1221"/>
      <c r="J62" s="1271"/>
      <c r="K62" s="1224"/>
      <c r="L62" s="1224"/>
      <c r="M62" s="1224"/>
      <c r="N62" s="1224"/>
      <c r="O62" s="1224"/>
      <c r="P62" s="1224"/>
      <c r="Q62" s="1224"/>
      <c r="R62" s="1224"/>
      <c r="S62" s="2407"/>
      <c r="T62" s="1224"/>
      <c r="U62" s="2404"/>
      <c r="V62" s="2406"/>
    </row>
    <row r="63" spans="1:25" s="1226" customFormat="1" ht="27" customHeight="1">
      <c r="A63" s="1430"/>
      <c r="B63" s="1218"/>
      <c r="C63" s="1218"/>
      <c r="D63" s="1487" t="s">
        <v>3327</v>
      </c>
      <c r="E63" s="1218"/>
      <c r="F63" s="2405"/>
      <c r="G63" s="1435"/>
      <c r="H63" s="1435"/>
      <c r="I63" s="2408"/>
      <c r="O63" s="1224"/>
      <c r="P63" s="1224"/>
      <c r="Q63" s="1224"/>
      <c r="R63" s="1224"/>
      <c r="S63" s="1224"/>
      <c r="T63" s="1224"/>
      <c r="Y63" s="1191"/>
    </row>
    <row r="64" spans="1:25" s="1191" customFormat="1" ht="13.5" customHeight="1">
      <c r="A64" s="1430">
        <v>11</v>
      </c>
      <c r="B64" s="1484" t="s">
        <v>2175</v>
      </c>
      <c r="C64" s="1218" t="s">
        <v>3340</v>
      </c>
      <c r="D64" s="1218" t="s">
        <v>3341</v>
      </c>
      <c r="E64" s="1218" t="s">
        <v>210</v>
      </c>
      <c r="F64" s="1431">
        <f>F65</f>
        <v>1</v>
      </c>
      <c r="G64" s="1435"/>
      <c r="H64" s="2402">
        <f t="shared" ref="H64" si="5">ROUND(F64*G64,2)</f>
        <v>0</v>
      </c>
      <c r="I64" s="1221" t="s">
        <v>111</v>
      </c>
      <c r="J64" s="1571"/>
      <c r="K64" s="1566"/>
      <c r="L64" s="1224"/>
      <c r="M64" s="1224"/>
      <c r="N64" s="1224"/>
      <c r="O64" s="1224"/>
      <c r="P64" s="1224" t="s">
        <v>3324</v>
      </c>
      <c r="Q64" s="1224"/>
      <c r="R64" s="2403"/>
      <c r="S64" s="2404"/>
    </row>
    <row r="65" spans="1:25" s="1226" customFormat="1" ht="13.5" customHeight="1">
      <c r="A65" s="1430"/>
      <c r="B65" s="1218"/>
      <c r="C65" s="1218"/>
      <c r="D65" s="1487" t="s">
        <v>3342</v>
      </c>
      <c r="E65" s="1218"/>
      <c r="F65" s="1229">
        <v>1</v>
      </c>
      <c r="G65" s="1435"/>
      <c r="H65" s="1435"/>
      <c r="I65" s="1221"/>
      <c r="J65" s="1560"/>
      <c r="K65" s="1488"/>
      <c r="L65" s="1224"/>
      <c r="M65" s="1224"/>
      <c r="N65" s="1224"/>
      <c r="O65" s="1224"/>
      <c r="P65" s="1224" t="s">
        <v>3324</v>
      </c>
      <c r="Q65" s="1224"/>
      <c r="R65" s="1224"/>
      <c r="S65" s="1224"/>
      <c r="W65" s="2363"/>
      <c r="X65" s="1489"/>
    </row>
    <row r="66" spans="1:25" s="1226" customFormat="1" ht="13.5" customHeight="1">
      <c r="A66" s="1430"/>
      <c r="B66" s="1218"/>
      <c r="C66" s="1218"/>
      <c r="D66" s="1487" t="s">
        <v>3343</v>
      </c>
      <c r="E66" s="1218"/>
      <c r="F66" s="2405"/>
      <c r="G66" s="1435"/>
      <c r="H66" s="1435"/>
      <c r="I66" s="2408"/>
      <c r="J66" s="2401"/>
      <c r="O66" s="1224"/>
      <c r="P66" s="1224"/>
      <c r="Q66" s="1224"/>
      <c r="R66" s="1224"/>
      <c r="S66" s="1224"/>
      <c r="T66" s="1224"/>
      <c r="Y66" s="1191"/>
    </row>
    <row r="67" spans="1:25" s="1191" customFormat="1" ht="13.5" customHeight="1">
      <c r="A67" s="1430">
        <v>12</v>
      </c>
      <c r="B67" s="1484" t="s">
        <v>2175</v>
      </c>
      <c r="C67" s="1218" t="s">
        <v>3344</v>
      </c>
      <c r="D67" s="1218" t="s">
        <v>3345</v>
      </c>
      <c r="E67" s="1218" t="s">
        <v>210</v>
      </c>
      <c r="F67" s="1431">
        <f>F68</f>
        <v>1</v>
      </c>
      <c r="G67" s="1435"/>
      <c r="H67" s="2402">
        <f t="shared" ref="H67" si="6">ROUND(F67*G67,2)</f>
        <v>0</v>
      </c>
      <c r="I67" s="1221" t="s">
        <v>111</v>
      </c>
      <c r="J67" s="1571"/>
      <c r="K67" s="1566"/>
      <c r="L67" s="1224"/>
      <c r="M67" s="1224"/>
      <c r="N67" s="1224"/>
      <c r="O67" s="1224"/>
      <c r="P67" s="1224" t="s">
        <v>3324</v>
      </c>
      <c r="Q67" s="1224"/>
      <c r="R67" s="2403"/>
      <c r="S67" s="2404"/>
    </row>
    <row r="68" spans="1:25" s="1226" customFormat="1" ht="13.5" customHeight="1">
      <c r="A68" s="1430"/>
      <c r="B68" s="1218"/>
      <c r="C68" s="1218"/>
      <c r="D68" s="1487" t="s">
        <v>3346</v>
      </c>
      <c r="E68" s="1218"/>
      <c r="F68" s="1229">
        <v>1</v>
      </c>
      <c r="G68" s="1435"/>
      <c r="H68" s="1435"/>
      <c r="I68" s="1221"/>
      <c r="J68" s="1560"/>
      <c r="K68" s="1488"/>
      <c r="L68" s="1224"/>
      <c r="M68" s="1224"/>
      <c r="N68" s="1224"/>
      <c r="O68" s="1224"/>
      <c r="P68" s="1224" t="s">
        <v>3324</v>
      </c>
      <c r="Q68" s="1224"/>
      <c r="R68" s="1224"/>
      <c r="S68" s="1224"/>
      <c r="W68" s="2363"/>
      <c r="X68" s="1489"/>
    </row>
    <row r="69" spans="1:25" s="1226" customFormat="1" ht="13.5" customHeight="1">
      <c r="A69" s="1430"/>
      <c r="B69" s="1218"/>
      <c r="C69" s="1218"/>
      <c r="D69" s="1487" t="s">
        <v>3343</v>
      </c>
      <c r="E69" s="1218"/>
      <c r="F69" s="2405"/>
      <c r="G69" s="1435"/>
      <c r="H69" s="1435"/>
      <c r="I69" s="2408"/>
      <c r="J69" s="2401"/>
      <c r="O69" s="1224"/>
      <c r="P69" s="1224"/>
      <c r="Q69" s="1224"/>
      <c r="R69" s="1224"/>
      <c r="S69" s="1224"/>
      <c r="T69" s="1224"/>
      <c r="Y69" s="1191"/>
    </row>
    <row r="70" spans="1:25" s="1191" customFormat="1" ht="13.5" customHeight="1">
      <c r="A70" s="1430">
        <v>13</v>
      </c>
      <c r="B70" s="1484" t="s">
        <v>2175</v>
      </c>
      <c r="C70" s="1218" t="s">
        <v>3347</v>
      </c>
      <c r="D70" s="1218" t="s">
        <v>3348</v>
      </c>
      <c r="E70" s="1218" t="s">
        <v>210</v>
      </c>
      <c r="F70" s="1431">
        <f>F71</f>
        <v>1</v>
      </c>
      <c r="G70" s="1435"/>
      <c r="H70" s="2402">
        <f t="shared" ref="H70" si="7">ROUND(F70*G70,2)</f>
        <v>0</v>
      </c>
      <c r="I70" s="1221" t="s">
        <v>111</v>
      </c>
      <c r="J70" s="1571"/>
      <c r="K70" s="1566"/>
      <c r="L70" s="1224"/>
      <c r="M70" s="1224"/>
      <c r="N70" s="1224"/>
      <c r="O70" s="1224"/>
      <c r="P70" s="1224" t="s">
        <v>3324</v>
      </c>
      <c r="Q70" s="1224"/>
      <c r="R70" s="2403"/>
      <c r="S70" s="2404"/>
    </row>
    <row r="71" spans="1:25" s="1226" customFormat="1" ht="13.5" customHeight="1">
      <c r="A71" s="1430"/>
      <c r="B71" s="1218"/>
      <c r="C71" s="1218"/>
      <c r="D71" s="1487" t="s">
        <v>3349</v>
      </c>
      <c r="E71" s="1218"/>
      <c r="F71" s="1229">
        <v>1</v>
      </c>
      <c r="G71" s="1435"/>
      <c r="H71" s="1435"/>
      <c r="I71" s="1221"/>
      <c r="J71" s="1560"/>
      <c r="K71" s="1488"/>
      <c r="L71" s="1224"/>
      <c r="M71" s="1224"/>
      <c r="N71" s="1224"/>
      <c r="O71" s="1224"/>
      <c r="P71" s="1224" t="s">
        <v>3324</v>
      </c>
      <c r="Q71" s="1224"/>
      <c r="R71" s="1224"/>
      <c r="S71" s="1224"/>
      <c r="W71" s="2363"/>
      <c r="X71" s="1489"/>
    </row>
    <row r="72" spans="1:25" s="1226" customFormat="1" ht="13.5" customHeight="1">
      <c r="A72" s="1430"/>
      <c r="B72" s="1218"/>
      <c r="C72" s="1218"/>
      <c r="D72" s="1487" t="s">
        <v>3343</v>
      </c>
      <c r="E72" s="1218"/>
      <c r="F72" s="2405"/>
      <c r="G72" s="1435"/>
      <c r="H72" s="1435"/>
      <c r="I72" s="2408"/>
      <c r="J72" s="2401"/>
      <c r="O72" s="1224"/>
      <c r="P72" s="1224"/>
      <c r="Q72" s="1224"/>
      <c r="R72" s="1224"/>
      <c r="S72" s="1224"/>
      <c r="T72" s="1224"/>
      <c r="Y72" s="1191"/>
    </row>
    <row r="73" spans="1:25" s="1191" customFormat="1" ht="13.5" customHeight="1">
      <c r="A73" s="1430">
        <v>14</v>
      </c>
      <c r="B73" s="1484" t="s">
        <v>2175</v>
      </c>
      <c r="C73" s="1218" t="s">
        <v>3350</v>
      </c>
      <c r="D73" s="1218" t="s">
        <v>3351</v>
      </c>
      <c r="E73" s="1218" t="s">
        <v>210</v>
      </c>
      <c r="F73" s="1431">
        <f>F74</f>
        <v>1</v>
      </c>
      <c r="G73" s="1435"/>
      <c r="H73" s="2402">
        <f t="shared" ref="H73" si="8">ROUND(F73*G73,2)</f>
        <v>0</v>
      </c>
      <c r="I73" s="1221" t="s">
        <v>111</v>
      </c>
      <c r="J73" s="1571"/>
      <c r="K73" s="1566"/>
      <c r="L73" s="1224"/>
      <c r="M73" s="1224"/>
      <c r="N73" s="1224"/>
      <c r="O73" s="1224"/>
      <c r="P73" s="1224" t="s">
        <v>3324</v>
      </c>
      <c r="Q73" s="1224"/>
      <c r="R73" s="2403"/>
      <c r="S73" s="2404"/>
    </row>
    <row r="74" spans="1:25" s="1226" customFormat="1" ht="13.5" customHeight="1">
      <c r="A74" s="1430"/>
      <c r="B74" s="1218"/>
      <c r="C74" s="1218"/>
      <c r="D74" s="1487" t="s">
        <v>3352</v>
      </c>
      <c r="E74" s="1218"/>
      <c r="F74" s="1229">
        <v>1</v>
      </c>
      <c r="G74" s="1435"/>
      <c r="H74" s="1435"/>
      <c r="I74" s="1221"/>
      <c r="J74" s="1560"/>
      <c r="K74" s="1488"/>
      <c r="L74" s="1224"/>
      <c r="M74" s="1224"/>
      <c r="N74" s="1224"/>
      <c r="O74" s="1224"/>
      <c r="P74" s="1224" t="s">
        <v>3324</v>
      </c>
      <c r="Q74" s="1224"/>
      <c r="R74" s="1224"/>
      <c r="S74" s="1224"/>
      <c r="W74" s="2363"/>
      <c r="X74" s="1489"/>
    </row>
    <row r="75" spans="1:25" s="1226" customFormat="1" ht="13.5" customHeight="1">
      <c r="A75" s="1430"/>
      <c r="B75" s="1218"/>
      <c r="C75" s="1218"/>
      <c r="D75" s="1487" t="s">
        <v>3343</v>
      </c>
      <c r="E75" s="1218"/>
      <c r="F75" s="2405"/>
      <c r="G75" s="1435"/>
      <c r="H75" s="1435"/>
      <c r="I75" s="2408"/>
      <c r="J75" s="2401"/>
      <c r="O75" s="1224"/>
      <c r="P75" s="1224"/>
      <c r="Q75" s="1224"/>
      <c r="R75" s="1224"/>
      <c r="S75" s="1224"/>
      <c r="T75" s="1224"/>
      <c r="Y75" s="1191"/>
    </row>
    <row r="76" spans="1:25" s="1191" customFormat="1" ht="13.5" customHeight="1">
      <c r="A76" s="1430">
        <v>15</v>
      </c>
      <c r="B76" s="1484" t="s">
        <v>2175</v>
      </c>
      <c r="C76" s="1218" t="s">
        <v>3353</v>
      </c>
      <c r="D76" s="1218" t="s">
        <v>3354</v>
      </c>
      <c r="E76" s="1218" t="s">
        <v>210</v>
      </c>
      <c r="F76" s="1431">
        <f>F77</f>
        <v>1</v>
      </c>
      <c r="G76" s="1435"/>
      <c r="H76" s="2402">
        <f t="shared" ref="H76" si="9">ROUND(F76*G76,2)</f>
        <v>0</v>
      </c>
      <c r="I76" s="1221" t="s">
        <v>111</v>
      </c>
      <c r="J76" s="1571"/>
      <c r="K76" s="1566"/>
      <c r="L76" s="1224"/>
      <c r="M76" s="1224"/>
      <c r="N76" s="1224"/>
      <c r="O76" s="1224"/>
      <c r="P76" s="1224" t="s">
        <v>3324</v>
      </c>
      <c r="Q76" s="1224"/>
      <c r="R76" s="2403"/>
      <c r="S76" s="2404"/>
    </row>
    <row r="77" spans="1:25" s="1226" customFormat="1" ht="13.5" customHeight="1">
      <c r="A77" s="1430"/>
      <c r="B77" s="1218"/>
      <c r="C77" s="1218"/>
      <c r="D77" s="1487" t="s">
        <v>3355</v>
      </c>
      <c r="E77" s="1218"/>
      <c r="F77" s="1229">
        <v>1</v>
      </c>
      <c r="G77" s="1435"/>
      <c r="H77" s="1435"/>
      <c r="I77" s="1221"/>
      <c r="J77" s="1560"/>
      <c r="K77" s="1488"/>
      <c r="L77" s="1224"/>
      <c r="M77" s="1224"/>
      <c r="N77" s="1224"/>
      <c r="O77" s="1224"/>
      <c r="P77" s="1224" t="s">
        <v>3324</v>
      </c>
      <c r="Q77" s="1224"/>
      <c r="R77" s="1224"/>
      <c r="S77" s="1224"/>
      <c r="W77" s="2363"/>
      <c r="X77" s="1489"/>
    </row>
    <row r="78" spans="1:25" s="1226" customFormat="1" ht="13.5" customHeight="1">
      <c r="A78" s="1430"/>
      <c r="B78" s="1218"/>
      <c r="C78" s="1218"/>
      <c r="D78" s="1487" t="s">
        <v>3343</v>
      </c>
      <c r="E78" s="1218"/>
      <c r="F78" s="2405"/>
      <c r="G78" s="1435"/>
      <c r="H78" s="1435"/>
      <c r="I78" s="2408"/>
      <c r="J78" s="2401"/>
      <c r="O78" s="1224"/>
      <c r="P78" s="1224"/>
      <c r="Q78" s="1224"/>
      <c r="R78" s="1224"/>
      <c r="S78" s="1224"/>
      <c r="T78" s="1224"/>
      <c r="Y78" s="1191"/>
    </row>
    <row r="79" spans="1:25" s="1226" customFormat="1" ht="13.5" customHeight="1">
      <c r="A79" s="2393">
        <v>16</v>
      </c>
      <c r="B79" s="2394">
        <v>751</v>
      </c>
      <c r="C79" s="2394" t="s">
        <v>2176</v>
      </c>
      <c r="D79" s="2394" t="s">
        <v>3356</v>
      </c>
      <c r="E79" s="2394" t="s">
        <v>49</v>
      </c>
      <c r="F79" s="2409">
        <f>F80</f>
        <v>1</v>
      </c>
      <c r="G79" s="2396"/>
      <c r="H79" s="2396">
        <f>F79*G79</f>
        <v>0</v>
      </c>
      <c r="I79" s="2397" t="s">
        <v>112</v>
      </c>
      <c r="M79" s="1553"/>
      <c r="N79" s="1469"/>
      <c r="O79" s="1469"/>
      <c r="P79" s="1469"/>
      <c r="Q79" s="1469"/>
      <c r="R79" s="1469"/>
      <c r="S79" s="1469"/>
      <c r="T79" s="1469"/>
      <c r="U79" s="1469"/>
      <c r="V79" s="1469"/>
      <c r="W79" s="1469"/>
    </row>
    <row r="80" spans="1:25" s="1226" customFormat="1" ht="27" customHeight="1">
      <c r="A80" s="2393"/>
      <c r="B80" s="2394"/>
      <c r="C80" s="2394"/>
      <c r="D80" s="2364" t="s">
        <v>2177</v>
      </c>
      <c r="E80" s="2394"/>
      <c r="F80" s="2398">
        <v>1</v>
      </c>
      <c r="G80" s="2396"/>
      <c r="H80" s="2396"/>
      <c r="I80" s="2397"/>
      <c r="M80" s="1553"/>
      <c r="N80" s="1469"/>
      <c r="O80" s="1469"/>
      <c r="P80" s="1469"/>
      <c r="Q80" s="1469"/>
      <c r="R80" s="1469"/>
      <c r="S80" s="1469"/>
      <c r="T80" s="1469"/>
      <c r="U80" s="1469"/>
      <c r="V80" s="1469"/>
      <c r="W80" s="1469"/>
    </row>
    <row r="81" spans="1:26" s="1226" customFormat="1" ht="13.5" customHeight="1">
      <c r="A81" s="2393"/>
      <c r="B81" s="2394"/>
      <c r="C81" s="2394"/>
      <c r="D81" s="2364" t="s">
        <v>2178</v>
      </c>
      <c r="E81" s="2394"/>
      <c r="F81" s="2398"/>
      <c r="G81" s="2396"/>
      <c r="H81" s="2396"/>
      <c r="I81" s="2397"/>
      <c r="J81" s="1560"/>
      <c r="K81" s="1562"/>
    </row>
    <row r="82" spans="1:26" s="1191" customFormat="1" ht="13.5" customHeight="1">
      <c r="A82" s="2393">
        <v>17</v>
      </c>
      <c r="B82" s="2410" t="s">
        <v>2175</v>
      </c>
      <c r="C82" s="2394">
        <v>998751201</v>
      </c>
      <c r="D82" s="2394" t="s">
        <v>2179</v>
      </c>
      <c r="E82" s="2394" t="s">
        <v>10</v>
      </c>
      <c r="F82" s="2409">
        <v>0.28999999999999998</v>
      </c>
      <c r="G82" s="2396"/>
      <c r="H82" s="2396">
        <f>F82*G82</f>
        <v>0</v>
      </c>
      <c r="I82" s="2397" t="s">
        <v>138</v>
      </c>
      <c r="J82" s="1564"/>
      <c r="M82" s="1553"/>
      <c r="N82" s="1469"/>
      <c r="O82" s="1469"/>
      <c r="P82" s="1469"/>
      <c r="Q82" s="1469"/>
      <c r="R82" s="1469"/>
      <c r="S82" s="1469"/>
      <c r="T82" s="1469"/>
      <c r="U82" s="1469"/>
      <c r="V82" s="1469"/>
      <c r="W82" s="1469"/>
    </row>
    <row r="83" spans="1:26" s="1226" customFormat="1" ht="13.5" customHeight="1">
      <c r="A83" s="2393">
        <v>18</v>
      </c>
      <c r="B83" s="2394" t="s">
        <v>369</v>
      </c>
      <c r="C83" s="2394" t="s">
        <v>2180</v>
      </c>
      <c r="D83" s="2394" t="s">
        <v>2181</v>
      </c>
      <c r="E83" s="2394" t="s">
        <v>69</v>
      </c>
      <c r="F83" s="2409">
        <f>F84</f>
        <v>25</v>
      </c>
      <c r="G83" s="2396"/>
      <c r="H83" s="2396">
        <f>F83*G83</f>
        <v>0</v>
      </c>
      <c r="I83" s="2397" t="s">
        <v>138</v>
      </c>
      <c r="M83" s="1553"/>
      <c r="N83" s="1469"/>
      <c r="O83" s="1469"/>
      <c r="P83" s="1469"/>
      <c r="Q83" s="1469"/>
      <c r="R83" s="1469"/>
      <c r="S83" s="1469"/>
      <c r="T83" s="1469"/>
      <c r="U83" s="1469"/>
      <c r="V83" s="1469"/>
      <c r="W83" s="1469"/>
    </row>
    <row r="84" spans="1:26" s="1226" customFormat="1" ht="13.5" customHeight="1">
      <c r="A84" s="2393"/>
      <c r="B84" s="2394"/>
      <c r="C84" s="2394"/>
      <c r="D84" s="2364" t="s">
        <v>2182</v>
      </c>
      <c r="E84" s="2394"/>
      <c r="F84" s="2398">
        <v>25</v>
      </c>
      <c r="G84" s="2396"/>
      <c r="H84" s="2396"/>
      <c r="I84" s="2397"/>
      <c r="M84" s="1553"/>
      <c r="N84" s="1469"/>
      <c r="O84" s="1469"/>
      <c r="P84" s="1469"/>
      <c r="Q84" s="1469"/>
      <c r="R84" s="1469"/>
      <c r="S84" s="1469"/>
      <c r="T84" s="1469"/>
      <c r="U84" s="1469"/>
      <c r="V84" s="1469"/>
      <c r="W84" s="1469"/>
    </row>
    <row r="85" spans="1:26" s="1226" customFormat="1" ht="27" customHeight="1">
      <c r="A85" s="2393"/>
      <c r="B85" s="2394"/>
      <c r="C85" s="2394"/>
      <c r="D85" s="2411" t="s">
        <v>2183</v>
      </c>
      <c r="E85" s="2394"/>
      <c r="F85" s="2409"/>
      <c r="G85" s="2396"/>
      <c r="H85" s="2396"/>
      <c r="I85" s="2397"/>
      <c r="M85" s="1553"/>
      <c r="N85" s="1469"/>
      <c r="O85" s="1469"/>
      <c r="P85" s="1469"/>
      <c r="Q85" s="1469"/>
      <c r="R85" s="1469"/>
      <c r="S85" s="1469"/>
      <c r="T85" s="1469"/>
      <c r="U85" s="1469"/>
      <c r="V85" s="1469"/>
      <c r="W85" s="1469"/>
    </row>
    <row r="86" spans="1:26" s="1191" customFormat="1" ht="13.5" customHeight="1">
      <c r="A86" s="2388"/>
      <c r="B86" s="2389"/>
      <c r="C86" s="2389">
        <v>751</v>
      </c>
      <c r="D86" s="2389" t="s">
        <v>2184</v>
      </c>
      <c r="E86" s="2389"/>
      <c r="F86" s="2412"/>
      <c r="G86" s="2391"/>
      <c r="H86" s="2391">
        <f>SUM(H87:H331)</f>
        <v>0</v>
      </c>
      <c r="I86" s="2392"/>
      <c r="J86" s="1565"/>
      <c r="M86" s="1553"/>
      <c r="N86" s="1477"/>
      <c r="O86" s="1469"/>
      <c r="P86" s="1469"/>
      <c r="Q86" s="1469"/>
      <c r="R86" s="1469"/>
      <c r="S86" s="1469"/>
      <c r="T86" s="1469"/>
      <c r="U86" s="1469"/>
      <c r="V86" s="1469"/>
      <c r="W86" s="1469"/>
    </row>
    <row r="87" spans="1:26" s="1494" customFormat="1" ht="13.5" customHeight="1">
      <c r="A87" s="2413">
        <v>19</v>
      </c>
      <c r="B87" s="2414">
        <v>751</v>
      </c>
      <c r="C87" s="2414" t="s">
        <v>3357</v>
      </c>
      <c r="D87" s="2414" t="s">
        <v>3358</v>
      </c>
      <c r="E87" s="2414" t="s">
        <v>142</v>
      </c>
      <c r="F87" s="2415">
        <f>F90</f>
        <v>9.8000000000000007</v>
      </c>
      <c r="G87" s="2395"/>
      <c r="H87" s="2402">
        <f t="shared" ref="H87" si="10">ROUND(F87*G87,2)</f>
        <v>0</v>
      </c>
      <c r="I87" s="2416" t="s">
        <v>111</v>
      </c>
      <c r="J87" s="1577"/>
    </row>
    <row r="88" spans="1:26" s="1494" customFormat="1" ht="13.5" customHeight="1">
      <c r="A88" s="2413"/>
      <c r="B88" s="2414"/>
      <c r="C88" s="2414"/>
      <c r="D88" s="2417" t="s">
        <v>3359</v>
      </c>
      <c r="E88" s="2414"/>
      <c r="F88" s="2418"/>
      <c r="G88" s="2419"/>
      <c r="H88" s="2419"/>
      <c r="I88" s="2416"/>
      <c r="J88" s="1576"/>
      <c r="K88" s="1574"/>
      <c r="L88" s="1574"/>
      <c r="M88" s="1507"/>
      <c r="N88" s="1507"/>
      <c r="O88" s="1507"/>
      <c r="P88" s="1508"/>
      <c r="S88" s="1509"/>
    </row>
    <row r="89" spans="1:26" s="1494" customFormat="1" ht="27" customHeight="1">
      <c r="A89" s="2420"/>
      <c r="B89" s="2421"/>
      <c r="C89" s="2422"/>
      <c r="D89" s="2417" t="s">
        <v>3360</v>
      </c>
      <c r="E89" s="2414"/>
      <c r="F89" s="2423"/>
      <c r="G89" s="2424"/>
      <c r="H89" s="2424"/>
      <c r="I89" s="2425"/>
      <c r="J89" s="2426"/>
      <c r="K89" s="1574"/>
      <c r="L89" s="1578"/>
      <c r="M89" s="1578"/>
      <c r="N89" s="1191"/>
      <c r="O89" s="1191"/>
      <c r="P89" s="1508"/>
      <c r="Q89" s="1579"/>
      <c r="R89" s="1520"/>
      <c r="S89" s="1509"/>
      <c r="T89" s="1507"/>
      <c r="U89" s="1521"/>
      <c r="V89" s="1522"/>
      <c r="W89" s="1522"/>
      <c r="X89" s="1508"/>
      <c r="Y89" s="1191"/>
    </row>
    <row r="90" spans="1:26" ht="13.5" customHeight="1">
      <c r="A90" s="2427"/>
      <c r="B90" s="2414"/>
      <c r="C90" s="2414"/>
      <c r="D90" s="2417" t="s">
        <v>3361</v>
      </c>
      <c r="E90" s="2414"/>
      <c r="F90" s="2428">
        <v>9.8000000000000007</v>
      </c>
      <c r="G90" s="2396"/>
      <c r="H90" s="2396"/>
      <c r="I90" s="2416"/>
      <c r="J90" s="1582"/>
      <c r="K90" s="1583"/>
      <c r="L90" s="1583"/>
      <c r="M90" s="1583"/>
      <c r="N90" s="1583"/>
      <c r="O90" s="1537"/>
      <c r="P90" s="1537"/>
      <c r="Q90" s="1537"/>
      <c r="R90" s="1537"/>
      <c r="S90" s="1537"/>
      <c r="T90" s="1537"/>
      <c r="U90" s="1537"/>
      <c r="V90" s="1259"/>
      <c r="W90" s="1537"/>
      <c r="X90" s="1267"/>
      <c r="Y90" s="1267"/>
      <c r="Z90" s="1226"/>
    </row>
    <row r="91" spans="1:26" s="1494" customFormat="1" ht="27" customHeight="1">
      <c r="A91" s="2420"/>
      <c r="B91" s="2421"/>
      <c r="C91" s="2429"/>
      <c r="D91" s="2417" t="s">
        <v>2185</v>
      </c>
      <c r="E91" s="2414"/>
      <c r="F91" s="2423"/>
      <c r="G91" s="2424"/>
      <c r="H91" s="2424"/>
      <c r="I91" s="2430"/>
      <c r="T91" s="1507"/>
      <c r="U91" s="1521"/>
      <c r="V91" s="1522"/>
      <c r="W91" s="1522"/>
      <c r="X91" s="1508"/>
      <c r="Y91" s="1191"/>
    </row>
    <row r="92" spans="1:26" s="1494" customFormat="1" ht="13.5" customHeight="1">
      <c r="A92" s="2413">
        <v>20</v>
      </c>
      <c r="B92" s="2414">
        <v>751</v>
      </c>
      <c r="C92" s="2414" t="s">
        <v>3362</v>
      </c>
      <c r="D92" s="2414" t="s">
        <v>3363</v>
      </c>
      <c r="E92" s="2414" t="s">
        <v>142</v>
      </c>
      <c r="F92" s="2415">
        <f>F95</f>
        <v>46.8</v>
      </c>
      <c r="G92" s="2395"/>
      <c r="H92" s="2402">
        <f t="shared" ref="H92" si="11">ROUND(F92*G92,2)</f>
        <v>0</v>
      </c>
      <c r="I92" s="2416" t="s">
        <v>111</v>
      </c>
      <c r="J92" s="1577"/>
    </row>
    <row r="93" spans="1:26" s="1494" customFormat="1" ht="13.5" customHeight="1">
      <c r="A93" s="2413"/>
      <c r="B93" s="2414"/>
      <c r="C93" s="2414"/>
      <c r="D93" s="2417" t="s">
        <v>3364</v>
      </c>
      <c r="E93" s="2414"/>
      <c r="F93" s="2418"/>
      <c r="G93" s="2419"/>
      <c r="H93" s="2419"/>
      <c r="I93" s="2416"/>
      <c r="J93" s="1576"/>
      <c r="K93" s="1574"/>
      <c r="L93" s="1574"/>
      <c r="M93" s="1507"/>
      <c r="N93" s="1507"/>
      <c r="O93" s="1507"/>
      <c r="P93" s="1508"/>
      <c r="S93" s="1509"/>
    </row>
    <row r="94" spans="1:26" s="1494" customFormat="1" ht="27" customHeight="1">
      <c r="A94" s="2420"/>
      <c r="B94" s="2421"/>
      <c r="C94" s="2422"/>
      <c r="D94" s="2417" t="s">
        <v>3360</v>
      </c>
      <c r="E94" s="2414"/>
      <c r="F94" s="2423"/>
      <c r="G94" s="2424"/>
      <c r="H94" s="2424"/>
      <c r="I94" s="2425"/>
      <c r="J94" s="1576"/>
      <c r="K94" s="1574"/>
      <c r="L94" s="1578"/>
      <c r="M94" s="1578"/>
      <c r="N94" s="1191"/>
      <c r="O94" s="1191"/>
      <c r="P94" s="1508"/>
      <c r="Q94" s="1579"/>
      <c r="R94" s="1520"/>
      <c r="S94" s="1509"/>
      <c r="T94" s="1507"/>
      <c r="U94" s="1521"/>
      <c r="V94" s="1522"/>
      <c r="W94" s="1522"/>
      <c r="X94" s="1508"/>
      <c r="Y94" s="1191"/>
    </row>
    <row r="95" spans="1:26" ht="13.5" customHeight="1">
      <c r="A95" s="2427"/>
      <c r="B95" s="2414"/>
      <c r="C95" s="2414"/>
      <c r="D95" s="2417" t="s">
        <v>3365</v>
      </c>
      <c r="E95" s="2414"/>
      <c r="F95" s="2428">
        <v>46.8</v>
      </c>
      <c r="G95" s="2396"/>
      <c r="H95" s="2396"/>
      <c r="I95" s="2416"/>
      <c r="J95" s="1582"/>
      <c r="K95" s="1583"/>
      <c r="L95" s="1583"/>
      <c r="M95" s="1583"/>
      <c r="N95" s="1583"/>
      <c r="O95" s="1537"/>
      <c r="P95" s="1537"/>
      <c r="Q95" s="1537"/>
      <c r="R95" s="1537"/>
      <c r="S95" s="1537"/>
      <c r="T95" s="1537"/>
      <c r="U95" s="1537"/>
      <c r="V95" s="1259"/>
      <c r="W95" s="1537"/>
      <c r="X95" s="1267"/>
      <c r="Y95" s="1267"/>
      <c r="Z95" s="1226"/>
    </row>
    <row r="96" spans="1:26" s="1494" customFormat="1" ht="27" customHeight="1">
      <c r="A96" s="2420"/>
      <c r="B96" s="2421"/>
      <c r="C96" s="2429"/>
      <c r="D96" s="2417" t="s">
        <v>2185</v>
      </c>
      <c r="E96" s="2414"/>
      <c r="F96" s="2423"/>
      <c r="G96" s="2424"/>
      <c r="H96" s="2424"/>
      <c r="I96" s="2430"/>
      <c r="T96" s="1507"/>
      <c r="U96" s="1521"/>
      <c r="V96" s="1522"/>
      <c r="W96" s="1522"/>
      <c r="X96" s="1508"/>
      <c r="Y96" s="1191"/>
    </row>
    <row r="97" spans="1:26" s="1494" customFormat="1" ht="13.5" customHeight="1">
      <c r="A97" s="2413">
        <v>21</v>
      </c>
      <c r="B97" s="2414">
        <v>751</v>
      </c>
      <c r="C97" s="2414" t="s">
        <v>3366</v>
      </c>
      <c r="D97" s="2414" t="s">
        <v>3367</v>
      </c>
      <c r="E97" s="2414" t="s">
        <v>142</v>
      </c>
      <c r="F97" s="2415">
        <f>F100</f>
        <v>68.5</v>
      </c>
      <c r="G97" s="2395"/>
      <c r="H97" s="2402">
        <f t="shared" ref="H97" si="12">ROUND(F97*G97,2)</f>
        <v>0</v>
      </c>
      <c r="I97" s="2416" t="s">
        <v>111</v>
      </c>
      <c r="J97" s="1577"/>
    </row>
    <row r="98" spans="1:26" s="1494" customFormat="1" ht="13.5" customHeight="1">
      <c r="A98" s="2413"/>
      <c r="B98" s="2414"/>
      <c r="C98" s="2414"/>
      <c r="D98" s="2417" t="s">
        <v>3368</v>
      </c>
      <c r="E98" s="2414"/>
      <c r="F98" s="2418"/>
      <c r="G98" s="2419"/>
      <c r="H98" s="2419"/>
      <c r="I98" s="2416"/>
      <c r="J98" s="1576"/>
      <c r="K98" s="1574"/>
      <c r="L98" s="1574"/>
      <c r="M98" s="1507"/>
      <c r="N98" s="1507"/>
      <c r="O98" s="1507"/>
      <c r="P98" s="1508"/>
      <c r="S98" s="1509"/>
    </row>
    <row r="99" spans="1:26" s="1494" customFormat="1" ht="27" customHeight="1">
      <c r="A99" s="2420"/>
      <c r="B99" s="2421"/>
      <c r="C99" s="2422"/>
      <c r="D99" s="2417" t="s">
        <v>3360</v>
      </c>
      <c r="E99" s="2414"/>
      <c r="F99" s="2423"/>
      <c r="G99" s="2424"/>
      <c r="H99" s="2424"/>
      <c r="I99" s="2425"/>
      <c r="J99" s="1576"/>
      <c r="K99" s="1574"/>
      <c r="L99" s="1578"/>
      <c r="M99" s="1578"/>
      <c r="N99" s="1191"/>
      <c r="O99" s="1191"/>
      <c r="P99" s="1508"/>
      <c r="Q99" s="1579"/>
      <c r="R99" s="1520"/>
      <c r="S99" s="1509"/>
      <c r="T99" s="1507"/>
      <c r="U99" s="1521"/>
      <c r="V99" s="1522"/>
      <c r="W99" s="1522"/>
      <c r="X99" s="1508"/>
      <c r="Y99" s="1191"/>
    </row>
    <row r="100" spans="1:26" ht="13.5" customHeight="1">
      <c r="A100" s="2427"/>
      <c r="B100" s="2414"/>
      <c r="C100" s="2414"/>
      <c r="D100" s="2417" t="s">
        <v>3369</v>
      </c>
      <c r="E100" s="2414"/>
      <c r="F100" s="2428">
        <v>68.5</v>
      </c>
      <c r="G100" s="2396"/>
      <c r="H100" s="2396"/>
      <c r="I100" s="2416"/>
      <c r="J100" s="1582"/>
      <c r="K100" s="1583"/>
      <c r="L100" s="1583"/>
      <c r="M100" s="1583"/>
      <c r="N100" s="1583"/>
      <c r="O100" s="1537"/>
      <c r="P100" s="1537"/>
      <c r="Q100" s="1537"/>
      <c r="R100" s="1537"/>
      <c r="S100" s="1537"/>
      <c r="T100" s="1537"/>
      <c r="U100" s="1537"/>
      <c r="V100" s="1259"/>
      <c r="W100" s="1537"/>
      <c r="X100" s="1267"/>
      <c r="Y100" s="1267"/>
      <c r="Z100" s="1226"/>
    </row>
    <row r="101" spans="1:26" s="1494" customFormat="1" ht="27" customHeight="1">
      <c r="A101" s="2420"/>
      <c r="B101" s="2421"/>
      <c r="C101" s="2429"/>
      <c r="D101" s="2417" t="s">
        <v>2185</v>
      </c>
      <c r="E101" s="2414"/>
      <c r="F101" s="2423"/>
      <c r="G101" s="2424"/>
      <c r="H101" s="2424"/>
      <c r="I101" s="2430"/>
      <c r="T101" s="1507"/>
      <c r="U101" s="1521"/>
      <c r="V101" s="1522"/>
      <c r="W101" s="1522"/>
      <c r="X101" s="1508"/>
      <c r="Y101" s="1191"/>
    </row>
    <row r="102" spans="1:26" s="1494" customFormat="1" ht="13.5" customHeight="1">
      <c r="A102" s="2413">
        <v>22</v>
      </c>
      <c r="B102" s="2414">
        <v>751</v>
      </c>
      <c r="C102" s="2414" t="s">
        <v>3370</v>
      </c>
      <c r="D102" s="2414" t="s">
        <v>3371</v>
      </c>
      <c r="E102" s="2414" t="s">
        <v>142</v>
      </c>
      <c r="F102" s="2415">
        <f>F105</f>
        <v>201.3</v>
      </c>
      <c r="G102" s="2395"/>
      <c r="H102" s="2402">
        <f t="shared" ref="H102" si="13">ROUND(F102*G102,2)</f>
        <v>0</v>
      </c>
      <c r="I102" s="2416" t="s">
        <v>111</v>
      </c>
      <c r="J102" s="1577"/>
    </row>
    <row r="103" spans="1:26" s="1494" customFormat="1" ht="13.5" customHeight="1">
      <c r="A103" s="2413"/>
      <c r="B103" s="2414"/>
      <c r="C103" s="2414"/>
      <c r="D103" s="2417" t="s">
        <v>3372</v>
      </c>
      <c r="E103" s="2414"/>
      <c r="F103" s="2418"/>
      <c r="G103" s="2419"/>
      <c r="H103" s="2419"/>
      <c r="I103" s="2416"/>
      <c r="J103" s="1576"/>
      <c r="K103" s="1574"/>
      <c r="L103" s="1574"/>
      <c r="M103" s="1507"/>
      <c r="N103" s="1507"/>
      <c r="O103" s="1507"/>
      <c r="P103" s="1508"/>
      <c r="S103" s="1509"/>
    </row>
    <row r="104" spans="1:26" s="1494" customFormat="1" ht="27" customHeight="1">
      <c r="A104" s="2420"/>
      <c r="B104" s="2421"/>
      <c r="C104" s="2422"/>
      <c r="D104" s="2417" t="s">
        <v>3360</v>
      </c>
      <c r="E104" s="2414"/>
      <c r="F104" s="2423"/>
      <c r="G104" s="2424"/>
      <c r="H104" s="2424"/>
      <c r="I104" s="2425"/>
      <c r="J104" s="1576"/>
      <c r="K104" s="1574"/>
      <c r="L104" s="1578"/>
      <c r="M104" s="1578"/>
      <c r="N104" s="1191"/>
      <c r="O104" s="1191"/>
      <c r="P104" s="1508"/>
      <c r="Q104" s="1579"/>
      <c r="R104" s="1520"/>
      <c r="S104" s="1509"/>
      <c r="T104" s="1507"/>
      <c r="U104" s="1521"/>
      <c r="V104" s="1522"/>
      <c r="W104" s="1522"/>
      <c r="X104" s="1508"/>
      <c r="Y104" s="1191"/>
    </row>
    <row r="105" spans="1:26" ht="13.5" customHeight="1">
      <c r="A105" s="2427"/>
      <c r="B105" s="2414"/>
      <c r="C105" s="2414"/>
      <c r="D105" s="2417" t="s">
        <v>3373</v>
      </c>
      <c r="E105" s="2414"/>
      <c r="F105" s="2428">
        <v>201.3</v>
      </c>
      <c r="G105" s="2396"/>
      <c r="H105" s="2396"/>
      <c r="I105" s="2416"/>
      <c r="J105" s="1582"/>
      <c r="K105" s="1583"/>
      <c r="L105" s="1583"/>
      <c r="M105" s="1583"/>
      <c r="N105" s="1583"/>
      <c r="O105" s="1537"/>
      <c r="P105" s="1537"/>
      <c r="Q105" s="1537"/>
      <c r="R105" s="1537"/>
      <c r="S105" s="1537"/>
      <c r="T105" s="1537"/>
      <c r="U105" s="1537"/>
      <c r="V105" s="1259"/>
      <c r="W105" s="1537"/>
      <c r="X105" s="1267"/>
      <c r="Y105" s="1267"/>
      <c r="Z105" s="1226"/>
    </row>
    <row r="106" spans="1:26" s="1494" customFormat="1" ht="27" customHeight="1">
      <c r="A106" s="2420"/>
      <c r="B106" s="2421"/>
      <c r="C106" s="2429"/>
      <c r="D106" s="2417" t="s">
        <v>2185</v>
      </c>
      <c r="E106" s="2414"/>
      <c r="F106" s="2423"/>
      <c r="G106" s="2424"/>
      <c r="H106" s="2424"/>
      <c r="I106" s="2430"/>
      <c r="T106" s="1507"/>
      <c r="U106" s="1521"/>
      <c r="V106" s="1522"/>
      <c r="W106" s="1522"/>
      <c r="X106" s="1508"/>
      <c r="Y106" s="1191"/>
    </row>
    <row r="107" spans="1:26" s="1494" customFormat="1" ht="13.5" customHeight="1">
      <c r="A107" s="2413">
        <v>23</v>
      </c>
      <c r="B107" s="2414">
        <v>751</v>
      </c>
      <c r="C107" s="2414" t="s">
        <v>3374</v>
      </c>
      <c r="D107" s="2414" t="s">
        <v>3375</v>
      </c>
      <c r="E107" s="2414" t="s">
        <v>142</v>
      </c>
      <c r="F107" s="2415">
        <f>F110</f>
        <v>13.4</v>
      </c>
      <c r="G107" s="2395"/>
      <c r="H107" s="2402">
        <f t="shared" ref="H107" si="14">ROUND(F107*G107,2)</f>
        <v>0</v>
      </c>
      <c r="I107" s="2416" t="s">
        <v>111</v>
      </c>
      <c r="J107" s="1577"/>
    </row>
    <row r="108" spans="1:26" s="1494" customFormat="1" ht="13.5" customHeight="1">
      <c r="A108" s="2413"/>
      <c r="B108" s="2414"/>
      <c r="C108" s="2414"/>
      <c r="D108" s="2417" t="s">
        <v>3376</v>
      </c>
      <c r="E108" s="2414"/>
      <c r="F108" s="2418"/>
      <c r="G108" s="2419"/>
      <c r="H108" s="2419"/>
      <c r="I108" s="2416"/>
      <c r="J108" s="1576"/>
      <c r="K108" s="1574"/>
      <c r="L108" s="1574"/>
      <c r="M108" s="1507"/>
      <c r="N108" s="1507"/>
      <c r="O108" s="1507"/>
      <c r="P108" s="1508"/>
      <c r="S108" s="1509"/>
    </row>
    <row r="109" spans="1:26" s="1494" customFormat="1" ht="27" customHeight="1">
      <c r="A109" s="2420"/>
      <c r="B109" s="2421"/>
      <c r="C109" s="2422"/>
      <c r="D109" s="2417" t="s">
        <v>3360</v>
      </c>
      <c r="E109" s="2414"/>
      <c r="F109" s="2423"/>
      <c r="G109" s="2424"/>
      <c r="H109" s="2424"/>
      <c r="I109" s="2425"/>
      <c r="J109" s="1576"/>
      <c r="K109" s="1574"/>
      <c r="L109" s="1578"/>
      <c r="M109" s="1578"/>
      <c r="N109" s="1191"/>
      <c r="O109" s="1191"/>
      <c r="P109" s="1508"/>
      <c r="Q109" s="1579"/>
      <c r="R109" s="1520"/>
      <c r="S109" s="1509"/>
      <c r="T109" s="1507"/>
      <c r="U109" s="1521"/>
      <c r="V109" s="1522"/>
      <c r="W109" s="1522"/>
      <c r="X109" s="1508"/>
      <c r="Y109" s="1191"/>
    </row>
    <row r="110" spans="1:26" ht="13.5" customHeight="1">
      <c r="A110" s="2427"/>
      <c r="B110" s="2414"/>
      <c r="C110" s="2414"/>
      <c r="D110" s="2417" t="s">
        <v>3377</v>
      </c>
      <c r="E110" s="2414"/>
      <c r="F110" s="2428">
        <v>13.4</v>
      </c>
      <c r="G110" s="2396"/>
      <c r="H110" s="2396"/>
      <c r="I110" s="2416"/>
      <c r="J110" s="1582"/>
      <c r="K110" s="1583"/>
      <c r="L110" s="1583"/>
      <c r="M110" s="1583"/>
      <c r="N110" s="1583"/>
      <c r="O110" s="1537"/>
      <c r="P110" s="1537"/>
      <c r="Q110" s="1537"/>
      <c r="R110" s="1537"/>
      <c r="S110" s="1537"/>
      <c r="T110" s="1537"/>
      <c r="U110" s="1537"/>
      <c r="V110" s="1259"/>
      <c r="W110" s="1537"/>
      <c r="X110" s="1267"/>
      <c r="Y110" s="1267"/>
      <c r="Z110" s="1226"/>
    </row>
    <row r="111" spans="1:26" s="1494" customFormat="1" ht="27" customHeight="1">
      <c r="A111" s="2420"/>
      <c r="B111" s="2421"/>
      <c r="C111" s="2429"/>
      <c r="D111" s="2417" t="s">
        <v>2185</v>
      </c>
      <c r="E111" s="2414"/>
      <c r="F111" s="2423"/>
      <c r="G111" s="2424"/>
      <c r="H111" s="2424"/>
      <c r="I111" s="2430"/>
      <c r="T111" s="1507"/>
      <c r="U111" s="1521"/>
      <c r="V111" s="1522"/>
      <c r="W111" s="1522"/>
      <c r="X111" s="1508"/>
      <c r="Y111" s="1191"/>
    </row>
    <row r="112" spans="1:26" s="1494" customFormat="1" ht="13.5" customHeight="1">
      <c r="A112" s="2413">
        <v>24</v>
      </c>
      <c r="B112" s="2414">
        <v>751</v>
      </c>
      <c r="C112" s="2414" t="s">
        <v>3378</v>
      </c>
      <c r="D112" s="2414" t="s">
        <v>3379</v>
      </c>
      <c r="E112" s="2414" t="s">
        <v>142</v>
      </c>
      <c r="F112" s="2415">
        <f>F115</f>
        <v>5.9</v>
      </c>
      <c r="G112" s="2395"/>
      <c r="H112" s="2402">
        <f t="shared" ref="H112" si="15">ROUND(F112*G112,2)</f>
        <v>0</v>
      </c>
      <c r="I112" s="2416" t="s">
        <v>111</v>
      </c>
      <c r="J112" s="1577"/>
    </row>
    <row r="113" spans="1:26" s="1494" customFormat="1" ht="13.5" customHeight="1">
      <c r="A113" s="2413"/>
      <c r="B113" s="2414"/>
      <c r="C113" s="2414"/>
      <c r="D113" s="2417" t="s">
        <v>3380</v>
      </c>
      <c r="E113" s="2414"/>
      <c r="F113" s="2418"/>
      <c r="G113" s="2419"/>
      <c r="H113" s="2419"/>
      <c r="I113" s="2416"/>
      <c r="J113" s="1576"/>
      <c r="K113" s="1574"/>
      <c r="L113" s="1574"/>
      <c r="M113" s="1507"/>
      <c r="N113" s="1507"/>
      <c r="O113" s="1507"/>
      <c r="P113" s="1508"/>
      <c r="S113" s="1509"/>
    </row>
    <row r="114" spans="1:26" s="1494" customFormat="1" ht="27" customHeight="1">
      <c r="A114" s="2420"/>
      <c r="B114" s="2421"/>
      <c r="C114" s="2422"/>
      <c r="D114" s="2417" t="s">
        <v>3360</v>
      </c>
      <c r="E114" s="2414"/>
      <c r="F114" s="2423"/>
      <c r="G114" s="2424"/>
      <c r="H114" s="2424"/>
      <c r="I114" s="2425"/>
      <c r="J114" s="1576"/>
      <c r="K114" s="1574"/>
      <c r="L114" s="1578"/>
      <c r="M114" s="1578"/>
      <c r="N114" s="1191"/>
      <c r="O114" s="1191"/>
      <c r="P114" s="1508"/>
      <c r="Q114" s="1579"/>
      <c r="R114" s="1520"/>
      <c r="S114" s="1509"/>
      <c r="T114" s="1507"/>
      <c r="U114" s="1521"/>
      <c r="V114" s="1522"/>
      <c r="W114" s="1522"/>
      <c r="X114" s="1508"/>
      <c r="Y114" s="1191"/>
    </row>
    <row r="115" spans="1:26" ht="13.5" customHeight="1">
      <c r="A115" s="2427"/>
      <c r="B115" s="2414"/>
      <c r="C115" s="2414"/>
      <c r="D115" s="2417" t="s">
        <v>3381</v>
      </c>
      <c r="E115" s="2414"/>
      <c r="F115" s="2428">
        <v>5.9</v>
      </c>
      <c r="G115" s="2396"/>
      <c r="H115" s="2396"/>
      <c r="I115" s="2416"/>
      <c r="J115" s="1582"/>
      <c r="K115" s="1583"/>
      <c r="L115" s="1583"/>
      <c r="M115" s="1583"/>
      <c r="N115" s="1583"/>
      <c r="O115" s="1537"/>
      <c r="P115" s="1537"/>
      <c r="Q115" s="1537"/>
      <c r="R115" s="1537"/>
      <c r="S115" s="1537"/>
      <c r="T115" s="1537"/>
      <c r="U115" s="1537"/>
      <c r="V115" s="1259"/>
      <c r="W115" s="1537"/>
      <c r="X115" s="1267"/>
      <c r="Y115" s="1267"/>
      <c r="Z115" s="1226"/>
    </row>
    <row r="116" spans="1:26" s="1494" customFormat="1" ht="27" customHeight="1">
      <c r="A116" s="2420"/>
      <c r="B116" s="2421"/>
      <c r="C116" s="2429"/>
      <c r="D116" s="2417" t="s">
        <v>2185</v>
      </c>
      <c r="E116" s="2414"/>
      <c r="F116" s="2423"/>
      <c r="G116" s="2424"/>
      <c r="H116" s="2424"/>
      <c r="I116" s="2430"/>
      <c r="T116" s="1507"/>
      <c r="U116" s="1521"/>
      <c r="V116" s="1522"/>
      <c r="W116" s="1522"/>
      <c r="X116" s="1508"/>
      <c r="Y116" s="1191"/>
    </row>
    <row r="117" spans="1:26" s="1494" customFormat="1" ht="13.5" customHeight="1">
      <c r="A117" s="2413">
        <v>25</v>
      </c>
      <c r="B117" s="2414">
        <v>751</v>
      </c>
      <c r="C117" s="2414" t="s">
        <v>3382</v>
      </c>
      <c r="D117" s="2414" t="s">
        <v>3383</v>
      </c>
      <c r="E117" s="2414" t="s">
        <v>142</v>
      </c>
      <c r="F117" s="2415">
        <f>F120</f>
        <v>1.5</v>
      </c>
      <c r="G117" s="2395"/>
      <c r="H117" s="2402">
        <f t="shared" ref="H117" si="16">ROUND(F117*G117,2)</f>
        <v>0</v>
      </c>
      <c r="I117" s="2416" t="s">
        <v>111</v>
      </c>
      <c r="J117" s="1577"/>
    </row>
    <row r="118" spans="1:26" s="1494" customFormat="1" ht="13.5" customHeight="1">
      <c r="A118" s="2413"/>
      <c r="B118" s="2414"/>
      <c r="C118" s="2414"/>
      <c r="D118" s="2417" t="s">
        <v>3384</v>
      </c>
      <c r="E118" s="2414"/>
      <c r="F118" s="2418"/>
      <c r="G118" s="2419"/>
      <c r="H118" s="2419"/>
      <c r="I118" s="2416"/>
      <c r="J118" s="1576"/>
      <c r="K118" s="1574"/>
      <c r="L118" s="1574"/>
      <c r="M118" s="1507"/>
      <c r="N118" s="1507"/>
      <c r="O118" s="1507"/>
      <c r="P118" s="1508"/>
      <c r="S118" s="1509"/>
    </row>
    <row r="119" spans="1:26" s="1494" customFormat="1" ht="27" customHeight="1">
      <c r="A119" s="2420"/>
      <c r="B119" s="2421"/>
      <c r="C119" s="2422"/>
      <c r="D119" s="2417" t="s">
        <v>3360</v>
      </c>
      <c r="E119" s="2414"/>
      <c r="F119" s="2423"/>
      <c r="G119" s="2424"/>
      <c r="H119" s="2424"/>
      <c r="I119" s="2425"/>
      <c r="J119" s="1576"/>
      <c r="K119" s="1574"/>
      <c r="L119" s="1578"/>
      <c r="M119" s="1578"/>
      <c r="N119" s="1191"/>
      <c r="O119" s="1191"/>
      <c r="P119" s="1508"/>
      <c r="Q119" s="1579"/>
      <c r="R119" s="1520"/>
      <c r="S119" s="1509"/>
      <c r="T119" s="1507"/>
      <c r="U119" s="1521"/>
      <c r="V119" s="1522"/>
      <c r="W119" s="1522"/>
      <c r="X119" s="1508"/>
      <c r="Y119" s="1191"/>
    </row>
    <row r="120" spans="1:26" ht="13.5" customHeight="1">
      <c r="A120" s="2427"/>
      <c r="B120" s="2414"/>
      <c r="C120" s="2414"/>
      <c r="D120" s="2417" t="s">
        <v>3385</v>
      </c>
      <c r="E120" s="2414"/>
      <c r="F120" s="2428">
        <v>1.5</v>
      </c>
      <c r="G120" s="2396"/>
      <c r="H120" s="2396"/>
      <c r="I120" s="2416"/>
      <c r="J120" s="1582"/>
      <c r="K120" s="1583"/>
      <c r="L120" s="1583"/>
      <c r="M120" s="1583"/>
      <c r="N120" s="1583"/>
      <c r="O120" s="1537"/>
      <c r="P120" s="1537"/>
      <c r="Q120" s="1537"/>
      <c r="R120" s="1537"/>
      <c r="S120" s="1537"/>
      <c r="T120" s="1537"/>
      <c r="U120" s="1537"/>
      <c r="V120" s="1259"/>
      <c r="W120" s="1537"/>
      <c r="X120" s="1267"/>
      <c r="Y120" s="1267"/>
      <c r="Z120" s="1226"/>
    </row>
    <row r="121" spans="1:26" s="1494" customFormat="1" ht="27" customHeight="1">
      <c r="A121" s="2420"/>
      <c r="B121" s="2421"/>
      <c r="C121" s="2429"/>
      <c r="D121" s="2417" t="s">
        <v>2185</v>
      </c>
      <c r="E121" s="2414"/>
      <c r="F121" s="2423"/>
      <c r="G121" s="2424"/>
      <c r="H121" s="2424"/>
      <c r="I121" s="2430"/>
      <c r="T121" s="1507"/>
      <c r="U121" s="1521"/>
      <c r="V121" s="1522"/>
      <c r="W121" s="1522"/>
      <c r="X121" s="1508"/>
      <c r="Y121" s="1191"/>
    </row>
    <row r="122" spans="1:26" s="1494" customFormat="1" ht="13.5" customHeight="1">
      <c r="A122" s="2413">
        <v>26</v>
      </c>
      <c r="B122" s="2414">
        <v>751</v>
      </c>
      <c r="C122" s="2414" t="s">
        <v>3386</v>
      </c>
      <c r="D122" s="2414" t="s">
        <v>3387</v>
      </c>
      <c r="E122" s="2414" t="s">
        <v>142</v>
      </c>
      <c r="F122" s="2415">
        <f>F125</f>
        <v>1.5</v>
      </c>
      <c r="G122" s="2395"/>
      <c r="H122" s="2402">
        <f t="shared" ref="H122" si="17">ROUND(F122*G122,2)</f>
        <v>0</v>
      </c>
      <c r="I122" s="2416" t="s">
        <v>111</v>
      </c>
      <c r="J122" s="1577"/>
    </row>
    <row r="123" spans="1:26" s="1494" customFormat="1" ht="13.5" customHeight="1">
      <c r="A123" s="2413"/>
      <c r="B123" s="2414"/>
      <c r="C123" s="2414"/>
      <c r="D123" s="2417" t="s">
        <v>3388</v>
      </c>
      <c r="E123" s="2414"/>
      <c r="F123" s="2418"/>
      <c r="G123" s="2419"/>
      <c r="H123" s="2419"/>
      <c r="I123" s="2416"/>
      <c r="J123" s="1576"/>
      <c r="K123" s="1574"/>
      <c r="L123" s="1574"/>
      <c r="M123" s="1507"/>
      <c r="N123" s="1507"/>
      <c r="O123" s="1507"/>
      <c r="P123" s="1508"/>
      <c r="S123" s="1509"/>
    </row>
    <row r="124" spans="1:26" s="1494" customFormat="1" ht="27" customHeight="1">
      <c r="A124" s="2420"/>
      <c r="B124" s="2421"/>
      <c r="C124" s="2422"/>
      <c r="D124" s="2417" t="s">
        <v>3360</v>
      </c>
      <c r="E124" s="2414"/>
      <c r="F124" s="2423"/>
      <c r="G124" s="2424"/>
      <c r="H124" s="2424"/>
      <c r="I124" s="2425"/>
      <c r="J124" s="1576"/>
      <c r="K124" s="1574"/>
      <c r="L124" s="1578"/>
      <c r="M124" s="1578"/>
      <c r="N124" s="1191"/>
      <c r="O124" s="1191"/>
      <c r="P124" s="1508"/>
      <c r="Q124" s="1579"/>
      <c r="R124" s="1520"/>
      <c r="S124" s="1509"/>
      <c r="T124" s="1507"/>
      <c r="U124" s="1521"/>
      <c r="V124" s="1522"/>
      <c r="W124" s="1522"/>
      <c r="X124" s="1508"/>
      <c r="Y124" s="1191"/>
    </row>
    <row r="125" spans="1:26" ht="13.5" customHeight="1">
      <c r="A125" s="2427"/>
      <c r="B125" s="2414"/>
      <c r="C125" s="2414"/>
      <c r="D125" s="2417" t="s">
        <v>3389</v>
      </c>
      <c r="E125" s="2414"/>
      <c r="F125" s="2428">
        <v>1.5</v>
      </c>
      <c r="G125" s="2396"/>
      <c r="H125" s="2396"/>
      <c r="I125" s="2416"/>
      <c r="J125" s="1582"/>
      <c r="K125" s="1583"/>
      <c r="L125" s="1583"/>
      <c r="M125" s="1583"/>
      <c r="N125" s="1583"/>
      <c r="O125" s="1537"/>
      <c r="P125" s="1537"/>
      <c r="Q125" s="1537"/>
      <c r="R125" s="1537"/>
      <c r="S125" s="1537"/>
      <c r="T125" s="1537"/>
      <c r="U125" s="1537"/>
      <c r="V125" s="1259"/>
      <c r="W125" s="1537"/>
      <c r="X125" s="1267"/>
      <c r="Y125" s="1267"/>
      <c r="Z125" s="1226"/>
    </row>
    <row r="126" spans="1:26" s="1494" customFormat="1" ht="27" customHeight="1">
      <c r="A126" s="2420"/>
      <c r="B126" s="2421"/>
      <c r="C126" s="2429"/>
      <c r="D126" s="2417" t="s">
        <v>2185</v>
      </c>
      <c r="E126" s="2414"/>
      <c r="F126" s="2423"/>
      <c r="G126" s="2424"/>
      <c r="H126" s="2424"/>
      <c r="I126" s="2430"/>
      <c r="T126" s="1507"/>
      <c r="U126" s="1521"/>
      <c r="V126" s="1522"/>
      <c r="W126" s="1522"/>
      <c r="X126" s="1508"/>
      <c r="Y126" s="1191"/>
    </row>
    <row r="127" spans="1:26" s="1494" customFormat="1" ht="13.5" customHeight="1">
      <c r="A127" s="2413">
        <v>27</v>
      </c>
      <c r="B127" s="2414">
        <v>751</v>
      </c>
      <c r="C127" s="2414" t="s">
        <v>3390</v>
      </c>
      <c r="D127" s="2414" t="s">
        <v>3391</v>
      </c>
      <c r="E127" s="2414" t="s">
        <v>142</v>
      </c>
      <c r="F127" s="2415">
        <f>F130</f>
        <v>1.7</v>
      </c>
      <c r="G127" s="2395"/>
      <c r="H127" s="2402">
        <f t="shared" ref="H127" si="18">ROUND(F127*G127,2)</f>
        <v>0</v>
      </c>
      <c r="I127" s="2416" t="s">
        <v>111</v>
      </c>
      <c r="J127" s="1577"/>
    </row>
    <row r="128" spans="1:26" s="1494" customFormat="1" ht="13.5" customHeight="1">
      <c r="A128" s="2413"/>
      <c r="B128" s="2414"/>
      <c r="C128" s="2414"/>
      <c r="D128" s="2417" t="s">
        <v>3392</v>
      </c>
      <c r="E128" s="2414"/>
      <c r="F128" s="2418"/>
      <c r="G128" s="2419"/>
      <c r="H128" s="2419"/>
      <c r="I128" s="2416"/>
      <c r="J128" s="1576"/>
      <c r="K128" s="1574"/>
      <c r="L128" s="1574"/>
      <c r="M128" s="1507"/>
      <c r="N128" s="1507"/>
      <c r="O128" s="1507"/>
      <c r="P128" s="1508"/>
      <c r="S128" s="1509"/>
    </row>
    <row r="129" spans="1:26" s="1494" customFormat="1" ht="27" customHeight="1">
      <c r="A129" s="2420"/>
      <c r="B129" s="2421"/>
      <c r="C129" s="2422"/>
      <c r="D129" s="2417" t="s">
        <v>3360</v>
      </c>
      <c r="E129" s="2414"/>
      <c r="F129" s="2423"/>
      <c r="G129" s="2424"/>
      <c r="H129" s="2424"/>
      <c r="I129" s="2425"/>
      <c r="J129" s="1576"/>
      <c r="K129" s="1574"/>
      <c r="L129" s="1578"/>
      <c r="M129" s="1578"/>
      <c r="N129" s="1191"/>
      <c r="O129" s="1191"/>
      <c r="P129" s="1508"/>
      <c r="Q129" s="1579"/>
      <c r="R129" s="1520"/>
      <c r="S129" s="1509"/>
      <c r="T129" s="1507"/>
      <c r="U129" s="1521"/>
      <c r="V129" s="1522"/>
      <c r="W129" s="1522"/>
      <c r="X129" s="1508"/>
      <c r="Y129" s="1191"/>
    </row>
    <row r="130" spans="1:26" ht="13.5" customHeight="1">
      <c r="A130" s="2427"/>
      <c r="B130" s="2414"/>
      <c r="C130" s="2414"/>
      <c r="D130" s="2417" t="s">
        <v>3393</v>
      </c>
      <c r="E130" s="2414"/>
      <c r="F130" s="2428">
        <v>1.7</v>
      </c>
      <c r="G130" s="2396"/>
      <c r="H130" s="2396"/>
      <c r="I130" s="2416"/>
      <c r="J130" s="1582"/>
      <c r="K130" s="1583"/>
      <c r="L130" s="1583"/>
      <c r="M130" s="1583"/>
      <c r="N130" s="1583"/>
      <c r="O130" s="1537"/>
      <c r="P130" s="1537"/>
      <c r="Q130" s="1537"/>
      <c r="R130" s="1537"/>
      <c r="S130" s="1537"/>
      <c r="T130" s="1537"/>
      <c r="U130" s="1537"/>
      <c r="V130" s="1259"/>
      <c r="W130" s="1537"/>
      <c r="X130" s="1267"/>
      <c r="Y130" s="1267"/>
      <c r="Z130" s="1226"/>
    </row>
    <row r="131" spans="1:26" s="1494" customFormat="1" ht="27" customHeight="1">
      <c r="A131" s="2420"/>
      <c r="B131" s="2421"/>
      <c r="C131" s="2429"/>
      <c r="D131" s="2417" t="s">
        <v>2185</v>
      </c>
      <c r="E131" s="2414"/>
      <c r="F131" s="2423"/>
      <c r="G131" s="2424"/>
      <c r="H131" s="2424"/>
      <c r="I131" s="2430"/>
      <c r="T131" s="1507"/>
      <c r="U131" s="1521"/>
      <c r="V131" s="1522"/>
      <c r="W131" s="1522"/>
      <c r="X131" s="1508"/>
      <c r="Y131" s="1191"/>
    </row>
    <row r="132" spans="1:26" s="1494" customFormat="1" ht="13.5" customHeight="1">
      <c r="A132" s="2413">
        <v>28</v>
      </c>
      <c r="B132" s="2414">
        <v>751</v>
      </c>
      <c r="C132" s="2414" t="s">
        <v>3394</v>
      </c>
      <c r="D132" s="2414" t="s">
        <v>3395</v>
      </c>
      <c r="E132" s="2414" t="s">
        <v>142</v>
      </c>
      <c r="F132" s="2415">
        <f>F135</f>
        <v>2.2000000000000002</v>
      </c>
      <c r="G132" s="2395"/>
      <c r="H132" s="2402">
        <f t="shared" ref="H132" si="19">ROUND(F132*G132,2)</f>
        <v>0</v>
      </c>
      <c r="I132" s="2416" t="s">
        <v>111</v>
      </c>
      <c r="J132" s="1577"/>
    </row>
    <row r="133" spans="1:26" s="1494" customFormat="1" ht="13.5" customHeight="1">
      <c r="A133" s="2413"/>
      <c r="B133" s="2414"/>
      <c r="C133" s="2414"/>
      <c r="D133" s="2417" t="s">
        <v>3396</v>
      </c>
      <c r="E133" s="2414"/>
      <c r="F133" s="2418"/>
      <c r="G133" s="2419"/>
      <c r="H133" s="2419"/>
      <c r="I133" s="2416"/>
      <c r="J133" s="1576"/>
      <c r="K133" s="1574"/>
      <c r="L133" s="1574"/>
      <c r="M133" s="1507"/>
      <c r="N133" s="1507"/>
      <c r="O133" s="1507"/>
      <c r="P133" s="1508"/>
      <c r="S133" s="1509"/>
    </row>
    <row r="134" spans="1:26" s="1494" customFormat="1" ht="27" customHeight="1">
      <c r="A134" s="2420"/>
      <c r="B134" s="2421"/>
      <c r="C134" s="2422"/>
      <c r="D134" s="2417" t="s">
        <v>3360</v>
      </c>
      <c r="E134" s="2414"/>
      <c r="F134" s="2423"/>
      <c r="G134" s="2424"/>
      <c r="H134" s="2424"/>
      <c r="I134" s="2425"/>
      <c r="J134" s="1576"/>
      <c r="K134" s="1574"/>
      <c r="L134" s="1578"/>
      <c r="M134" s="1578"/>
      <c r="N134" s="1191"/>
      <c r="O134" s="1191"/>
      <c r="P134" s="1508"/>
      <c r="Q134" s="1579"/>
      <c r="R134" s="1520"/>
      <c r="S134" s="1509"/>
      <c r="T134" s="1507"/>
      <c r="U134" s="1521"/>
      <c r="V134" s="1522"/>
      <c r="W134" s="1522"/>
      <c r="X134" s="1508"/>
      <c r="Y134" s="1191"/>
    </row>
    <row r="135" spans="1:26" ht="13.5" customHeight="1">
      <c r="A135" s="2427"/>
      <c r="B135" s="2414"/>
      <c r="C135" s="2414"/>
      <c r="D135" s="2417" t="s">
        <v>3397</v>
      </c>
      <c r="E135" s="2414"/>
      <c r="F135" s="2428">
        <v>2.2000000000000002</v>
      </c>
      <c r="G135" s="2396"/>
      <c r="H135" s="2396"/>
      <c r="I135" s="2416"/>
      <c r="J135" s="1582"/>
      <c r="K135" s="1583"/>
      <c r="L135" s="1583"/>
      <c r="M135" s="1583"/>
      <c r="N135" s="1583"/>
      <c r="O135" s="1537"/>
      <c r="P135" s="1537"/>
      <c r="Q135" s="1537"/>
      <c r="R135" s="1537"/>
      <c r="S135" s="1537"/>
      <c r="T135" s="1537"/>
      <c r="U135" s="1537"/>
      <c r="V135" s="1259"/>
      <c r="W135" s="1537"/>
      <c r="X135" s="1267"/>
      <c r="Y135" s="1267"/>
      <c r="Z135" s="1226"/>
    </row>
    <row r="136" spans="1:26" s="1494" customFormat="1" ht="27" customHeight="1">
      <c r="A136" s="2420"/>
      <c r="B136" s="2421"/>
      <c r="C136" s="2429"/>
      <c r="D136" s="2417" t="s">
        <v>2185</v>
      </c>
      <c r="E136" s="2414"/>
      <c r="F136" s="2423"/>
      <c r="G136" s="2424"/>
      <c r="H136" s="2424"/>
      <c r="I136" s="2430"/>
      <c r="T136" s="1507"/>
      <c r="U136" s="1521"/>
      <c r="V136" s="1522"/>
      <c r="W136" s="1522"/>
      <c r="X136" s="1508"/>
      <c r="Y136" s="1191"/>
    </row>
    <row r="137" spans="1:26" s="1494" customFormat="1" ht="13.5" customHeight="1">
      <c r="A137" s="2413">
        <v>29</v>
      </c>
      <c r="B137" s="2414">
        <v>751</v>
      </c>
      <c r="C137" s="2414" t="s">
        <v>3398</v>
      </c>
      <c r="D137" s="2414" t="s">
        <v>3399</v>
      </c>
      <c r="E137" s="2414" t="s">
        <v>142</v>
      </c>
      <c r="F137" s="2415">
        <f>F140</f>
        <v>1.3</v>
      </c>
      <c r="G137" s="2395"/>
      <c r="H137" s="2402">
        <f t="shared" ref="H137" si="20">ROUND(F137*G137,2)</f>
        <v>0</v>
      </c>
      <c r="I137" s="2416" t="s">
        <v>111</v>
      </c>
      <c r="J137" s="1577"/>
    </row>
    <row r="138" spans="1:26" s="1494" customFormat="1" ht="13.5" customHeight="1">
      <c r="A138" s="2413"/>
      <c r="B138" s="2414"/>
      <c r="C138" s="2414"/>
      <c r="D138" s="2417" t="s">
        <v>3400</v>
      </c>
      <c r="E138" s="2414"/>
      <c r="F138" s="2418"/>
      <c r="G138" s="2419"/>
      <c r="H138" s="2419"/>
      <c r="I138" s="2416"/>
      <c r="J138" s="1576"/>
      <c r="K138" s="1574"/>
      <c r="L138" s="1574"/>
      <c r="M138" s="1507"/>
      <c r="N138" s="1507"/>
      <c r="O138" s="1507"/>
      <c r="P138" s="1508"/>
      <c r="S138" s="1509"/>
    </row>
    <row r="139" spans="1:26" s="1494" customFormat="1" ht="27" customHeight="1">
      <c r="A139" s="2420"/>
      <c r="B139" s="2421"/>
      <c r="C139" s="2422"/>
      <c r="D139" s="2417" t="s">
        <v>3360</v>
      </c>
      <c r="E139" s="2414"/>
      <c r="F139" s="2423"/>
      <c r="G139" s="2424"/>
      <c r="H139" s="2424"/>
      <c r="I139" s="2425"/>
      <c r="J139" s="1576"/>
      <c r="K139" s="1574"/>
      <c r="L139" s="1578"/>
      <c r="M139" s="1578"/>
      <c r="N139" s="1191"/>
      <c r="O139" s="1191"/>
      <c r="P139" s="1508"/>
      <c r="Q139" s="1579"/>
      <c r="R139" s="1520"/>
      <c r="S139" s="1509"/>
      <c r="T139" s="1507"/>
      <c r="U139" s="1521"/>
      <c r="V139" s="1522"/>
      <c r="W139" s="1522"/>
      <c r="X139" s="1508"/>
      <c r="Y139" s="1191"/>
    </row>
    <row r="140" spans="1:26" ht="13.5" customHeight="1">
      <c r="A140" s="2427"/>
      <c r="B140" s="2414"/>
      <c r="C140" s="2414"/>
      <c r="D140" s="2417" t="s">
        <v>3401</v>
      </c>
      <c r="E140" s="2414"/>
      <c r="F140" s="2428">
        <v>1.3</v>
      </c>
      <c r="G140" s="2396"/>
      <c r="H140" s="2396"/>
      <c r="I140" s="2416"/>
      <c r="J140" s="1582"/>
      <c r="K140" s="1583"/>
      <c r="L140" s="1583"/>
      <c r="M140" s="1583"/>
      <c r="N140" s="1583"/>
      <c r="O140" s="1537"/>
      <c r="P140" s="1537"/>
      <c r="Q140" s="1537"/>
      <c r="R140" s="1537"/>
      <c r="S140" s="1537"/>
      <c r="T140" s="1537"/>
      <c r="U140" s="1537"/>
      <c r="V140" s="1259"/>
      <c r="W140" s="1537"/>
      <c r="X140" s="1267"/>
      <c r="Y140" s="1267"/>
      <c r="Z140" s="1226"/>
    </row>
    <row r="141" spans="1:26" s="1494" customFormat="1" ht="27" customHeight="1">
      <c r="A141" s="2420"/>
      <c r="B141" s="2421"/>
      <c r="C141" s="2429"/>
      <c r="D141" s="2417" t="s">
        <v>2185</v>
      </c>
      <c r="E141" s="2414"/>
      <c r="F141" s="2423"/>
      <c r="G141" s="2424"/>
      <c r="H141" s="2424"/>
      <c r="I141" s="2430"/>
      <c r="T141" s="1507"/>
      <c r="U141" s="1521"/>
      <c r="V141" s="1522"/>
      <c r="W141" s="1522"/>
      <c r="X141" s="1508"/>
      <c r="Y141" s="1191"/>
    </row>
    <row r="142" spans="1:26" s="1494" customFormat="1" ht="13.5" customHeight="1">
      <c r="A142" s="2413">
        <v>30</v>
      </c>
      <c r="B142" s="2414">
        <v>751</v>
      </c>
      <c r="C142" s="2414" t="s">
        <v>3402</v>
      </c>
      <c r="D142" s="2414" t="s">
        <v>3403</v>
      </c>
      <c r="E142" s="2414" t="s">
        <v>142</v>
      </c>
      <c r="F142" s="2415">
        <f>F145</f>
        <v>11</v>
      </c>
      <c r="G142" s="2395"/>
      <c r="H142" s="2402">
        <f t="shared" ref="H142" si="21">ROUND(F142*G142,2)</f>
        <v>0</v>
      </c>
      <c r="I142" s="2416" t="s">
        <v>111</v>
      </c>
      <c r="J142" s="1577"/>
    </row>
    <row r="143" spans="1:26" s="1494" customFormat="1" ht="13.5" customHeight="1">
      <c r="A143" s="2413"/>
      <c r="B143" s="2414"/>
      <c r="C143" s="2414"/>
      <c r="D143" s="2417" t="s">
        <v>3404</v>
      </c>
      <c r="E143" s="2414"/>
      <c r="F143" s="2418"/>
      <c r="G143" s="2419"/>
      <c r="H143" s="2419"/>
      <c r="I143" s="2416"/>
      <c r="J143" s="1576"/>
      <c r="K143" s="1574"/>
      <c r="L143" s="1574"/>
      <c r="M143" s="1507"/>
      <c r="N143" s="1507"/>
      <c r="O143" s="1507"/>
      <c r="P143" s="1508"/>
      <c r="S143" s="1509"/>
    </row>
    <row r="144" spans="1:26" s="1494" customFormat="1" ht="27" customHeight="1">
      <c r="A144" s="2420"/>
      <c r="B144" s="2421"/>
      <c r="C144" s="2422"/>
      <c r="D144" s="2417" t="s">
        <v>3360</v>
      </c>
      <c r="E144" s="2414"/>
      <c r="F144" s="2423"/>
      <c r="G144" s="2424"/>
      <c r="H144" s="2424"/>
      <c r="I144" s="2425"/>
      <c r="J144" s="1576"/>
      <c r="K144" s="1574"/>
      <c r="L144" s="1578"/>
      <c r="M144" s="1578"/>
      <c r="N144" s="1191"/>
      <c r="O144" s="1191"/>
      <c r="P144" s="1508"/>
      <c r="Q144" s="1579"/>
      <c r="R144" s="1520"/>
      <c r="S144" s="1509"/>
      <c r="T144" s="1507"/>
      <c r="U144" s="1521"/>
      <c r="V144" s="1522"/>
      <c r="W144" s="1522"/>
      <c r="X144" s="1508"/>
      <c r="Y144" s="1191"/>
    </row>
    <row r="145" spans="1:26" ht="13.5" customHeight="1">
      <c r="A145" s="2427"/>
      <c r="B145" s="2414"/>
      <c r="C145" s="2414"/>
      <c r="D145" s="2417" t="s">
        <v>3405</v>
      </c>
      <c r="E145" s="2414"/>
      <c r="F145" s="2428">
        <v>11</v>
      </c>
      <c r="G145" s="2396"/>
      <c r="H145" s="2396"/>
      <c r="I145" s="2416"/>
      <c r="J145" s="1582"/>
      <c r="K145" s="1583"/>
      <c r="L145" s="1583"/>
      <c r="M145" s="1583"/>
      <c r="N145" s="1583"/>
      <c r="O145" s="1537"/>
      <c r="P145" s="1537"/>
      <c r="Q145" s="1537"/>
      <c r="R145" s="1537"/>
      <c r="S145" s="1537"/>
      <c r="T145" s="1537"/>
      <c r="U145" s="1537"/>
      <c r="V145" s="1259"/>
      <c r="W145" s="1537"/>
      <c r="X145" s="1267"/>
      <c r="Y145" s="1267"/>
      <c r="Z145" s="1226"/>
    </row>
    <row r="146" spans="1:26" s="1494" customFormat="1" ht="27" customHeight="1">
      <c r="A146" s="2420"/>
      <c r="B146" s="2421"/>
      <c r="C146" s="2429"/>
      <c r="D146" s="2417" t="s">
        <v>2185</v>
      </c>
      <c r="E146" s="2414"/>
      <c r="F146" s="2423"/>
      <c r="G146" s="2424"/>
      <c r="H146" s="2424"/>
      <c r="I146" s="2430"/>
      <c r="T146" s="1507"/>
      <c r="U146" s="1521"/>
      <c r="V146" s="1522"/>
      <c r="W146" s="1522"/>
      <c r="X146" s="1508"/>
      <c r="Y146" s="1191"/>
    </row>
    <row r="147" spans="1:26" s="1494" customFormat="1" ht="27" customHeight="1">
      <c r="A147" s="2413">
        <v>31</v>
      </c>
      <c r="B147" s="2414">
        <v>751</v>
      </c>
      <c r="C147" s="2414" t="s">
        <v>3406</v>
      </c>
      <c r="D147" s="2414" t="s">
        <v>3407</v>
      </c>
      <c r="E147" s="2414" t="s">
        <v>142</v>
      </c>
      <c r="F147" s="2415">
        <f>F150</f>
        <v>11.1</v>
      </c>
      <c r="G147" s="2395"/>
      <c r="H147" s="2402">
        <f t="shared" ref="H147" si="22">ROUND(F147*G147,2)</f>
        <v>0</v>
      </c>
      <c r="I147" s="2416" t="s">
        <v>111</v>
      </c>
      <c r="J147" s="2431"/>
    </row>
    <row r="148" spans="1:26" s="1494" customFormat="1" ht="13.5" customHeight="1">
      <c r="A148" s="2413"/>
      <c r="B148" s="2414"/>
      <c r="C148" s="2414"/>
      <c r="D148" s="2417" t="s">
        <v>3408</v>
      </c>
      <c r="E148" s="2414"/>
      <c r="F148" s="2418"/>
      <c r="G148" s="2419"/>
      <c r="H148" s="2419"/>
      <c r="I148" s="2416"/>
      <c r="J148" s="1576"/>
      <c r="K148" s="1574"/>
      <c r="L148" s="1574"/>
      <c r="M148" s="1507"/>
      <c r="N148" s="1507"/>
      <c r="O148" s="1507"/>
      <c r="P148" s="1508"/>
      <c r="S148" s="1509"/>
    </row>
    <row r="149" spans="1:26" s="1494" customFormat="1" ht="27" customHeight="1">
      <c r="A149" s="2420"/>
      <c r="B149" s="2421"/>
      <c r="C149" s="2422"/>
      <c r="D149" s="2417" t="s">
        <v>3360</v>
      </c>
      <c r="E149" s="2414"/>
      <c r="F149" s="2423"/>
      <c r="G149" s="2424"/>
      <c r="H149" s="2424"/>
      <c r="I149" s="2425"/>
      <c r="J149" s="1576"/>
      <c r="K149" s="1574"/>
      <c r="L149" s="1578"/>
      <c r="M149" s="1578"/>
      <c r="N149" s="1191"/>
      <c r="O149" s="1191"/>
      <c r="P149" s="1508"/>
      <c r="Q149" s="1579"/>
      <c r="R149" s="1520"/>
      <c r="S149" s="1509"/>
      <c r="T149" s="1507"/>
      <c r="U149" s="1521"/>
      <c r="V149" s="1522"/>
      <c r="W149" s="1522"/>
      <c r="X149" s="1508"/>
      <c r="Y149" s="1191"/>
    </row>
    <row r="150" spans="1:26" ht="13.5" customHeight="1">
      <c r="A150" s="2427"/>
      <c r="B150" s="2414"/>
      <c r="C150" s="2414"/>
      <c r="D150" s="2417" t="s">
        <v>3409</v>
      </c>
      <c r="E150" s="2414"/>
      <c r="F150" s="2428">
        <f>(9.5+1.6)</f>
        <v>11.1</v>
      </c>
      <c r="G150" s="2396"/>
      <c r="H150" s="2396"/>
      <c r="I150" s="2416"/>
      <c r="J150" s="1582"/>
      <c r="K150" s="1583"/>
      <c r="L150" s="1583"/>
      <c r="M150" s="1583"/>
      <c r="N150" s="1583"/>
      <c r="O150" s="1537"/>
      <c r="P150" s="1537"/>
      <c r="Q150" s="1537"/>
      <c r="R150" s="1537"/>
      <c r="S150" s="1537"/>
      <c r="T150" s="1537"/>
      <c r="U150" s="1537"/>
      <c r="V150" s="1259"/>
      <c r="W150" s="1537"/>
      <c r="X150" s="1267"/>
      <c r="Y150" s="1267"/>
      <c r="Z150" s="1226"/>
    </row>
    <row r="151" spans="1:26" s="1494" customFormat="1" ht="27" customHeight="1">
      <c r="A151" s="2420"/>
      <c r="B151" s="2421"/>
      <c r="C151" s="2429"/>
      <c r="D151" s="2417" t="s">
        <v>2185</v>
      </c>
      <c r="E151" s="2414"/>
      <c r="F151" s="2423"/>
      <c r="G151" s="2424"/>
      <c r="H151" s="2424"/>
      <c r="I151" s="2430"/>
      <c r="T151" s="1507"/>
      <c r="U151" s="1521"/>
      <c r="V151" s="1522"/>
      <c r="W151" s="1522"/>
      <c r="X151" s="1508"/>
      <c r="Y151" s="1191"/>
    </row>
    <row r="152" spans="1:26" s="1494" customFormat="1" ht="27" customHeight="1">
      <c r="A152" s="2413">
        <v>32</v>
      </c>
      <c r="B152" s="2414">
        <v>751</v>
      </c>
      <c r="C152" s="2414" t="s">
        <v>3410</v>
      </c>
      <c r="D152" s="2414" t="s">
        <v>3411</v>
      </c>
      <c r="E152" s="2414" t="s">
        <v>142</v>
      </c>
      <c r="F152" s="2415">
        <f>F155</f>
        <v>4.5</v>
      </c>
      <c r="G152" s="2395"/>
      <c r="H152" s="2402">
        <f t="shared" ref="H152" si="23">ROUND(F152*G152,2)</f>
        <v>0</v>
      </c>
      <c r="I152" s="2416" t="s">
        <v>111</v>
      </c>
      <c r="J152" s="1577"/>
    </row>
    <row r="153" spans="1:26" s="1494" customFormat="1" ht="13.5" customHeight="1">
      <c r="A153" s="2413"/>
      <c r="B153" s="2414"/>
      <c r="C153" s="2414"/>
      <c r="D153" s="2417" t="s">
        <v>3412</v>
      </c>
      <c r="E153" s="2414"/>
      <c r="F153" s="2418"/>
      <c r="G153" s="2419"/>
      <c r="H153" s="2419"/>
      <c r="I153" s="2416"/>
      <c r="J153" s="1576"/>
      <c r="K153" s="1574"/>
      <c r="L153" s="1574"/>
      <c r="M153" s="1507"/>
      <c r="N153" s="1507"/>
      <c r="O153" s="1507"/>
      <c r="P153" s="1508"/>
      <c r="S153" s="1509"/>
    </row>
    <row r="154" spans="1:26" s="1494" customFormat="1" ht="27" customHeight="1">
      <c r="A154" s="2420"/>
      <c r="B154" s="2421"/>
      <c r="C154" s="2422"/>
      <c r="D154" s="2417" t="s">
        <v>3360</v>
      </c>
      <c r="E154" s="2414"/>
      <c r="F154" s="2423"/>
      <c r="G154" s="2424"/>
      <c r="H154" s="2424"/>
      <c r="I154" s="2425"/>
      <c r="J154" s="1576"/>
      <c r="K154" s="1574"/>
      <c r="L154" s="1578"/>
      <c r="M154" s="1578"/>
      <c r="N154" s="1191"/>
      <c r="O154" s="1191"/>
      <c r="P154" s="1508"/>
      <c r="Q154" s="1579"/>
      <c r="R154" s="1520"/>
      <c r="S154" s="1509"/>
      <c r="T154" s="1507"/>
      <c r="U154" s="1521"/>
      <c r="V154" s="1522"/>
      <c r="W154" s="1522"/>
      <c r="X154" s="1508"/>
      <c r="Y154" s="1191"/>
    </row>
    <row r="155" spans="1:26" ht="13.5" customHeight="1">
      <c r="A155" s="2427"/>
      <c r="B155" s="2414"/>
      <c r="C155" s="2414"/>
      <c r="D155" s="2417" t="s">
        <v>3413</v>
      </c>
      <c r="E155" s="2414"/>
      <c r="F155" s="2428">
        <f>(1.5+3)</f>
        <v>4.5</v>
      </c>
      <c r="G155" s="2396"/>
      <c r="H155" s="2396"/>
      <c r="I155" s="2416"/>
      <c r="J155" s="1582"/>
      <c r="K155" s="1583"/>
      <c r="L155" s="1583"/>
      <c r="M155" s="1583"/>
      <c r="N155" s="1583"/>
      <c r="O155" s="1537"/>
      <c r="P155" s="1537"/>
      <c r="Q155" s="1537"/>
      <c r="R155" s="1537"/>
      <c r="S155" s="1537"/>
      <c r="T155" s="1537"/>
      <c r="U155" s="1537"/>
      <c r="V155" s="1259"/>
      <c r="W155" s="1537"/>
      <c r="X155" s="1267"/>
      <c r="Y155" s="1267"/>
      <c r="Z155" s="1226"/>
    </row>
    <row r="156" spans="1:26" s="1494" customFormat="1" ht="27" customHeight="1">
      <c r="A156" s="2420"/>
      <c r="B156" s="2421"/>
      <c r="C156" s="2429"/>
      <c r="D156" s="2417" t="s">
        <v>2185</v>
      </c>
      <c r="E156" s="2414"/>
      <c r="F156" s="2423"/>
      <c r="G156" s="2424"/>
      <c r="H156" s="2424"/>
      <c r="I156" s="2430"/>
      <c r="T156" s="1507"/>
      <c r="U156" s="1521"/>
      <c r="V156" s="1522"/>
      <c r="W156" s="1522"/>
      <c r="X156" s="1508"/>
      <c r="Y156" s="1191"/>
    </row>
    <row r="157" spans="1:26" s="1494" customFormat="1" ht="27" customHeight="1">
      <c r="A157" s="2413">
        <v>33</v>
      </c>
      <c r="B157" s="2414">
        <v>751</v>
      </c>
      <c r="C157" s="2414" t="s">
        <v>3414</v>
      </c>
      <c r="D157" s="2414" t="s">
        <v>3415</v>
      </c>
      <c r="E157" s="2414" t="s">
        <v>142</v>
      </c>
      <c r="F157" s="2415">
        <f>F160</f>
        <v>20.700000000000003</v>
      </c>
      <c r="G157" s="2395"/>
      <c r="H157" s="2402">
        <f t="shared" ref="H157" si="24">ROUND(F157*G157,2)</f>
        <v>0</v>
      </c>
      <c r="I157" s="2416" t="s">
        <v>111</v>
      </c>
      <c r="J157" s="1577"/>
    </row>
    <row r="158" spans="1:26" s="1494" customFormat="1" ht="13.5" customHeight="1">
      <c r="A158" s="2413"/>
      <c r="B158" s="2414"/>
      <c r="C158" s="2414"/>
      <c r="D158" s="2417" t="s">
        <v>3416</v>
      </c>
      <c r="E158" s="2414"/>
      <c r="F158" s="2418"/>
      <c r="G158" s="2419"/>
      <c r="H158" s="2419"/>
      <c r="I158" s="2416"/>
      <c r="J158" s="1576"/>
      <c r="K158" s="1574"/>
      <c r="L158" s="1574"/>
      <c r="M158" s="1507"/>
      <c r="N158" s="1507"/>
      <c r="O158" s="1507"/>
      <c r="P158" s="1508"/>
      <c r="S158" s="1509"/>
    </row>
    <row r="159" spans="1:26" s="1494" customFormat="1" ht="27" customHeight="1">
      <c r="A159" s="2420"/>
      <c r="B159" s="2421"/>
      <c r="C159" s="2422"/>
      <c r="D159" s="2417" t="s">
        <v>3360</v>
      </c>
      <c r="E159" s="2414"/>
      <c r="F159" s="2423"/>
      <c r="G159" s="2424"/>
      <c r="H159" s="2424"/>
      <c r="I159" s="2425"/>
      <c r="J159" s="1576"/>
      <c r="K159" s="1574"/>
      <c r="L159" s="1578"/>
      <c r="M159" s="1578"/>
      <c r="N159" s="1191"/>
      <c r="O159" s="1191"/>
      <c r="P159" s="1508"/>
      <c r="Q159" s="1579"/>
      <c r="R159" s="1520"/>
      <c r="S159" s="1509"/>
      <c r="T159" s="1507"/>
      <c r="U159" s="1521"/>
      <c r="V159" s="1522"/>
      <c r="W159" s="1522"/>
      <c r="X159" s="1508"/>
      <c r="Y159" s="1191"/>
    </row>
    <row r="160" spans="1:26" ht="13.5" customHeight="1">
      <c r="A160" s="2427"/>
      <c r="B160" s="2414"/>
      <c r="C160" s="2414"/>
      <c r="D160" s="2417" t="s">
        <v>3417</v>
      </c>
      <c r="E160" s="2414"/>
      <c r="F160" s="2428">
        <f>(7.9+12.8)</f>
        <v>20.700000000000003</v>
      </c>
      <c r="G160" s="2396"/>
      <c r="H160" s="2396"/>
      <c r="I160" s="2416"/>
      <c r="J160" s="1582"/>
      <c r="K160" s="1583"/>
      <c r="L160" s="1583"/>
      <c r="M160" s="1583"/>
      <c r="N160" s="1583"/>
      <c r="O160" s="1537"/>
      <c r="P160" s="1537"/>
      <c r="Q160" s="1537"/>
      <c r="R160" s="1537"/>
      <c r="S160" s="1537"/>
      <c r="T160" s="1537"/>
      <c r="U160" s="1537"/>
      <c r="V160" s="1259"/>
      <c r="W160" s="1537"/>
      <c r="X160" s="1267"/>
      <c r="Y160" s="1267"/>
      <c r="Z160" s="1226"/>
    </row>
    <row r="161" spans="1:26" s="1494" customFormat="1" ht="27" customHeight="1">
      <c r="A161" s="2420"/>
      <c r="B161" s="2421"/>
      <c r="C161" s="2429"/>
      <c r="D161" s="2417" t="s">
        <v>2185</v>
      </c>
      <c r="E161" s="2414"/>
      <c r="F161" s="2423"/>
      <c r="G161" s="2424"/>
      <c r="H161" s="2424"/>
      <c r="I161" s="2430"/>
      <c r="T161" s="1507"/>
      <c r="U161" s="1521"/>
      <c r="V161" s="1522"/>
      <c r="W161" s="1522"/>
      <c r="X161" s="1508"/>
      <c r="Y161" s="1191"/>
    </row>
    <row r="162" spans="1:26" s="1494" customFormat="1" ht="27" customHeight="1">
      <c r="A162" s="2413">
        <v>34</v>
      </c>
      <c r="B162" s="2414">
        <v>751</v>
      </c>
      <c r="C162" s="2414" t="s">
        <v>3418</v>
      </c>
      <c r="D162" s="2414" t="s">
        <v>3419</v>
      </c>
      <c r="E162" s="2414" t="s">
        <v>142</v>
      </c>
      <c r="F162" s="2415">
        <f>F165</f>
        <v>31.6</v>
      </c>
      <c r="G162" s="2395"/>
      <c r="H162" s="2402">
        <f t="shared" ref="H162" si="25">ROUND(F162*G162,2)</f>
        <v>0</v>
      </c>
      <c r="I162" s="2416" t="s">
        <v>111</v>
      </c>
      <c r="J162" s="1577"/>
    </row>
    <row r="163" spans="1:26" s="1494" customFormat="1" ht="13.5" customHeight="1">
      <c r="A163" s="2413"/>
      <c r="B163" s="2414"/>
      <c r="C163" s="2414"/>
      <c r="D163" s="2417" t="s">
        <v>3420</v>
      </c>
      <c r="E163" s="2414"/>
      <c r="F163" s="2418"/>
      <c r="G163" s="2419"/>
      <c r="H163" s="2419"/>
      <c r="I163" s="2416"/>
      <c r="J163" s="1576"/>
      <c r="K163" s="1574"/>
      <c r="L163" s="1574"/>
      <c r="M163" s="1507"/>
      <c r="N163" s="1507"/>
      <c r="O163" s="1507"/>
      <c r="P163" s="1508"/>
      <c r="S163" s="1509"/>
    </row>
    <row r="164" spans="1:26" s="1494" customFormat="1" ht="27" customHeight="1">
      <c r="A164" s="2420"/>
      <c r="B164" s="2421"/>
      <c r="C164" s="2422"/>
      <c r="D164" s="2417" t="s">
        <v>3360</v>
      </c>
      <c r="E164" s="2414"/>
      <c r="F164" s="2423"/>
      <c r="G164" s="2424"/>
      <c r="H164" s="2424"/>
      <c r="I164" s="2425"/>
      <c r="J164" s="1576"/>
      <c r="K164" s="1574"/>
      <c r="L164" s="1578"/>
      <c r="M164" s="1578"/>
      <c r="N164" s="1191"/>
      <c r="O164" s="1191"/>
      <c r="P164" s="1508"/>
      <c r="Q164" s="1579"/>
      <c r="R164" s="1520"/>
      <c r="S164" s="1509"/>
      <c r="T164" s="1507"/>
      <c r="U164" s="1521"/>
      <c r="V164" s="1522"/>
      <c r="W164" s="1522"/>
      <c r="X164" s="1508"/>
      <c r="Y164" s="1191"/>
    </row>
    <row r="165" spans="1:26" ht="13.5" customHeight="1">
      <c r="A165" s="2427"/>
      <c r="B165" s="2414"/>
      <c r="C165" s="2414"/>
      <c r="D165" s="2417" t="s">
        <v>3421</v>
      </c>
      <c r="E165" s="2414"/>
      <c r="F165" s="2428">
        <f>(20.1+11.5)</f>
        <v>31.6</v>
      </c>
      <c r="G165" s="2396"/>
      <c r="H165" s="2396"/>
      <c r="I165" s="2416"/>
      <c r="J165" s="1582"/>
      <c r="K165" s="1583"/>
      <c r="L165" s="1583"/>
      <c r="M165" s="1583"/>
      <c r="N165" s="1583"/>
      <c r="O165" s="1537"/>
      <c r="P165" s="1537"/>
      <c r="Q165" s="1537"/>
      <c r="R165" s="1537"/>
      <c r="S165" s="1537"/>
      <c r="T165" s="1537"/>
      <c r="U165" s="1537"/>
      <c r="V165" s="1259"/>
      <c r="W165" s="1537"/>
      <c r="X165" s="1267"/>
      <c r="Y165" s="1267"/>
      <c r="Z165" s="1226"/>
    </row>
    <row r="166" spans="1:26" s="1494" customFormat="1" ht="27" customHeight="1">
      <c r="A166" s="2420"/>
      <c r="B166" s="2421"/>
      <c r="C166" s="2429"/>
      <c r="D166" s="2417" t="s">
        <v>2185</v>
      </c>
      <c r="E166" s="2414"/>
      <c r="F166" s="2423"/>
      <c r="G166" s="2424"/>
      <c r="H166" s="2424"/>
      <c r="I166" s="2430"/>
      <c r="T166" s="1507"/>
      <c r="U166" s="1521"/>
      <c r="V166" s="1522"/>
      <c r="W166" s="1522"/>
      <c r="X166" s="1508"/>
      <c r="Y166" s="1191"/>
    </row>
    <row r="167" spans="1:26" s="1494" customFormat="1" ht="27" customHeight="1">
      <c r="A167" s="2413">
        <v>35</v>
      </c>
      <c r="B167" s="2414">
        <v>751</v>
      </c>
      <c r="C167" s="2414" t="s">
        <v>3422</v>
      </c>
      <c r="D167" s="2414" t="s">
        <v>3423</v>
      </c>
      <c r="E167" s="2414" t="s">
        <v>142</v>
      </c>
      <c r="F167" s="2415">
        <f>F170</f>
        <v>3.9</v>
      </c>
      <c r="G167" s="2395"/>
      <c r="H167" s="2402">
        <f t="shared" ref="H167" si="26">ROUND(F167*G167,2)</f>
        <v>0</v>
      </c>
      <c r="I167" s="2416" t="s">
        <v>111</v>
      </c>
      <c r="J167" s="1577"/>
    </row>
    <row r="168" spans="1:26" s="1494" customFormat="1" ht="13.5" customHeight="1">
      <c r="A168" s="2413"/>
      <c r="B168" s="2414"/>
      <c r="C168" s="2414"/>
      <c r="D168" s="2417" t="s">
        <v>3424</v>
      </c>
      <c r="E168" s="2414"/>
      <c r="F168" s="2418"/>
      <c r="G168" s="2419"/>
      <c r="H168" s="2419"/>
      <c r="I168" s="2416"/>
      <c r="J168" s="1576"/>
      <c r="K168" s="1574"/>
      <c r="L168" s="1574"/>
      <c r="M168" s="1507"/>
      <c r="N168" s="1507"/>
      <c r="O168" s="1507"/>
      <c r="P168" s="1508"/>
      <c r="S168" s="1509"/>
    </row>
    <row r="169" spans="1:26" s="1494" customFormat="1" ht="27" customHeight="1">
      <c r="A169" s="2420"/>
      <c r="B169" s="2421"/>
      <c r="C169" s="2422"/>
      <c r="D169" s="2417" t="s">
        <v>3360</v>
      </c>
      <c r="E169" s="2414"/>
      <c r="F169" s="2423"/>
      <c r="G169" s="2424"/>
      <c r="H169" s="2424"/>
      <c r="I169" s="2425"/>
      <c r="J169" s="1576"/>
      <c r="K169" s="1574"/>
      <c r="L169" s="1578"/>
      <c r="M169" s="1578"/>
      <c r="N169" s="1191"/>
      <c r="O169" s="1191"/>
      <c r="P169" s="1508"/>
      <c r="Q169" s="1579"/>
      <c r="R169" s="1520"/>
      <c r="S169" s="1509"/>
      <c r="T169" s="1507"/>
      <c r="U169" s="1521"/>
      <c r="V169" s="1522"/>
      <c r="W169" s="1522"/>
      <c r="X169" s="1508"/>
      <c r="Y169" s="1191"/>
    </row>
    <row r="170" spans="1:26" ht="13.5" customHeight="1">
      <c r="A170" s="2427"/>
      <c r="B170" s="2414"/>
      <c r="C170" s="2414"/>
      <c r="D170" s="2417" t="s">
        <v>3425</v>
      </c>
      <c r="E170" s="2414"/>
      <c r="F170" s="2428">
        <f>(2.3+1.6)</f>
        <v>3.9</v>
      </c>
      <c r="G170" s="2396"/>
      <c r="H170" s="2396"/>
      <c r="I170" s="2416"/>
      <c r="J170" s="1582"/>
      <c r="K170" s="1583"/>
      <c r="L170" s="1583"/>
      <c r="M170" s="1583"/>
      <c r="N170" s="1583"/>
      <c r="O170" s="1537"/>
      <c r="P170" s="1537"/>
      <c r="Q170" s="1537"/>
      <c r="R170" s="1537"/>
      <c r="S170" s="1537"/>
      <c r="T170" s="1537"/>
      <c r="U170" s="1537"/>
      <c r="V170" s="1259"/>
      <c r="W170" s="1537"/>
      <c r="X170" s="1267"/>
      <c r="Y170" s="1267"/>
      <c r="Z170" s="1226"/>
    </row>
    <row r="171" spans="1:26" s="1494" customFormat="1" ht="27" customHeight="1">
      <c r="A171" s="2420"/>
      <c r="B171" s="2421"/>
      <c r="C171" s="2429"/>
      <c r="D171" s="2417" t="s">
        <v>2185</v>
      </c>
      <c r="E171" s="2414"/>
      <c r="F171" s="2423"/>
      <c r="G171" s="2424"/>
      <c r="H171" s="2424"/>
      <c r="I171" s="2430"/>
      <c r="T171" s="1507"/>
      <c r="U171" s="1521"/>
      <c r="V171" s="1522"/>
      <c r="W171" s="1522"/>
      <c r="X171" s="1508"/>
      <c r="Y171" s="1191"/>
    </row>
    <row r="172" spans="1:26" s="1494" customFormat="1" ht="27" customHeight="1">
      <c r="A172" s="2413">
        <v>36</v>
      </c>
      <c r="B172" s="2414">
        <v>751</v>
      </c>
      <c r="C172" s="2414" t="s">
        <v>3426</v>
      </c>
      <c r="D172" s="2414" t="s">
        <v>3427</v>
      </c>
      <c r="E172" s="2414" t="s">
        <v>142</v>
      </c>
      <c r="F172" s="2415">
        <f>F175</f>
        <v>9.1</v>
      </c>
      <c r="G172" s="2395"/>
      <c r="H172" s="2402">
        <f t="shared" ref="H172" si="27">ROUND(F172*G172,2)</f>
        <v>0</v>
      </c>
      <c r="I172" s="2416" t="s">
        <v>111</v>
      </c>
      <c r="J172" s="1577"/>
    </row>
    <row r="173" spans="1:26" s="1494" customFormat="1" ht="13.5" customHeight="1">
      <c r="A173" s="2413"/>
      <c r="B173" s="2414"/>
      <c r="C173" s="2414"/>
      <c r="D173" s="2417" t="s">
        <v>3428</v>
      </c>
      <c r="E173" s="2414"/>
      <c r="F173" s="2418"/>
      <c r="G173" s="2419"/>
      <c r="H173" s="2419"/>
      <c r="I173" s="2416"/>
      <c r="J173" s="1576"/>
      <c r="K173" s="1574"/>
      <c r="L173" s="1574"/>
      <c r="M173" s="1507"/>
      <c r="N173" s="1507"/>
      <c r="O173" s="1507"/>
      <c r="P173" s="1508"/>
      <c r="S173" s="1509"/>
    </row>
    <row r="174" spans="1:26" s="1494" customFormat="1" ht="27" customHeight="1">
      <c r="A174" s="2420"/>
      <c r="B174" s="2421"/>
      <c r="C174" s="2422"/>
      <c r="D174" s="2417" t="s">
        <v>3360</v>
      </c>
      <c r="E174" s="2414"/>
      <c r="F174" s="2423"/>
      <c r="G174" s="2424"/>
      <c r="H174" s="2424"/>
      <c r="I174" s="2425"/>
      <c r="J174" s="1576"/>
      <c r="K174" s="1574"/>
      <c r="L174" s="1578"/>
      <c r="M174" s="1578"/>
      <c r="N174" s="1191"/>
      <c r="O174" s="1191"/>
      <c r="P174" s="1508"/>
      <c r="Q174" s="1579"/>
      <c r="R174" s="1520"/>
      <c r="S174" s="1509"/>
      <c r="T174" s="1507"/>
      <c r="U174" s="1521"/>
      <c r="V174" s="1522"/>
      <c r="W174" s="1522"/>
      <c r="X174" s="1508"/>
      <c r="Y174" s="1191"/>
    </row>
    <row r="175" spans="1:26" ht="13.5" customHeight="1">
      <c r="A175" s="2427"/>
      <c r="B175" s="2414"/>
      <c r="C175" s="2414"/>
      <c r="D175" s="2417" t="s">
        <v>3429</v>
      </c>
      <c r="E175" s="2414"/>
      <c r="F175" s="2428">
        <f>(6.2+2.9)</f>
        <v>9.1</v>
      </c>
      <c r="G175" s="2396"/>
      <c r="H175" s="2396"/>
      <c r="I175" s="2416"/>
      <c r="J175" s="1582"/>
      <c r="K175" s="1583"/>
      <c r="L175" s="1583"/>
      <c r="M175" s="1583"/>
      <c r="N175" s="1583"/>
      <c r="O175" s="1537"/>
      <c r="P175" s="1537"/>
      <c r="Q175" s="1537"/>
      <c r="R175" s="1537"/>
      <c r="S175" s="1537"/>
      <c r="T175" s="1537"/>
      <c r="U175" s="1537"/>
      <c r="V175" s="1259"/>
      <c r="W175" s="1537"/>
      <c r="X175" s="1267"/>
      <c r="Y175" s="1267"/>
      <c r="Z175" s="1226"/>
    </row>
    <row r="176" spans="1:26" s="1494" customFormat="1" ht="27" customHeight="1">
      <c r="A176" s="2420"/>
      <c r="B176" s="2421"/>
      <c r="C176" s="2429"/>
      <c r="D176" s="2417" t="s">
        <v>2185</v>
      </c>
      <c r="E176" s="2414"/>
      <c r="F176" s="2423"/>
      <c r="G176" s="2424"/>
      <c r="H176" s="2424"/>
      <c r="I176" s="2430"/>
      <c r="T176" s="1507"/>
      <c r="U176" s="1521"/>
      <c r="V176" s="1522"/>
      <c r="W176" s="1522"/>
      <c r="X176" s="1508"/>
      <c r="Y176" s="1191"/>
    </row>
    <row r="177" spans="1:26" s="1494" customFormat="1" ht="27" customHeight="1">
      <c r="A177" s="2413">
        <v>37</v>
      </c>
      <c r="B177" s="2414">
        <v>751</v>
      </c>
      <c r="C177" s="2414" t="s">
        <v>3430</v>
      </c>
      <c r="D177" s="2414" t="s">
        <v>3431</v>
      </c>
      <c r="E177" s="2414" t="s">
        <v>142</v>
      </c>
      <c r="F177" s="2415">
        <f>F180</f>
        <v>4</v>
      </c>
      <c r="G177" s="2395"/>
      <c r="H177" s="2402">
        <f t="shared" ref="H177" si="28">ROUND(F177*G177,2)</f>
        <v>0</v>
      </c>
      <c r="I177" s="2416" t="s">
        <v>111</v>
      </c>
      <c r="J177" s="1577"/>
    </row>
    <row r="178" spans="1:26" s="1494" customFormat="1" ht="13.5" customHeight="1">
      <c r="A178" s="2413"/>
      <c r="B178" s="2414"/>
      <c r="C178" s="2414"/>
      <c r="D178" s="2417" t="s">
        <v>3432</v>
      </c>
      <c r="E178" s="2414"/>
      <c r="F178" s="2418"/>
      <c r="G178" s="2419"/>
      <c r="H178" s="2419"/>
      <c r="I178" s="2416"/>
      <c r="J178" s="1576"/>
      <c r="K178" s="1574"/>
      <c r="L178" s="1574"/>
      <c r="M178" s="1507"/>
      <c r="N178" s="1507"/>
      <c r="O178" s="1507"/>
      <c r="P178" s="1508"/>
      <c r="S178" s="1509"/>
    </row>
    <row r="179" spans="1:26" s="1494" customFormat="1" ht="27" customHeight="1">
      <c r="A179" s="2420"/>
      <c r="B179" s="2421"/>
      <c r="C179" s="2422"/>
      <c r="D179" s="2417" t="s">
        <v>3360</v>
      </c>
      <c r="E179" s="2414"/>
      <c r="F179" s="2423"/>
      <c r="G179" s="2424"/>
      <c r="H179" s="2424"/>
      <c r="I179" s="2425"/>
      <c r="J179" s="1576"/>
      <c r="K179" s="1574"/>
      <c r="L179" s="1578"/>
      <c r="M179" s="1578"/>
      <c r="N179" s="1191"/>
      <c r="O179" s="1191"/>
      <c r="P179" s="1508"/>
      <c r="Q179" s="1579"/>
      <c r="R179" s="1520"/>
      <c r="S179" s="1509"/>
      <c r="T179" s="1507"/>
      <c r="U179" s="1521"/>
      <c r="V179" s="1522"/>
      <c r="W179" s="1522"/>
      <c r="X179" s="1508"/>
      <c r="Y179" s="1191"/>
    </row>
    <row r="180" spans="1:26" ht="13.5" customHeight="1">
      <c r="A180" s="2427"/>
      <c r="B180" s="2414"/>
      <c r="C180" s="2414"/>
      <c r="D180" s="2417" t="s">
        <v>3433</v>
      </c>
      <c r="E180" s="2414"/>
      <c r="F180" s="2428">
        <f>(2+2)</f>
        <v>4</v>
      </c>
      <c r="G180" s="2396"/>
      <c r="H180" s="2396"/>
      <c r="I180" s="2416"/>
      <c r="J180" s="1582"/>
      <c r="K180" s="1583"/>
      <c r="L180" s="1583"/>
      <c r="M180" s="1583"/>
      <c r="N180" s="1583"/>
      <c r="O180" s="1537"/>
      <c r="P180" s="1537"/>
      <c r="Q180" s="1537"/>
      <c r="R180" s="1537"/>
      <c r="S180" s="1537"/>
      <c r="T180" s="1537"/>
      <c r="U180" s="1537"/>
      <c r="V180" s="1259"/>
      <c r="W180" s="1537"/>
      <c r="X180" s="1267"/>
      <c r="Y180" s="1267"/>
      <c r="Z180" s="1226"/>
    </row>
    <row r="181" spans="1:26" s="1494" customFormat="1" ht="27" customHeight="1">
      <c r="A181" s="2420"/>
      <c r="B181" s="2421"/>
      <c r="C181" s="2429"/>
      <c r="D181" s="2417" t="s">
        <v>2185</v>
      </c>
      <c r="E181" s="2414"/>
      <c r="F181" s="2423"/>
      <c r="G181" s="2424"/>
      <c r="H181" s="2424"/>
      <c r="I181" s="2430"/>
      <c r="T181" s="1507"/>
      <c r="U181" s="1521"/>
      <c r="V181" s="1522"/>
      <c r="W181" s="1522"/>
      <c r="X181" s="1508"/>
      <c r="Y181" s="1191"/>
    </row>
    <row r="182" spans="1:26" s="1494" customFormat="1" ht="13.5" customHeight="1">
      <c r="A182" s="2413">
        <v>38</v>
      </c>
      <c r="B182" s="2414">
        <v>751</v>
      </c>
      <c r="C182" s="2414" t="s">
        <v>3434</v>
      </c>
      <c r="D182" s="2414" t="s">
        <v>3435</v>
      </c>
      <c r="E182" s="2414" t="s">
        <v>142</v>
      </c>
      <c r="F182" s="2415">
        <f>F185</f>
        <v>10.6</v>
      </c>
      <c r="G182" s="2395"/>
      <c r="H182" s="2402">
        <f t="shared" ref="H182" si="29">ROUND(F182*G182,2)</f>
        <v>0</v>
      </c>
      <c r="I182" s="2416" t="s">
        <v>111</v>
      </c>
      <c r="J182" s="1577"/>
    </row>
    <row r="183" spans="1:26" s="1494" customFormat="1" ht="13.5" customHeight="1">
      <c r="A183" s="2413"/>
      <c r="B183" s="2414"/>
      <c r="C183" s="2414"/>
      <c r="D183" s="2417" t="s">
        <v>3436</v>
      </c>
      <c r="E183" s="2414"/>
      <c r="F183" s="2418"/>
      <c r="G183" s="2419"/>
      <c r="H183" s="2419"/>
      <c r="I183" s="2416"/>
      <c r="J183" s="1576"/>
      <c r="K183" s="1574"/>
      <c r="L183" s="1574"/>
      <c r="M183" s="1507"/>
      <c r="N183" s="1507"/>
      <c r="O183" s="1507"/>
      <c r="P183" s="1508"/>
      <c r="S183" s="1509"/>
    </row>
    <row r="184" spans="1:26" s="1494" customFormat="1" ht="27" customHeight="1">
      <c r="A184" s="2420"/>
      <c r="B184" s="2421"/>
      <c r="C184" s="2422"/>
      <c r="D184" s="2417" t="s">
        <v>3360</v>
      </c>
      <c r="E184" s="2414"/>
      <c r="F184" s="2423"/>
      <c r="G184" s="2424"/>
      <c r="H184" s="2424"/>
      <c r="I184" s="2425"/>
      <c r="J184" s="1576"/>
      <c r="K184" s="1574"/>
      <c r="L184" s="1578"/>
      <c r="M184" s="1578"/>
      <c r="N184" s="1191"/>
      <c r="O184" s="1191"/>
      <c r="P184" s="1508"/>
      <c r="Q184" s="1579"/>
      <c r="R184" s="1520"/>
      <c r="S184" s="1509"/>
      <c r="T184" s="1507"/>
      <c r="U184" s="1521"/>
      <c r="V184" s="1522"/>
      <c r="W184" s="1522"/>
      <c r="X184" s="1508"/>
      <c r="Y184" s="1191"/>
    </row>
    <row r="185" spans="1:26" ht="13.5" customHeight="1">
      <c r="A185" s="2427"/>
      <c r="B185" s="2414"/>
      <c r="C185" s="2414"/>
      <c r="D185" s="2417" t="s">
        <v>3437</v>
      </c>
      <c r="E185" s="2414"/>
      <c r="F185" s="2428">
        <f>(9.1+1.5)</f>
        <v>10.6</v>
      </c>
      <c r="G185" s="2396"/>
      <c r="H185" s="2396"/>
      <c r="I185" s="2416"/>
      <c r="J185" s="1582"/>
      <c r="K185" s="1583"/>
      <c r="L185" s="1583"/>
      <c r="M185" s="1583"/>
      <c r="N185" s="1583"/>
      <c r="O185" s="1537"/>
      <c r="P185" s="1537"/>
      <c r="Q185" s="1537"/>
      <c r="R185" s="1537"/>
      <c r="S185" s="1537"/>
      <c r="T185" s="1537"/>
      <c r="U185" s="1537"/>
      <c r="V185" s="1259"/>
      <c r="W185" s="1537"/>
      <c r="X185" s="1267"/>
      <c r="Y185" s="1267"/>
      <c r="Z185" s="1226"/>
    </row>
    <row r="186" spans="1:26" s="1494" customFormat="1" ht="27" customHeight="1">
      <c r="A186" s="2420"/>
      <c r="B186" s="2421"/>
      <c r="C186" s="2429"/>
      <c r="D186" s="2417" t="s">
        <v>2185</v>
      </c>
      <c r="E186" s="2414"/>
      <c r="F186" s="2423"/>
      <c r="G186" s="2424"/>
      <c r="H186" s="2424"/>
      <c r="I186" s="2430"/>
      <c r="T186" s="1507"/>
      <c r="U186" s="1521"/>
      <c r="V186" s="1522"/>
      <c r="W186" s="1522"/>
      <c r="X186" s="1508"/>
      <c r="Y186" s="1191"/>
    </row>
    <row r="187" spans="1:26" s="1494" customFormat="1" ht="13.5" customHeight="1">
      <c r="A187" s="2413">
        <v>39</v>
      </c>
      <c r="B187" s="2414">
        <v>751</v>
      </c>
      <c r="C187" s="2414" t="s">
        <v>3438</v>
      </c>
      <c r="D187" s="2414" t="s">
        <v>3439</v>
      </c>
      <c r="E187" s="2414" t="s">
        <v>142</v>
      </c>
      <c r="F187" s="2415">
        <f>F190</f>
        <v>1.5</v>
      </c>
      <c r="G187" s="2395"/>
      <c r="H187" s="2402">
        <f t="shared" ref="H187" si="30">ROUND(F187*G187,2)</f>
        <v>0</v>
      </c>
      <c r="I187" s="2416" t="s">
        <v>111</v>
      </c>
      <c r="J187" s="1577"/>
    </row>
    <row r="188" spans="1:26" s="1494" customFormat="1" ht="13.5" customHeight="1">
      <c r="A188" s="2413"/>
      <c r="B188" s="2414"/>
      <c r="C188" s="2414"/>
      <c r="D188" s="2417" t="s">
        <v>3440</v>
      </c>
      <c r="E188" s="2414"/>
      <c r="F188" s="2418"/>
      <c r="G188" s="2419"/>
      <c r="H188" s="2419"/>
      <c r="I188" s="2416"/>
      <c r="J188" s="1576"/>
      <c r="K188" s="1574"/>
      <c r="L188" s="1574"/>
      <c r="M188" s="1507"/>
      <c r="N188" s="1507"/>
      <c r="O188" s="1507"/>
      <c r="P188" s="1508"/>
      <c r="S188" s="1509"/>
    </row>
    <row r="189" spans="1:26" s="1494" customFormat="1" ht="27" customHeight="1">
      <c r="A189" s="2420"/>
      <c r="B189" s="2421"/>
      <c r="C189" s="2422"/>
      <c r="D189" s="2417" t="s">
        <v>3360</v>
      </c>
      <c r="E189" s="2414"/>
      <c r="F189" s="2423"/>
      <c r="G189" s="2424"/>
      <c r="H189" s="2424"/>
      <c r="I189" s="2425"/>
      <c r="J189" s="1576"/>
      <c r="K189" s="1574"/>
      <c r="L189" s="1578"/>
      <c r="M189" s="1578"/>
      <c r="N189" s="1191"/>
      <c r="O189" s="1191"/>
      <c r="P189" s="1508"/>
      <c r="Q189" s="1579"/>
      <c r="R189" s="1520"/>
      <c r="S189" s="1509"/>
      <c r="T189" s="1507"/>
      <c r="U189" s="1521"/>
      <c r="V189" s="1522"/>
      <c r="W189" s="1522"/>
      <c r="X189" s="1508"/>
      <c r="Y189" s="1191"/>
    </row>
    <row r="190" spans="1:26" ht="13.5" customHeight="1">
      <c r="A190" s="2427"/>
      <c r="B190" s="2414"/>
      <c r="C190" s="2414"/>
      <c r="D190" s="2417" t="s">
        <v>3441</v>
      </c>
      <c r="E190" s="2414"/>
      <c r="F190" s="2428">
        <v>1.5</v>
      </c>
      <c r="G190" s="2396"/>
      <c r="H190" s="2396"/>
      <c r="I190" s="2416"/>
      <c r="J190" s="1582"/>
      <c r="K190" s="1583"/>
      <c r="L190" s="1583"/>
      <c r="M190" s="1583"/>
      <c r="N190" s="1583"/>
      <c r="O190" s="1537"/>
      <c r="P190" s="1537"/>
      <c r="Q190" s="1537"/>
      <c r="R190" s="1537"/>
      <c r="S190" s="1537"/>
      <c r="T190" s="1537"/>
      <c r="U190" s="1537"/>
      <c r="V190" s="1259"/>
      <c r="W190" s="1537"/>
      <c r="X190" s="1267"/>
      <c r="Y190" s="1267"/>
      <c r="Z190" s="1226"/>
    </row>
    <row r="191" spans="1:26" s="1494" customFormat="1" ht="27" customHeight="1">
      <c r="A191" s="2420"/>
      <c r="B191" s="2421"/>
      <c r="C191" s="2429"/>
      <c r="D191" s="2417" t="s">
        <v>2185</v>
      </c>
      <c r="E191" s="2414"/>
      <c r="F191" s="2423"/>
      <c r="G191" s="2424"/>
      <c r="H191" s="2424"/>
      <c r="I191" s="2430"/>
      <c r="T191" s="1507"/>
      <c r="U191" s="1521"/>
      <c r="V191" s="1522"/>
      <c r="W191" s="1522"/>
      <c r="X191" s="1508"/>
      <c r="Y191" s="1191"/>
    </row>
    <row r="192" spans="1:26" s="1494" customFormat="1" ht="13.5" customHeight="1">
      <c r="A192" s="2413">
        <v>40</v>
      </c>
      <c r="B192" s="2414">
        <v>751</v>
      </c>
      <c r="C192" s="2414" t="s">
        <v>3442</v>
      </c>
      <c r="D192" s="2414" t="s">
        <v>3443</v>
      </c>
      <c r="E192" s="2414" t="s">
        <v>142</v>
      </c>
      <c r="F192" s="2415">
        <f>F195</f>
        <v>1.8</v>
      </c>
      <c r="G192" s="2395"/>
      <c r="H192" s="2402">
        <f t="shared" ref="H192" si="31">ROUND(F192*G192,2)</f>
        <v>0</v>
      </c>
      <c r="I192" s="2416" t="s">
        <v>111</v>
      </c>
      <c r="J192" s="1577"/>
    </row>
    <row r="193" spans="1:26" s="1494" customFormat="1" ht="13.5" customHeight="1">
      <c r="A193" s="2413"/>
      <c r="B193" s="2414"/>
      <c r="C193" s="2414"/>
      <c r="D193" s="2417" t="s">
        <v>3444</v>
      </c>
      <c r="E193" s="2414"/>
      <c r="F193" s="2418"/>
      <c r="G193" s="2419"/>
      <c r="H193" s="2419"/>
      <c r="I193" s="2416"/>
      <c r="J193" s="1576"/>
      <c r="K193" s="1574"/>
      <c r="L193" s="1574"/>
      <c r="M193" s="1507"/>
      <c r="N193" s="1507"/>
      <c r="O193" s="1507"/>
      <c r="P193" s="1508"/>
      <c r="S193" s="1509"/>
    </row>
    <row r="194" spans="1:26" s="1494" customFormat="1" ht="27" customHeight="1">
      <c r="A194" s="2420"/>
      <c r="B194" s="2421"/>
      <c r="C194" s="2422"/>
      <c r="D194" s="2417" t="s">
        <v>3360</v>
      </c>
      <c r="E194" s="2414"/>
      <c r="F194" s="2423"/>
      <c r="G194" s="2424"/>
      <c r="H194" s="2424"/>
      <c r="I194" s="2425"/>
      <c r="J194" s="1576"/>
      <c r="K194" s="1574"/>
      <c r="L194" s="1578"/>
      <c r="M194" s="1578"/>
      <c r="N194" s="1191"/>
      <c r="O194" s="1191"/>
      <c r="P194" s="1508"/>
      <c r="Q194" s="1579"/>
      <c r="R194" s="1520"/>
      <c r="S194" s="1509"/>
      <c r="T194" s="1507"/>
      <c r="U194" s="1521"/>
      <c r="V194" s="1522"/>
      <c r="W194" s="1522"/>
      <c r="X194" s="1508"/>
      <c r="Y194" s="1191"/>
    </row>
    <row r="195" spans="1:26" ht="13.5" customHeight="1">
      <c r="A195" s="2427"/>
      <c r="B195" s="2414"/>
      <c r="C195" s="2414"/>
      <c r="D195" s="2417" t="s">
        <v>3445</v>
      </c>
      <c r="E195" s="2414"/>
      <c r="F195" s="2428">
        <v>1.8</v>
      </c>
      <c r="G195" s="2396"/>
      <c r="H195" s="2396"/>
      <c r="I195" s="2416"/>
      <c r="J195" s="1582"/>
      <c r="K195" s="1583"/>
      <c r="L195" s="1583"/>
      <c r="M195" s="1583"/>
      <c r="N195" s="1583"/>
      <c r="O195" s="1537"/>
      <c r="P195" s="1537"/>
      <c r="Q195" s="1537"/>
      <c r="R195" s="1537"/>
      <c r="S195" s="1537"/>
      <c r="T195" s="1537"/>
      <c r="U195" s="1537"/>
      <c r="V195" s="1259"/>
      <c r="W195" s="1537"/>
      <c r="X195" s="1267"/>
      <c r="Y195" s="1267"/>
      <c r="Z195" s="1226"/>
    </row>
    <row r="196" spans="1:26" s="1494" customFormat="1" ht="27" customHeight="1">
      <c r="A196" s="2420"/>
      <c r="B196" s="2421"/>
      <c r="C196" s="2429"/>
      <c r="D196" s="2417" t="s">
        <v>2185</v>
      </c>
      <c r="E196" s="2414"/>
      <c r="F196" s="2423"/>
      <c r="G196" s="2424"/>
      <c r="H196" s="2424"/>
      <c r="I196" s="2430"/>
      <c r="T196" s="1507"/>
      <c r="U196" s="1521"/>
      <c r="V196" s="1522"/>
      <c r="W196" s="1522"/>
      <c r="X196" s="1508"/>
      <c r="Y196" s="1191"/>
    </row>
    <row r="197" spans="1:26" s="1494" customFormat="1" ht="13.5" customHeight="1">
      <c r="A197" s="2413">
        <v>41</v>
      </c>
      <c r="B197" s="2414">
        <v>751</v>
      </c>
      <c r="C197" s="2414" t="s">
        <v>3446</v>
      </c>
      <c r="D197" s="2414" t="s">
        <v>3447</v>
      </c>
      <c r="E197" s="2414" t="s">
        <v>142</v>
      </c>
      <c r="F197" s="2415">
        <f>F200</f>
        <v>9</v>
      </c>
      <c r="G197" s="2395"/>
      <c r="H197" s="2402">
        <f t="shared" ref="H197" si="32">ROUND(F197*G197,2)</f>
        <v>0</v>
      </c>
      <c r="I197" s="2416" t="s">
        <v>111</v>
      </c>
      <c r="J197" s="1577"/>
    </row>
    <row r="198" spans="1:26" s="1494" customFormat="1" ht="13.5" customHeight="1">
      <c r="A198" s="2413"/>
      <c r="B198" s="2414"/>
      <c r="C198" s="2414"/>
      <c r="D198" s="2417" t="s">
        <v>3448</v>
      </c>
      <c r="E198" s="2414"/>
      <c r="F198" s="2418"/>
      <c r="G198" s="2419"/>
      <c r="H198" s="2419"/>
      <c r="I198" s="2416"/>
      <c r="J198" s="1576"/>
      <c r="K198" s="1574"/>
      <c r="L198" s="1574"/>
      <c r="M198" s="1507"/>
      <c r="N198" s="1507"/>
      <c r="O198" s="1507"/>
      <c r="P198" s="1508"/>
      <c r="S198" s="1509"/>
    </row>
    <row r="199" spans="1:26" s="1494" customFormat="1" ht="27" customHeight="1">
      <c r="A199" s="2420"/>
      <c r="B199" s="2421"/>
      <c r="C199" s="2422"/>
      <c r="D199" s="2417" t="s">
        <v>3360</v>
      </c>
      <c r="E199" s="2414"/>
      <c r="F199" s="2423"/>
      <c r="G199" s="2424"/>
      <c r="H199" s="2424"/>
      <c r="I199" s="2425"/>
      <c r="J199" s="1576"/>
      <c r="K199" s="1574"/>
      <c r="L199" s="1578"/>
      <c r="M199" s="1578"/>
      <c r="N199" s="1191"/>
      <c r="O199" s="1191"/>
      <c r="P199" s="1508"/>
      <c r="Q199" s="1579"/>
      <c r="R199" s="1520"/>
      <c r="S199" s="1509"/>
      <c r="T199" s="1507"/>
      <c r="U199" s="1521"/>
      <c r="V199" s="1522"/>
      <c r="W199" s="1522"/>
      <c r="X199" s="1508"/>
      <c r="Y199" s="1191"/>
    </row>
    <row r="200" spans="1:26" ht="13.5" customHeight="1">
      <c r="A200" s="2427"/>
      <c r="B200" s="2414"/>
      <c r="C200" s="2414"/>
      <c r="D200" s="2417" t="s">
        <v>3449</v>
      </c>
      <c r="E200" s="2414"/>
      <c r="F200" s="2428">
        <v>9</v>
      </c>
      <c r="G200" s="2396"/>
      <c r="H200" s="2396"/>
      <c r="I200" s="2416"/>
      <c r="J200" s="1582"/>
      <c r="K200" s="1583"/>
      <c r="L200" s="1583"/>
      <c r="M200" s="1583"/>
      <c r="N200" s="1583"/>
      <c r="O200" s="1537"/>
      <c r="P200" s="1537"/>
      <c r="Q200" s="1537"/>
      <c r="R200" s="1537"/>
      <c r="S200" s="1537"/>
      <c r="T200" s="1537"/>
      <c r="U200" s="1537"/>
      <c r="V200" s="1259"/>
      <c r="W200" s="1537"/>
      <c r="X200" s="1267"/>
      <c r="Y200" s="1267"/>
      <c r="Z200" s="1226"/>
    </row>
    <row r="201" spans="1:26" s="1494" customFormat="1" ht="27" customHeight="1">
      <c r="A201" s="2420"/>
      <c r="B201" s="2421"/>
      <c r="C201" s="2429"/>
      <c r="D201" s="2417" t="s">
        <v>2185</v>
      </c>
      <c r="E201" s="2414"/>
      <c r="F201" s="2423"/>
      <c r="G201" s="2424"/>
      <c r="H201" s="2424"/>
      <c r="I201" s="2430"/>
      <c r="T201" s="1507"/>
      <c r="U201" s="1521"/>
      <c r="V201" s="1522"/>
      <c r="W201" s="1522"/>
      <c r="X201" s="1508"/>
      <c r="Y201" s="1191"/>
    </row>
    <row r="202" spans="1:26" s="1494" customFormat="1" ht="13.5" customHeight="1">
      <c r="A202" s="2413">
        <v>42</v>
      </c>
      <c r="B202" s="2414">
        <v>751</v>
      </c>
      <c r="C202" s="2414" t="s">
        <v>3450</v>
      </c>
      <c r="D202" s="2414" t="s">
        <v>3451</v>
      </c>
      <c r="E202" s="2414" t="s">
        <v>142</v>
      </c>
      <c r="F202" s="2415">
        <f>F205</f>
        <v>21.1</v>
      </c>
      <c r="G202" s="2395"/>
      <c r="H202" s="2402">
        <f t="shared" ref="H202" si="33">ROUND(F202*G202,2)</f>
        <v>0</v>
      </c>
      <c r="I202" s="2416" t="s">
        <v>111</v>
      </c>
      <c r="J202" s="1577"/>
    </row>
    <row r="203" spans="1:26" s="1494" customFormat="1" ht="13.5" customHeight="1">
      <c r="A203" s="2413"/>
      <c r="B203" s="2414"/>
      <c r="C203" s="2414"/>
      <c r="D203" s="2417" t="s">
        <v>3452</v>
      </c>
      <c r="E203" s="2414"/>
      <c r="F203" s="2418"/>
      <c r="G203" s="2419"/>
      <c r="H203" s="2419"/>
      <c r="I203" s="2416"/>
      <c r="J203" s="1576"/>
      <c r="K203" s="1574"/>
      <c r="L203" s="1574"/>
      <c r="M203" s="1507"/>
      <c r="N203" s="1507"/>
      <c r="O203" s="1507"/>
      <c r="P203" s="1508"/>
      <c r="S203" s="1509"/>
    </row>
    <row r="204" spans="1:26" s="1494" customFormat="1" ht="27" customHeight="1">
      <c r="A204" s="2420"/>
      <c r="B204" s="2421"/>
      <c r="C204" s="2422"/>
      <c r="D204" s="2417" t="s">
        <v>3360</v>
      </c>
      <c r="E204" s="2414"/>
      <c r="F204" s="2423"/>
      <c r="G204" s="2424"/>
      <c r="H204" s="2424"/>
      <c r="I204" s="2425"/>
      <c r="J204" s="1576"/>
      <c r="K204" s="1574"/>
      <c r="L204" s="1578"/>
      <c r="M204" s="1578"/>
      <c r="N204" s="1191"/>
      <c r="O204" s="1191"/>
      <c r="P204" s="1508"/>
      <c r="Q204" s="1579"/>
      <c r="R204" s="1520"/>
      <c r="S204" s="1509"/>
      <c r="T204" s="1507"/>
      <c r="U204" s="1521"/>
      <c r="V204" s="1522"/>
      <c r="W204" s="1522"/>
      <c r="X204" s="1508"/>
      <c r="Y204" s="1191"/>
    </row>
    <row r="205" spans="1:26" ht="13.5" customHeight="1">
      <c r="A205" s="2427"/>
      <c r="B205" s="2414"/>
      <c r="C205" s="2414"/>
      <c r="D205" s="2417" t="s">
        <v>3453</v>
      </c>
      <c r="E205" s="2414"/>
      <c r="F205" s="2428">
        <v>21.1</v>
      </c>
      <c r="G205" s="2396"/>
      <c r="H205" s="2396"/>
      <c r="I205" s="2416"/>
      <c r="J205" s="1582"/>
      <c r="K205" s="1583"/>
      <c r="L205" s="1583"/>
      <c r="M205" s="1583"/>
      <c r="N205" s="1583"/>
      <c r="O205" s="1537"/>
      <c r="P205" s="1537"/>
      <c r="Q205" s="1537"/>
      <c r="R205" s="1537"/>
      <c r="S205" s="1537"/>
      <c r="T205" s="1537"/>
      <c r="U205" s="1537"/>
      <c r="V205" s="1259"/>
      <c r="W205" s="1537"/>
      <c r="X205" s="1267"/>
      <c r="Y205" s="1267"/>
      <c r="Z205" s="1226"/>
    </row>
    <row r="206" spans="1:26" s="1494" customFormat="1" ht="27" customHeight="1">
      <c r="A206" s="2420"/>
      <c r="B206" s="2421"/>
      <c r="C206" s="2429"/>
      <c r="D206" s="2417" t="s">
        <v>2185</v>
      </c>
      <c r="E206" s="2414"/>
      <c r="F206" s="2423"/>
      <c r="G206" s="2424"/>
      <c r="H206" s="2424"/>
      <c r="I206" s="2430"/>
      <c r="T206" s="1507"/>
      <c r="U206" s="1521"/>
      <c r="V206" s="1522"/>
      <c r="W206" s="1522"/>
      <c r="X206" s="1508"/>
      <c r="Y206" s="1191"/>
    </row>
    <row r="207" spans="1:26" s="1494" customFormat="1" ht="13.5" customHeight="1">
      <c r="A207" s="2413">
        <v>43</v>
      </c>
      <c r="B207" s="2414">
        <v>751</v>
      </c>
      <c r="C207" s="2414" t="s">
        <v>3454</v>
      </c>
      <c r="D207" s="2414" t="s">
        <v>3455</v>
      </c>
      <c r="E207" s="2414" t="s">
        <v>142</v>
      </c>
      <c r="F207" s="2415">
        <f>F210</f>
        <v>1.5</v>
      </c>
      <c r="G207" s="2395"/>
      <c r="H207" s="2402">
        <f t="shared" ref="H207" si="34">ROUND(F207*G207,2)</f>
        <v>0</v>
      </c>
      <c r="I207" s="2416" t="s">
        <v>111</v>
      </c>
      <c r="J207" s="1577"/>
    </row>
    <row r="208" spans="1:26" s="1494" customFormat="1" ht="13.5" customHeight="1">
      <c r="A208" s="2413"/>
      <c r="B208" s="2414"/>
      <c r="C208" s="2414"/>
      <c r="D208" s="2417" t="s">
        <v>3456</v>
      </c>
      <c r="E208" s="2414"/>
      <c r="F208" s="2418"/>
      <c r="G208" s="2419"/>
      <c r="H208" s="2419"/>
      <c r="I208" s="2416"/>
      <c r="J208" s="1576"/>
      <c r="K208" s="1574"/>
      <c r="L208" s="1574"/>
      <c r="M208" s="1507"/>
      <c r="N208" s="1507"/>
      <c r="O208" s="1507"/>
      <c r="P208" s="1508"/>
      <c r="S208" s="1509"/>
    </row>
    <row r="209" spans="1:26" s="1494" customFormat="1" ht="27" customHeight="1">
      <c r="A209" s="2420"/>
      <c r="B209" s="2421"/>
      <c r="C209" s="2422"/>
      <c r="D209" s="2417" t="s">
        <v>3360</v>
      </c>
      <c r="E209" s="2414"/>
      <c r="F209" s="2423"/>
      <c r="G209" s="2424"/>
      <c r="H209" s="2424"/>
      <c r="I209" s="2425"/>
      <c r="J209" s="1576"/>
      <c r="K209" s="1574"/>
      <c r="L209" s="1578"/>
      <c r="M209" s="1578"/>
      <c r="N209" s="1191"/>
      <c r="O209" s="1191"/>
      <c r="P209" s="1508"/>
      <c r="Q209" s="1579"/>
      <c r="R209" s="1520"/>
      <c r="S209" s="1509"/>
      <c r="T209" s="1507"/>
      <c r="U209" s="1521"/>
      <c r="V209" s="1522"/>
      <c r="W209" s="1522"/>
      <c r="X209" s="1508"/>
      <c r="Y209" s="1191"/>
    </row>
    <row r="210" spans="1:26" ht="13.5" customHeight="1">
      <c r="A210" s="2427"/>
      <c r="B210" s="2414"/>
      <c r="C210" s="2414"/>
      <c r="D210" s="2417" t="s">
        <v>3457</v>
      </c>
      <c r="E210" s="2414"/>
      <c r="F210" s="2428">
        <v>1.5</v>
      </c>
      <c r="G210" s="2396"/>
      <c r="H210" s="2396"/>
      <c r="I210" s="2416"/>
      <c r="J210" s="1582"/>
      <c r="K210" s="1583"/>
      <c r="L210" s="1583"/>
      <c r="M210" s="1583"/>
      <c r="N210" s="1583"/>
      <c r="O210" s="1537"/>
      <c r="P210" s="1537"/>
      <c r="Q210" s="1537"/>
      <c r="R210" s="1537"/>
      <c r="S210" s="1537"/>
      <c r="T210" s="1537"/>
      <c r="U210" s="1537"/>
      <c r="V210" s="1259"/>
      <c r="W210" s="1537"/>
      <c r="X210" s="1267"/>
      <c r="Y210" s="1267"/>
      <c r="Z210" s="1226"/>
    </row>
    <row r="211" spans="1:26" s="1494" customFormat="1" ht="27" customHeight="1">
      <c r="A211" s="2420"/>
      <c r="B211" s="2421"/>
      <c r="C211" s="2429"/>
      <c r="D211" s="2417" t="s">
        <v>2185</v>
      </c>
      <c r="E211" s="2414"/>
      <c r="F211" s="2423"/>
      <c r="G211" s="2424"/>
      <c r="H211" s="2424"/>
      <c r="I211" s="2430"/>
      <c r="T211" s="1507"/>
      <c r="U211" s="1521"/>
      <c r="V211" s="1522"/>
      <c r="W211" s="1522"/>
      <c r="X211" s="1508"/>
      <c r="Y211" s="1191"/>
    </row>
    <row r="212" spans="1:26" s="1494" customFormat="1" ht="13.5" customHeight="1">
      <c r="A212" s="2413">
        <v>44</v>
      </c>
      <c r="B212" s="2414">
        <v>751</v>
      </c>
      <c r="C212" s="2414" t="s">
        <v>3458</v>
      </c>
      <c r="D212" s="2414" t="s">
        <v>3459</v>
      </c>
      <c r="E212" s="2414" t="s">
        <v>142</v>
      </c>
      <c r="F212" s="2415">
        <f>F215</f>
        <v>4.3</v>
      </c>
      <c r="G212" s="2395"/>
      <c r="H212" s="2402">
        <f t="shared" ref="H212" si="35">ROUND(F212*G212,2)</f>
        <v>0</v>
      </c>
      <c r="I212" s="2416" t="s">
        <v>111</v>
      </c>
      <c r="J212" s="1577"/>
    </row>
    <row r="213" spans="1:26" s="1494" customFormat="1" ht="13.5" customHeight="1">
      <c r="A213" s="2413"/>
      <c r="B213" s="2414"/>
      <c r="C213" s="2414"/>
      <c r="D213" s="2417" t="s">
        <v>3460</v>
      </c>
      <c r="E213" s="2414"/>
      <c r="F213" s="2418"/>
      <c r="G213" s="2419"/>
      <c r="H213" s="2419"/>
      <c r="I213" s="2416"/>
      <c r="J213" s="1576"/>
      <c r="K213" s="1574"/>
      <c r="L213" s="1574"/>
      <c r="M213" s="1507"/>
      <c r="N213" s="1507"/>
      <c r="O213" s="1507"/>
      <c r="P213" s="1508"/>
      <c r="S213" s="1509"/>
    </row>
    <row r="214" spans="1:26" s="1494" customFormat="1" ht="27" customHeight="1">
      <c r="A214" s="2420"/>
      <c r="B214" s="2421"/>
      <c r="C214" s="2422"/>
      <c r="D214" s="2417" t="s">
        <v>3360</v>
      </c>
      <c r="E214" s="2414"/>
      <c r="F214" s="2423"/>
      <c r="G214" s="2424"/>
      <c r="H214" s="2424"/>
      <c r="I214" s="2425"/>
      <c r="J214" s="1576"/>
      <c r="K214" s="1574"/>
      <c r="L214" s="1578"/>
      <c r="M214" s="1578"/>
      <c r="N214" s="1191"/>
      <c r="O214" s="1191"/>
      <c r="P214" s="1508"/>
      <c r="Q214" s="1579"/>
      <c r="R214" s="1520"/>
      <c r="S214" s="1509"/>
      <c r="T214" s="1507"/>
      <c r="U214" s="1521"/>
      <c r="V214" s="1522"/>
      <c r="W214" s="1522"/>
      <c r="X214" s="1508"/>
      <c r="Y214" s="1191"/>
    </row>
    <row r="215" spans="1:26" ht="13.5" customHeight="1">
      <c r="A215" s="2427"/>
      <c r="B215" s="2414"/>
      <c r="C215" s="2414"/>
      <c r="D215" s="2417" t="s">
        <v>3461</v>
      </c>
      <c r="E215" s="2414"/>
      <c r="F215" s="2428">
        <v>4.3</v>
      </c>
      <c r="G215" s="2396"/>
      <c r="H215" s="2396"/>
      <c r="I215" s="2416"/>
      <c r="J215" s="1582"/>
      <c r="K215" s="1583"/>
      <c r="L215" s="1583"/>
      <c r="M215" s="1583"/>
      <c r="N215" s="1583"/>
      <c r="O215" s="1537"/>
      <c r="P215" s="1537"/>
      <c r="Q215" s="1537"/>
      <c r="R215" s="1537"/>
      <c r="S215" s="1537"/>
      <c r="T215" s="1537"/>
      <c r="U215" s="1537"/>
      <c r="V215" s="1259"/>
      <c r="W215" s="1537"/>
      <c r="X215" s="1267"/>
      <c r="Y215" s="1267"/>
      <c r="Z215" s="1226"/>
    </row>
    <row r="216" spans="1:26" s="1494" customFormat="1" ht="27" customHeight="1">
      <c r="A216" s="2420"/>
      <c r="B216" s="2421"/>
      <c r="C216" s="2429"/>
      <c r="D216" s="2417" t="s">
        <v>2185</v>
      </c>
      <c r="E216" s="2414"/>
      <c r="F216" s="2423"/>
      <c r="G216" s="2424"/>
      <c r="H216" s="2424"/>
      <c r="I216" s="2430"/>
      <c r="T216" s="1507"/>
      <c r="U216" s="1521"/>
      <c r="V216" s="1522"/>
      <c r="W216" s="1522"/>
      <c r="X216" s="1508"/>
      <c r="Y216" s="1191"/>
    </row>
    <row r="217" spans="1:26" s="1494" customFormat="1" ht="13.5" customHeight="1">
      <c r="A217" s="2413">
        <v>45</v>
      </c>
      <c r="B217" s="2414">
        <v>751</v>
      </c>
      <c r="C217" s="2414" t="s">
        <v>3462</v>
      </c>
      <c r="D217" s="2414" t="s">
        <v>3463</v>
      </c>
      <c r="E217" s="2414" t="s">
        <v>142</v>
      </c>
      <c r="F217" s="2415">
        <f>F220</f>
        <v>5.4</v>
      </c>
      <c r="G217" s="2395"/>
      <c r="H217" s="2402">
        <f t="shared" ref="H217" si="36">ROUND(F217*G217,2)</f>
        <v>0</v>
      </c>
      <c r="I217" s="2416" t="s">
        <v>111</v>
      </c>
      <c r="J217" s="1577"/>
    </row>
    <row r="218" spans="1:26" s="1494" customFormat="1" ht="13.5" customHeight="1">
      <c r="A218" s="2413"/>
      <c r="B218" s="2414"/>
      <c r="C218" s="2414"/>
      <c r="D218" s="2417" t="s">
        <v>3464</v>
      </c>
      <c r="E218" s="2414"/>
      <c r="F218" s="2418"/>
      <c r="G218" s="2419"/>
      <c r="H218" s="2419"/>
      <c r="I218" s="2416"/>
      <c r="J218" s="1576"/>
      <c r="K218" s="1574"/>
      <c r="L218" s="1574"/>
      <c r="M218" s="1507"/>
      <c r="N218" s="1507"/>
      <c r="O218" s="1507"/>
      <c r="P218" s="1508"/>
      <c r="S218" s="1509"/>
    </row>
    <row r="219" spans="1:26" s="1494" customFormat="1" ht="27" customHeight="1">
      <c r="A219" s="2420"/>
      <c r="B219" s="2421"/>
      <c r="C219" s="2422"/>
      <c r="D219" s="2417" t="s">
        <v>3360</v>
      </c>
      <c r="E219" s="2414"/>
      <c r="F219" s="2423"/>
      <c r="G219" s="2424"/>
      <c r="H219" s="2424"/>
      <c r="I219" s="2425"/>
      <c r="J219" s="1576"/>
      <c r="K219" s="1574"/>
      <c r="L219" s="1578"/>
      <c r="M219" s="1578"/>
      <c r="N219" s="1191"/>
      <c r="O219" s="1191"/>
      <c r="P219" s="1508"/>
      <c r="Q219" s="1579"/>
      <c r="R219" s="1520"/>
      <c r="S219" s="1509"/>
      <c r="T219" s="1507"/>
      <c r="U219" s="1521"/>
      <c r="V219" s="1522"/>
      <c r="W219" s="1522"/>
      <c r="X219" s="1508"/>
      <c r="Y219" s="1191"/>
    </row>
    <row r="220" spans="1:26" ht="13.5" customHeight="1">
      <c r="A220" s="2427"/>
      <c r="B220" s="2414"/>
      <c r="C220" s="2414"/>
      <c r="D220" s="2417" t="s">
        <v>3465</v>
      </c>
      <c r="E220" s="2414"/>
      <c r="F220" s="2428">
        <v>5.4</v>
      </c>
      <c r="G220" s="2396"/>
      <c r="H220" s="2396"/>
      <c r="I220" s="2416"/>
      <c r="J220" s="1582"/>
      <c r="K220" s="1583"/>
      <c r="L220" s="1583"/>
      <c r="M220" s="1583"/>
      <c r="N220" s="1583"/>
      <c r="O220" s="1537"/>
      <c r="P220" s="1537"/>
      <c r="Q220" s="1537"/>
      <c r="R220" s="1537"/>
      <c r="S220" s="1537"/>
      <c r="T220" s="1537"/>
      <c r="U220" s="1537"/>
      <c r="V220" s="1259"/>
      <c r="W220" s="1537"/>
      <c r="X220" s="1267"/>
      <c r="Y220" s="1267"/>
      <c r="Z220" s="1226"/>
    </row>
    <row r="221" spans="1:26" s="1494" customFormat="1" ht="27" customHeight="1">
      <c r="A221" s="2420"/>
      <c r="B221" s="2421"/>
      <c r="C221" s="2429"/>
      <c r="D221" s="2417" t="s">
        <v>2185</v>
      </c>
      <c r="E221" s="2414"/>
      <c r="F221" s="2423"/>
      <c r="G221" s="2424"/>
      <c r="H221" s="2424"/>
      <c r="I221" s="2430"/>
      <c r="T221" s="1507"/>
      <c r="U221" s="1521"/>
      <c r="V221" s="1522"/>
      <c r="W221" s="1522"/>
      <c r="X221" s="1508"/>
      <c r="Y221" s="1191"/>
    </row>
    <row r="222" spans="1:26" s="1494" customFormat="1" ht="13.5" customHeight="1">
      <c r="A222" s="2413">
        <v>46</v>
      </c>
      <c r="B222" s="2414">
        <v>751</v>
      </c>
      <c r="C222" s="2414" t="s">
        <v>3466</v>
      </c>
      <c r="D222" s="2414" t="s">
        <v>3467</v>
      </c>
      <c r="E222" s="2414" t="s">
        <v>142</v>
      </c>
      <c r="F222" s="2415">
        <f>F225</f>
        <v>7.2</v>
      </c>
      <c r="G222" s="2395"/>
      <c r="H222" s="2402">
        <f t="shared" ref="H222" si="37">ROUND(F222*G222,2)</f>
        <v>0</v>
      </c>
      <c r="I222" s="2416" t="s">
        <v>111</v>
      </c>
      <c r="J222" s="1577"/>
    </row>
    <row r="223" spans="1:26" s="1494" customFormat="1" ht="13.5" customHeight="1">
      <c r="A223" s="2413"/>
      <c r="B223" s="2414"/>
      <c r="C223" s="2414"/>
      <c r="D223" s="2417" t="s">
        <v>3468</v>
      </c>
      <c r="E223" s="2414"/>
      <c r="F223" s="2418"/>
      <c r="G223" s="2419"/>
      <c r="H223" s="2419"/>
      <c r="I223" s="2416"/>
      <c r="J223" s="1576"/>
      <c r="K223" s="1574"/>
      <c r="L223" s="1574"/>
      <c r="M223" s="1507"/>
      <c r="N223" s="1507"/>
      <c r="O223" s="1507"/>
      <c r="P223" s="1508"/>
      <c r="S223" s="1509"/>
    </row>
    <row r="224" spans="1:26" s="1494" customFormat="1" ht="27" customHeight="1">
      <c r="A224" s="2420"/>
      <c r="B224" s="2421"/>
      <c r="C224" s="2422"/>
      <c r="D224" s="2417" t="s">
        <v>3360</v>
      </c>
      <c r="E224" s="2414"/>
      <c r="F224" s="2423"/>
      <c r="G224" s="2424"/>
      <c r="H224" s="2424"/>
      <c r="I224" s="2425"/>
      <c r="J224" s="1576"/>
      <c r="K224" s="1574"/>
      <c r="L224" s="1578"/>
      <c r="M224" s="1578"/>
      <c r="N224" s="1191"/>
      <c r="O224" s="1191"/>
      <c r="P224" s="1508"/>
      <c r="Q224" s="1579"/>
      <c r="R224" s="1520"/>
      <c r="S224" s="1509"/>
      <c r="T224" s="1507"/>
      <c r="U224" s="1521"/>
      <c r="V224" s="1522"/>
      <c r="W224" s="1522"/>
      <c r="X224" s="1508"/>
      <c r="Y224" s="1191"/>
    </row>
    <row r="225" spans="1:26" ht="13.5" customHeight="1">
      <c r="A225" s="2427"/>
      <c r="B225" s="2414"/>
      <c r="C225" s="2414"/>
      <c r="D225" s="2417" t="s">
        <v>3469</v>
      </c>
      <c r="E225" s="2414"/>
      <c r="F225" s="2428">
        <v>7.2</v>
      </c>
      <c r="G225" s="2396"/>
      <c r="H225" s="2396"/>
      <c r="I225" s="2416"/>
      <c r="J225" s="1582"/>
      <c r="K225" s="1583"/>
      <c r="L225" s="1583"/>
      <c r="M225" s="1583"/>
      <c r="N225" s="1583"/>
      <c r="O225" s="1537"/>
      <c r="P225" s="1537"/>
      <c r="Q225" s="1537"/>
      <c r="R225" s="1537"/>
      <c r="S225" s="1537"/>
      <c r="T225" s="1537"/>
      <c r="U225" s="1537"/>
      <c r="V225" s="1259"/>
      <c r="W225" s="1537"/>
      <c r="X225" s="1267"/>
      <c r="Y225" s="1267"/>
      <c r="Z225" s="1226"/>
    </row>
    <row r="226" spans="1:26" s="1494" customFormat="1" ht="27" customHeight="1">
      <c r="A226" s="2420"/>
      <c r="B226" s="2421"/>
      <c r="C226" s="2429"/>
      <c r="D226" s="2417" t="s">
        <v>2185</v>
      </c>
      <c r="E226" s="2414"/>
      <c r="F226" s="2423"/>
      <c r="G226" s="2424"/>
      <c r="H226" s="2424"/>
      <c r="I226" s="2430"/>
      <c r="T226" s="1507"/>
      <c r="U226" s="1521"/>
      <c r="V226" s="1522"/>
      <c r="W226" s="1522"/>
      <c r="X226" s="1508"/>
      <c r="Y226" s="1191"/>
    </row>
    <row r="227" spans="1:26" s="1494" customFormat="1" ht="13.5" customHeight="1">
      <c r="A227" s="2413">
        <v>47</v>
      </c>
      <c r="B227" s="2414">
        <v>751</v>
      </c>
      <c r="C227" s="2414" t="s">
        <v>3470</v>
      </c>
      <c r="D227" s="2414" t="s">
        <v>3471</v>
      </c>
      <c r="E227" s="2414" t="s">
        <v>142</v>
      </c>
      <c r="F227" s="2415">
        <f>F230</f>
        <v>1.8</v>
      </c>
      <c r="G227" s="2395"/>
      <c r="H227" s="2402">
        <f t="shared" ref="H227" si="38">ROUND(F227*G227,2)</f>
        <v>0</v>
      </c>
      <c r="I227" s="2416" t="s">
        <v>111</v>
      </c>
      <c r="J227" s="1577"/>
    </row>
    <row r="228" spans="1:26" s="1494" customFormat="1" ht="13.5" customHeight="1">
      <c r="A228" s="2413"/>
      <c r="B228" s="2414"/>
      <c r="C228" s="2414"/>
      <c r="D228" s="2417" t="s">
        <v>3472</v>
      </c>
      <c r="E228" s="2414"/>
      <c r="F228" s="2418"/>
      <c r="G228" s="2419"/>
      <c r="H228" s="2419"/>
      <c r="I228" s="2416"/>
      <c r="J228" s="1576"/>
      <c r="K228" s="1574"/>
      <c r="L228" s="1574"/>
      <c r="M228" s="1507"/>
      <c r="N228" s="1507"/>
      <c r="O228" s="1507"/>
      <c r="P228" s="1508"/>
      <c r="S228" s="1509"/>
    </row>
    <row r="229" spans="1:26" s="1494" customFormat="1" ht="27" customHeight="1">
      <c r="A229" s="2420"/>
      <c r="B229" s="2421"/>
      <c r="C229" s="2422"/>
      <c r="D229" s="2417" t="s">
        <v>3360</v>
      </c>
      <c r="E229" s="2414"/>
      <c r="F229" s="2423"/>
      <c r="G229" s="2424"/>
      <c r="H229" s="2424"/>
      <c r="I229" s="2425"/>
      <c r="J229" s="1576"/>
      <c r="K229" s="1574"/>
      <c r="L229" s="1578"/>
      <c r="M229" s="1578"/>
      <c r="N229" s="1191"/>
      <c r="O229" s="1191"/>
      <c r="P229" s="1508"/>
      <c r="Q229" s="1579"/>
      <c r="R229" s="1520"/>
      <c r="S229" s="1509"/>
      <c r="T229" s="1507"/>
      <c r="U229" s="1521"/>
      <c r="V229" s="1522"/>
      <c r="W229" s="1522"/>
      <c r="X229" s="1508"/>
      <c r="Y229" s="1191"/>
    </row>
    <row r="230" spans="1:26" ht="13.5" customHeight="1">
      <c r="A230" s="2427"/>
      <c r="B230" s="2414"/>
      <c r="C230" s="2414"/>
      <c r="D230" s="2417" t="s">
        <v>3473</v>
      </c>
      <c r="E230" s="2414"/>
      <c r="F230" s="2428">
        <v>1.8</v>
      </c>
      <c r="G230" s="2396"/>
      <c r="H230" s="2396"/>
      <c r="I230" s="2416"/>
      <c r="J230" s="1582"/>
      <c r="K230" s="1583"/>
      <c r="L230" s="1583"/>
      <c r="M230" s="1583"/>
      <c r="N230" s="1583"/>
      <c r="O230" s="1537"/>
      <c r="P230" s="1537"/>
      <c r="Q230" s="1537"/>
      <c r="R230" s="1537"/>
      <c r="S230" s="1537"/>
      <c r="T230" s="1537"/>
      <c r="U230" s="1537"/>
      <c r="V230" s="1259"/>
      <c r="W230" s="1537"/>
      <c r="X230" s="1267"/>
      <c r="Y230" s="1267"/>
      <c r="Z230" s="1226"/>
    </row>
    <row r="231" spans="1:26" s="1494" customFormat="1" ht="27" customHeight="1">
      <c r="A231" s="2420"/>
      <c r="B231" s="2421"/>
      <c r="C231" s="2429"/>
      <c r="D231" s="2417" t="s">
        <v>2185</v>
      </c>
      <c r="E231" s="2414"/>
      <c r="F231" s="2423"/>
      <c r="G231" s="2424"/>
      <c r="H231" s="2424"/>
      <c r="I231" s="2430"/>
      <c r="T231" s="1507"/>
      <c r="U231" s="1521"/>
      <c r="V231" s="1522"/>
      <c r="W231" s="1522"/>
      <c r="X231" s="1508"/>
      <c r="Y231" s="1191"/>
    </row>
    <row r="232" spans="1:26" s="1494" customFormat="1" ht="13.5" customHeight="1">
      <c r="A232" s="2413">
        <v>48</v>
      </c>
      <c r="B232" s="2414">
        <v>751</v>
      </c>
      <c r="C232" s="2414" t="s">
        <v>3474</v>
      </c>
      <c r="D232" s="2414" t="s">
        <v>3475</v>
      </c>
      <c r="E232" s="2414" t="s">
        <v>142</v>
      </c>
      <c r="F232" s="2415">
        <f>F235</f>
        <v>22.4</v>
      </c>
      <c r="G232" s="2395"/>
      <c r="H232" s="2402">
        <f t="shared" ref="H232" si="39">ROUND(F232*G232,2)</f>
        <v>0</v>
      </c>
      <c r="I232" s="2416" t="s">
        <v>111</v>
      </c>
      <c r="J232" s="1577"/>
    </row>
    <row r="233" spans="1:26" s="1494" customFormat="1" ht="13.5" customHeight="1">
      <c r="A233" s="2413"/>
      <c r="B233" s="2414"/>
      <c r="C233" s="2414"/>
      <c r="D233" s="2417" t="s">
        <v>3476</v>
      </c>
      <c r="E233" s="2414"/>
      <c r="F233" s="2418"/>
      <c r="G233" s="2419"/>
      <c r="H233" s="2419"/>
      <c r="I233" s="2416"/>
      <c r="J233" s="1576"/>
      <c r="K233" s="1574"/>
      <c r="L233" s="1574"/>
      <c r="M233" s="1507"/>
      <c r="N233" s="1507"/>
      <c r="O233" s="1507"/>
      <c r="P233" s="1508"/>
      <c r="S233" s="1509"/>
    </row>
    <row r="234" spans="1:26" s="1494" customFormat="1" ht="27" customHeight="1">
      <c r="A234" s="2420"/>
      <c r="B234" s="2421"/>
      <c r="C234" s="2422"/>
      <c r="D234" s="2417" t="s">
        <v>3360</v>
      </c>
      <c r="E234" s="2414"/>
      <c r="F234" s="2423"/>
      <c r="G234" s="2424"/>
      <c r="H234" s="2424"/>
      <c r="I234" s="2425"/>
      <c r="J234" s="1576"/>
      <c r="K234" s="1574"/>
      <c r="L234" s="1578"/>
      <c r="M234" s="1578"/>
      <c r="N234" s="1191"/>
      <c r="O234" s="1191"/>
      <c r="P234" s="1508"/>
      <c r="Q234" s="1579"/>
      <c r="R234" s="1520"/>
      <c r="S234" s="1509"/>
      <c r="T234" s="1507"/>
      <c r="U234" s="1521"/>
      <c r="V234" s="1522"/>
      <c r="W234" s="1522"/>
      <c r="X234" s="1508"/>
      <c r="Y234" s="1191"/>
    </row>
    <row r="235" spans="1:26" ht="13.5" customHeight="1">
      <c r="A235" s="2427"/>
      <c r="B235" s="2414"/>
      <c r="C235" s="2414"/>
      <c r="D235" s="2417" t="s">
        <v>3477</v>
      </c>
      <c r="E235" s="2414"/>
      <c r="F235" s="2428">
        <v>22.4</v>
      </c>
      <c r="G235" s="2396"/>
      <c r="H235" s="2396"/>
      <c r="I235" s="2416"/>
      <c r="J235" s="1582"/>
      <c r="K235" s="1583"/>
      <c r="L235" s="1583"/>
      <c r="M235" s="1583"/>
      <c r="N235" s="1583"/>
      <c r="O235" s="1537"/>
      <c r="P235" s="1537"/>
      <c r="Q235" s="1537"/>
      <c r="R235" s="1537"/>
      <c r="S235" s="1537"/>
      <c r="T235" s="1537"/>
      <c r="U235" s="1537"/>
      <c r="V235" s="1259"/>
      <c r="W235" s="1537"/>
      <c r="X235" s="1267"/>
      <c r="Y235" s="1267"/>
      <c r="Z235" s="1226"/>
    </row>
    <row r="236" spans="1:26" s="1494" customFormat="1" ht="27" customHeight="1">
      <c r="A236" s="2420"/>
      <c r="B236" s="2421"/>
      <c r="C236" s="2429"/>
      <c r="D236" s="2417" t="s">
        <v>2185</v>
      </c>
      <c r="E236" s="2414"/>
      <c r="F236" s="2423"/>
      <c r="G236" s="2424"/>
      <c r="H236" s="2424"/>
      <c r="I236" s="2430"/>
      <c r="T236" s="1507"/>
      <c r="U236" s="1521"/>
      <c r="V236" s="1522"/>
      <c r="W236" s="1522"/>
      <c r="X236" s="1508"/>
      <c r="Y236" s="1191"/>
    </row>
    <row r="237" spans="1:26" s="1494" customFormat="1" ht="13.5" customHeight="1">
      <c r="A237" s="2413">
        <v>49</v>
      </c>
      <c r="B237" s="2414">
        <v>751</v>
      </c>
      <c r="C237" s="2414" t="s">
        <v>3478</v>
      </c>
      <c r="D237" s="2414" t="s">
        <v>3479</v>
      </c>
      <c r="E237" s="2414" t="s">
        <v>142</v>
      </c>
      <c r="F237" s="2415">
        <f>F240</f>
        <v>2.5</v>
      </c>
      <c r="G237" s="2395"/>
      <c r="H237" s="2402">
        <f t="shared" ref="H237" si="40">ROUND(F237*G237,2)</f>
        <v>0</v>
      </c>
      <c r="I237" s="2416" t="s">
        <v>111</v>
      </c>
      <c r="J237" s="1577"/>
    </row>
    <row r="238" spans="1:26" s="1494" customFormat="1" ht="13.5" customHeight="1">
      <c r="A238" s="2413"/>
      <c r="B238" s="2414"/>
      <c r="C238" s="2414"/>
      <c r="D238" s="2417" t="s">
        <v>3480</v>
      </c>
      <c r="E238" s="2414"/>
      <c r="F238" s="2418"/>
      <c r="G238" s="2419"/>
      <c r="H238" s="2419"/>
      <c r="I238" s="2416"/>
      <c r="J238" s="1576"/>
      <c r="K238" s="1574"/>
      <c r="L238" s="1574"/>
      <c r="M238" s="1507"/>
      <c r="N238" s="1507"/>
      <c r="O238" s="1507"/>
      <c r="P238" s="1508"/>
      <c r="S238" s="1509"/>
    </row>
    <row r="239" spans="1:26" s="1494" customFormat="1" ht="27" customHeight="1">
      <c r="A239" s="2420"/>
      <c r="B239" s="2421"/>
      <c r="C239" s="2422"/>
      <c r="D239" s="2417" t="s">
        <v>3360</v>
      </c>
      <c r="E239" s="2414"/>
      <c r="F239" s="2423"/>
      <c r="G239" s="2424"/>
      <c r="H239" s="2424"/>
      <c r="I239" s="2425"/>
      <c r="J239" s="1576"/>
      <c r="K239" s="1574"/>
      <c r="L239" s="1578"/>
      <c r="M239" s="1578"/>
      <c r="N239" s="1191"/>
      <c r="O239" s="1191"/>
      <c r="P239" s="1508"/>
      <c r="Q239" s="1579"/>
      <c r="R239" s="1520"/>
      <c r="S239" s="1509"/>
      <c r="T239" s="1507"/>
      <c r="U239" s="1521"/>
      <c r="V239" s="1522"/>
      <c r="W239" s="1522"/>
      <c r="X239" s="1508"/>
      <c r="Y239" s="1191"/>
    </row>
    <row r="240" spans="1:26" ht="13.5" customHeight="1">
      <c r="A240" s="2427"/>
      <c r="B240" s="2414"/>
      <c r="C240" s="2414"/>
      <c r="D240" s="2417" t="s">
        <v>3481</v>
      </c>
      <c r="E240" s="2414"/>
      <c r="F240" s="2428">
        <v>2.5</v>
      </c>
      <c r="G240" s="2396"/>
      <c r="H240" s="2396"/>
      <c r="I240" s="2416"/>
      <c r="J240" s="1582"/>
      <c r="K240" s="1583"/>
      <c r="L240" s="1583"/>
      <c r="M240" s="1583"/>
      <c r="N240" s="1583"/>
      <c r="O240" s="1537"/>
      <c r="P240" s="1537"/>
      <c r="Q240" s="1537"/>
      <c r="R240" s="1537"/>
      <c r="S240" s="1537"/>
      <c r="T240" s="1537"/>
      <c r="U240" s="1537"/>
      <c r="V240" s="1259"/>
      <c r="W240" s="1537"/>
      <c r="X240" s="1267"/>
      <c r="Y240" s="1267"/>
      <c r="Z240" s="1226"/>
    </row>
    <row r="241" spans="1:26" s="1494" customFormat="1" ht="27" customHeight="1">
      <c r="A241" s="2420"/>
      <c r="B241" s="2421"/>
      <c r="C241" s="2429"/>
      <c r="D241" s="2417" t="s">
        <v>2185</v>
      </c>
      <c r="E241" s="2414"/>
      <c r="F241" s="2423"/>
      <c r="G241" s="2424"/>
      <c r="H241" s="2424"/>
      <c r="I241" s="2430"/>
      <c r="T241" s="1507"/>
      <c r="U241" s="1521"/>
      <c r="V241" s="1522"/>
      <c r="W241" s="1522"/>
      <c r="X241" s="1508"/>
      <c r="Y241" s="1191"/>
    </row>
    <row r="242" spans="1:26" s="1494" customFormat="1" ht="13.5" customHeight="1">
      <c r="A242" s="2413">
        <v>50</v>
      </c>
      <c r="B242" s="2414">
        <v>751</v>
      </c>
      <c r="C242" s="2414" t="s">
        <v>3482</v>
      </c>
      <c r="D242" s="2414" t="s">
        <v>3483</v>
      </c>
      <c r="E242" s="2414" t="s">
        <v>142</v>
      </c>
      <c r="F242" s="2415">
        <f>F245</f>
        <v>1.5</v>
      </c>
      <c r="G242" s="2395"/>
      <c r="H242" s="2402">
        <f t="shared" ref="H242" si="41">ROUND(F242*G242,2)</f>
        <v>0</v>
      </c>
      <c r="I242" s="2416" t="s">
        <v>111</v>
      </c>
      <c r="J242" s="1577"/>
    </row>
    <row r="243" spans="1:26" s="1494" customFormat="1" ht="13.5" customHeight="1">
      <c r="A243" s="2413"/>
      <c r="B243" s="2414"/>
      <c r="C243" s="2414"/>
      <c r="D243" s="2417" t="s">
        <v>3484</v>
      </c>
      <c r="E243" s="2414"/>
      <c r="F243" s="2418"/>
      <c r="G243" s="2419"/>
      <c r="H243" s="2419"/>
      <c r="I243" s="2416"/>
      <c r="J243" s="1576"/>
      <c r="K243" s="1574"/>
      <c r="L243" s="1574"/>
      <c r="M243" s="1507"/>
      <c r="N243" s="1507"/>
      <c r="O243" s="1507"/>
      <c r="P243" s="1508"/>
      <c r="S243" s="1509"/>
    </row>
    <row r="244" spans="1:26" s="1494" customFormat="1" ht="27" customHeight="1">
      <c r="A244" s="2420"/>
      <c r="B244" s="2421"/>
      <c r="C244" s="2422"/>
      <c r="D244" s="2417" t="s">
        <v>3360</v>
      </c>
      <c r="E244" s="2414"/>
      <c r="F244" s="2423"/>
      <c r="G244" s="2424"/>
      <c r="H244" s="2424"/>
      <c r="I244" s="2425"/>
      <c r="J244" s="1576"/>
      <c r="K244" s="1574"/>
      <c r="L244" s="1578"/>
      <c r="M244" s="1578"/>
      <c r="N244" s="1191"/>
      <c r="O244" s="1191"/>
      <c r="P244" s="1508"/>
      <c r="Q244" s="1579"/>
      <c r="R244" s="1520"/>
      <c r="S244" s="1509"/>
      <c r="T244" s="1507"/>
      <c r="U244" s="1521"/>
      <c r="V244" s="1522"/>
      <c r="W244" s="1522"/>
      <c r="X244" s="1508"/>
      <c r="Y244" s="1191"/>
    </row>
    <row r="245" spans="1:26" ht="13.5" customHeight="1">
      <c r="A245" s="2427"/>
      <c r="B245" s="2414"/>
      <c r="C245" s="2414"/>
      <c r="D245" s="2417" t="s">
        <v>3485</v>
      </c>
      <c r="E245" s="2414"/>
      <c r="F245" s="2428">
        <v>1.5</v>
      </c>
      <c r="G245" s="2396"/>
      <c r="H245" s="2396"/>
      <c r="I245" s="2416"/>
      <c r="J245" s="1582"/>
      <c r="K245" s="1583"/>
      <c r="L245" s="1583"/>
      <c r="M245" s="1583"/>
      <c r="N245" s="1583"/>
      <c r="O245" s="1537"/>
      <c r="P245" s="1537"/>
      <c r="Q245" s="1537"/>
      <c r="R245" s="1537"/>
      <c r="S245" s="1537"/>
      <c r="T245" s="1537"/>
      <c r="U245" s="1537"/>
      <c r="V245" s="1259"/>
      <c r="W245" s="1537"/>
      <c r="X245" s="1267"/>
      <c r="Y245" s="1267"/>
      <c r="Z245" s="1226"/>
    </row>
    <row r="246" spans="1:26" s="1494" customFormat="1" ht="27" customHeight="1">
      <c r="A246" s="2420"/>
      <c r="B246" s="2421"/>
      <c r="C246" s="2429"/>
      <c r="D246" s="2417" t="s">
        <v>2185</v>
      </c>
      <c r="E246" s="2414"/>
      <c r="F246" s="2423"/>
      <c r="G246" s="2424"/>
      <c r="H246" s="2424"/>
      <c r="I246" s="2430"/>
      <c r="T246" s="1507"/>
      <c r="U246" s="1521"/>
      <c r="V246" s="1522"/>
      <c r="W246" s="1522"/>
      <c r="X246" s="1508"/>
      <c r="Y246" s="1191"/>
    </row>
    <row r="247" spans="1:26" s="1494" customFormat="1" ht="13.5" customHeight="1">
      <c r="A247" s="2413">
        <v>51</v>
      </c>
      <c r="B247" s="2414">
        <v>751</v>
      </c>
      <c r="C247" s="2414" t="s">
        <v>3486</v>
      </c>
      <c r="D247" s="2414" t="s">
        <v>3487</v>
      </c>
      <c r="E247" s="2414" t="s">
        <v>142</v>
      </c>
      <c r="F247" s="2415">
        <f>F250</f>
        <v>1.6</v>
      </c>
      <c r="G247" s="2395"/>
      <c r="H247" s="2402">
        <f t="shared" ref="H247" si="42">ROUND(F247*G247,2)</f>
        <v>0</v>
      </c>
      <c r="I247" s="2416" t="s">
        <v>111</v>
      </c>
      <c r="J247" s="1577"/>
    </row>
    <row r="248" spans="1:26" s="1494" customFormat="1" ht="13.5" customHeight="1">
      <c r="A248" s="2413"/>
      <c r="B248" s="2414"/>
      <c r="C248" s="2414"/>
      <c r="D248" s="2417" t="s">
        <v>3488</v>
      </c>
      <c r="E248" s="2414"/>
      <c r="F248" s="2418"/>
      <c r="G248" s="2419"/>
      <c r="H248" s="2419"/>
      <c r="I248" s="2416"/>
      <c r="J248" s="1576"/>
      <c r="K248" s="1574"/>
      <c r="L248" s="1574"/>
      <c r="M248" s="1507"/>
      <c r="N248" s="1507"/>
      <c r="O248" s="1507"/>
      <c r="P248" s="1508"/>
      <c r="S248" s="1509"/>
    </row>
    <row r="249" spans="1:26" s="1494" customFormat="1" ht="27" customHeight="1">
      <c r="A249" s="2420"/>
      <c r="B249" s="2421"/>
      <c r="C249" s="2422"/>
      <c r="D249" s="2417" t="s">
        <v>3360</v>
      </c>
      <c r="E249" s="2414"/>
      <c r="F249" s="2423"/>
      <c r="G249" s="2424"/>
      <c r="H249" s="2424"/>
      <c r="I249" s="2425"/>
      <c r="J249" s="1576"/>
      <c r="K249" s="1574"/>
      <c r="L249" s="1578"/>
      <c r="M249" s="1578"/>
      <c r="N249" s="1191"/>
      <c r="O249" s="1191"/>
      <c r="P249" s="1508"/>
      <c r="Q249" s="1579"/>
      <c r="R249" s="1520"/>
      <c r="S249" s="1509"/>
      <c r="T249" s="1507"/>
      <c r="U249" s="1521"/>
      <c r="V249" s="1522"/>
      <c r="W249" s="1522"/>
      <c r="X249" s="1508"/>
      <c r="Y249" s="1191"/>
    </row>
    <row r="250" spans="1:26" ht="13.5" customHeight="1">
      <c r="A250" s="2427"/>
      <c r="B250" s="2414"/>
      <c r="C250" s="2414"/>
      <c r="D250" s="2417" t="s">
        <v>3489</v>
      </c>
      <c r="E250" s="2414"/>
      <c r="F250" s="2428">
        <v>1.6</v>
      </c>
      <c r="G250" s="2396"/>
      <c r="H250" s="2396"/>
      <c r="I250" s="2416"/>
      <c r="J250" s="1582"/>
      <c r="K250" s="1583"/>
      <c r="L250" s="1583"/>
      <c r="M250" s="1583"/>
      <c r="N250" s="1583"/>
      <c r="O250" s="1537"/>
      <c r="P250" s="1537"/>
      <c r="Q250" s="1537"/>
      <c r="R250" s="1537"/>
      <c r="S250" s="1537"/>
      <c r="T250" s="1537"/>
      <c r="U250" s="1537"/>
      <c r="V250" s="1259"/>
      <c r="W250" s="1537"/>
      <c r="X250" s="1267"/>
      <c r="Y250" s="1267"/>
      <c r="Z250" s="1226"/>
    </row>
    <row r="251" spans="1:26" s="1494" customFormat="1" ht="27" customHeight="1">
      <c r="A251" s="2420"/>
      <c r="B251" s="2421"/>
      <c r="C251" s="2429"/>
      <c r="D251" s="2417" t="s">
        <v>2185</v>
      </c>
      <c r="E251" s="2414"/>
      <c r="F251" s="2423"/>
      <c r="G251" s="2424"/>
      <c r="H251" s="2424"/>
      <c r="I251" s="2430"/>
      <c r="T251" s="1507"/>
      <c r="U251" s="1521"/>
      <c r="V251" s="1522"/>
      <c r="W251" s="1522"/>
      <c r="X251" s="1508"/>
      <c r="Y251" s="1191"/>
    </row>
    <row r="252" spans="1:26" s="1494" customFormat="1" ht="13.5" customHeight="1">
      <c r="A252" s="2413">
        <v>52</v>
      </c>
      <c r="B252" s="2414">
        <v>751</v>
      </c>
      <c r="C252" s="2414" t="s">
        <v>3490</v>
      </c>
      <c r="D252" s="2414" t="s">
        <v>3491</v>
      </c>
      <c r="E252" s="2414" t="s">
        <v>142</v>
      </c>
      <c r="F252" s="2415">
        <f>F255</f>
        <v>8.3000000000000007</v>
      </c>
      <c r="G252" s="2395"/>
      <c r="H252" s="2402">
        <f t="shared" ref="H252" si="43">ROUND(F252*G252,2)</f>
        <v>0</v>
      </c>
      <c r="I252" s="2416" t="s">
        <v>111</v>
      </c>
      <c r="J252" s="1577"/>
    </row>
    <row r="253" spans="1:26" s="1494" customFormat="1" ht="13.5" customHeight="1">
      <c r="A253" s="2413"/>
      <c r="B253" s="2414"/>
      <c r="C253" s="2414"/>
      <c r="D253" s="2417" t="s">
        <v>3492</v>
      </c>
      <c r="E253" s="2414"/>
      <c r="F253" s="2418"/>
      <c r="G253" s="2419"/>
      <c r="H253" s="2419"/>
      <c r="I253" s="2416"/>
      <c r="J253" s="1576"/>
      <c r="K253" s="1574"/>
      <c r="L253" s="1574"/>
      <c r="M253" s="1507"/>
      <c r="N253" s="1507"/>
      <c r="O253" s="1507"/>
      <c r="P253" s="1508"/>
      <c r="S253" s="1509"/>
    </row>
    <row r="254" spans="1:26" s="1494" customFormat="1" ht="27" customHeight="1">
      <c r="A254" s="2420"/>
      <c r="B254" s="2421"/>
      <c r="C254" s="2422"/>
      <c r="D254" s="2417" t="s">
        <v>3360</v>
      </c>
      <c r="E254" s="2414"/>
      <c r="F254" s="2423"/>
      <c r="G254" s="2424"/>
      <c r="H254" s="2424"/>
      <c r="I254" s="2425"/>
      <c r="J254" s="1576"/>
      <c r="K254" s="1574"/>
      <c r="L254" s="1578"/>
      <c r="M254" s="1578"/>
      <c r="N254" s="1191"/>
      <c r="O254" s="1191"/>
      <c r="P254" s="1508"/>
      <c r="Q254" s="1579"/>
      <c r="R254" s="1520"/>
      <c r="S254" s="1509"/>
      <c r="T254" s="1507"/>
      <c r="U254" s="1521"/>
      <c r="V254" s="1522"/>
      <c r="W254" s="1522"/>
      <c r="X254" s="1508"/>
      <c r="Y254" s="1191"/>
    </row>
    <row r="255" spans="1:26" ht="13.5" customHeight="1">
      <c r="A255" s="2427"/>
      <c r="B255" s="2414"/>
      <c r="C255" s="2414"/>
      <c r="D255" s="2417" t="s">
        <v>3493</v>
      </c>
      <c r="E255" s="2414"/>
      <c r="F255" s="2428">
        <v>8.3000000000000007</v>
      </c>
      <c r="G255" s="2396"/>
      <c r="H255" s="2396"/>
      <c r="I255" s="2416"/>
      <c r="J255" s="1582"/>
      <c r="K255" s="1583"/>
      <c r="L255" s="1583"/>
      <c r="M255" s="1583"/>
      <c r="N255" s="1583"/>
      <c r="O255" s="1537"/>
      <c r="P255" s="1537"/>
      <c r="Q255" s="1537"/>
      <c r="R255" s="1537"/>
      <c r="S255" s="1537"/>
      <c r="T255" s="1537"/>
      <c r="U255" s="1537"/>
      <c r="V255" s="1259"/>
      <c r="W255" s="1537"/>
      <c r="X255" s="1267"/>
      <c r="Y255" s="1267"/>
      <c r="Z255" s="1226"/>
    </row>
    <row r="256" spans="1:26" s="1494" customFormat="1" ht="27" customHeight="1">
      <c r="A256" s="2420"/>
      <c r="B256" s="2421"/>
      <c r="C256" s="2429"/>
      <c r="D256" s="2417" t="s">
        <v>2185</v>
      </c>
      <c r="E256" s="2414"/>
      <c r="F256" s="2423"/>
      <c r="G256" s="2424"/>
      <c r="H256" s="2424"/>
      <c r="I256" s="2430"/>
      <c r="T256" s="1507"/>
      <c r="U256" s="1521"/>
      <c r="V256" s="1522"/>
      <c r="W256" s="1522"/>
      <c r="X256" s="1508"/>
      <c r="Y256" s="1191"/>
    </row>
    <row r="257" spans="1:26" s="1494" customFormat="1" ht="13.5" customHeight="1">
      <c r="A257" s="2413">
        <v>53</v>
      </c>
      <c r="B257" s="2414">
        <v>751</v>
      </c>
      <c r="C257" s="2414" t="s">
        <v>3494</v>
      </c>
      <c r="D257" s="2414" t="s">
        <v>3495</v>
      </c>
      <c r="E257" s="2414" t="s">
        <v>142</v>
      </c>
      <c r="F257" s="2415">
        <f>F260</f>
        <v>2.6</v>
      </c>
      <c r="G257" s="2395"/>
      <c r="H257" s="2402">
        <f t="shared" ref="H257" si="44">ROUND(F257*G257,2)</f>
        <v>0</v>
      </c>
      <c r="I257" s="2416" t="s">
        <v>111</v>
      </c>
      <c r="J257" s="1577"/>
    </row>
    <row r="258" spans="1:26" s="1494" customFormat="1" ht="13.5" customHeight="1">
      <c r="A258" s="2413"/>
      <c r="B258" s="2414"/>
      <c r="C258" s="2414"/>
      <c r="D258" s="2417" t="s">
        <v>3496</v>
      </c>
      <c r="E258" s="2414"/>
      <c r="F258" s="2418"/>
      <c r="G258" s="2419"/>
      <c r="H258" s="2419"/>
      <c r="I258" s="2416"/>
      <c r="J258" s="1576"/>
      <c r="K258" s="1574"/>
      <c r="L258" s="1574"/>
      <c r="M258" s="1507"/>
      <c r="N258" s="1507"/>
      <c r="O258" s="1507"/>
      <c r="P258" s="1508"/>
      <c r="S258" s="1509"/>
    </row>
    <row r="259" spans="1:26" s="1494" customFormat="1" ht="27" customHeight="1">
      <c r="A259" s="2420"/>
      <c r="B259" s="2421"/>
      <c r="C259" s="2422"/>
      <c r="D259" s="2417" t="s">
        <v>3360</v>
      </c>
      <c r="E259" s="2414"/>
      <c r="F259" s="2423"/>
      <c r="G259" s="2424"/>
      <c r="H259" s="2424"/>
      <c r="I259" s="2425"/>
      <c r="J259" s="1576"/>
      <c r="K259" s="1574"/>
      <c r="L259" s="1578"/>
      <c r="M259" s="1578"/>
      <c r="N259" s="1191"/>
      <c r="O259" s="1191"/>
      <c r="P259" s="1508"/>
      <c r="Q259" s="1579"/>
      <c r="R259" s="1520"/>
      <c r="S259" s="1509"/>
      <c r="T259" s="1507"/>
      <c r="U259" s="1521"/>
      <c r="V259" s="1522"/>
      <c r="W259" s="1522"/>
      <c r="X259" s="1508"/>
      <c r="Y259" s="1191"/>
    </row>
    <row r="260" spans="1:26" ht="13.5" customHeight="1">
      <c r="A260" s="2427"/>
      <c r="B260" s="2414"/>
      <c r="C260" s="2414"/>
      <c r="D260" s="2417" t="s">
        <v>3497</v>
      </c>
      <c r="E260" s="2414"/>
      <c r="F260" s="2428">
        <v>2.6</v>
      </c>
      <c r="G260" s="2396"/>
      <c r="H260" s="2396"/>
      <c r="I260" s="2416"/>
      <c r="J260" s="1582"/>
      <c r="K260" s="1583"/>
      <c r="L260" s="1583"/>
      <c r="M260" s="1583"/>
      <c r="N260" s="1583"/>
      <c r="O260" s="1537"/>
      <c r="P260" s="1537"/>
      <c r="Q260" s="1537"/>
      <c r="R260" s="1537"/>
      <c r="S260" s="1537"/>
      <c r="T260" s="1537"/>
      <c r="U260" s="1537"/>
      <c r="V260" s="1259"/>
      <c r="W260" s="1537"/>
      <c r="X260" s="1267"/>
      <c r="Y260" s="1267"/>
      <c r="Z260" s="1226"/>
    </row>
    <row r="261" spans="1:26" s="1494" customFormat="1" ht="27" customHeight="1">
      <c r="A261" s="2420"/>
      <c r="B261" s="2421"/>
      <c r="C261" s="2429"/>
      <c r="D261" s="2417" t="s">
        <v>2185</v>
      </c>
      <c r="E261" s="2414"/>
      <c r="F261" s="2423"/>
      <c r="G261" s="2424"/>
      <c r="H261" s="2424"/>
      <c r="I261" s="2430"/>
      <c r="T261" s="1507"/>
      <c r="U261" s="1521"/>
      <c r="V261" s="1522"/>
      <c r="W261" s="1522"/>
      <c r="X261" s="1508"/>
      <c r="Y261" s="1191"/>
    </row>
    <row r="262" spans="1:26" s="1494" customFormat="1" ht="13.5" customHeight="1">
      <c r="A262" s="2413">
        <v>54</v>
      </c>
      <c r="B262" s="2414">
        <v>751</v>
      </c>
      <c r="C262" s="2414" t="s">
        <v>3498</v>
      </c>
      <c r="D262" s="2414" t="s">
        <v>3499</v>
      </c>
      <c r="E262" s="2414" t="s">
        <v>142</v>
      </c>
      <c r="F262" s="2415">
        <f>F265</f>
        <v>2.5</v>
      </c>
      <c r="G262" s="2395"/>
      <c r="H262" s="2402">
        <f t="shared" ref="H262" si="45">ROUND(F262*G262,2)</f>
        <v>0</v>
      </c>
      <c r="I262" s="2416" t="s">
        <v>111</v>
      </c>
      <c r="J262" s="1577"/>
    </row>
    <row r="263" spans="1:26" s="1494" customFormat="1" ht="13.5" customHeight="1">
      <c r="A263" s="2413"/>
      <c r="B263" s="2414"/>
      <c r="C263" s="2414"/>
      <c r="D263" s="2417" t="s">
        <v>3500</v>
      </c>
      <c r="E263" s="2414"/>
      <c r="F263" s="2418"/>
      <c r="G263" s="2419"/>
      <c r="H263" s="2419"/>
      <c r="I263" s="2416"/>
      <c r="J263" s="1576"/>
      <c r="K263" s="1574"/>
      <c r="L263" s="1574"/>
      <c r="M263" s="1507"/>
      <c r="N263" s="1507"/>
      <c r="O263" s="1507"/>
      <c r="P263" s="1508"/>
      <c r="S263" s="1509"/>
    </row>
    <row r="264" spans="1:26" s="1494" customFormat="1" ht="27" customHeight="1">
      <c r="A264" s="2420"/>
      <c r="B264" s="2421"/>
      <c r="C264" s="2422"/>
      <c r="D264" s="2417" t="s">
        <v>3360</v>
      </c>
      <c r="E264" s="2414"/>
      <c r="F264" s="2423"/>
      <c r="G264" s="2424"/>
      <c r="H264" s="2424"/>
      <c r="I264" s="2425"/>
      <c r="J264" s="1576"/>
      <c r="K264" s="1574"/>
      <c r="L264" s="1578"/>
      <c r="M264" s="1578"/>
      <c r="N264" s="1191"/>
      <c r="O264" s="1191"/>
      <c r="P264" s="1508"/>
      <c r="Q264" s="1579"/>
      <c r="R264" s="1520"/>
      <c r="S264" s="1509"/>
      <c r="T264" s="1507"/>
      <c r="U264" s="1521"/>
      <c r="V264" s="1522"/>
      <c r="W264" s="1522"/>
      <c r="X264" s="1508"/>
      <c r="Y264" s="1191"/>
    </row>
    <row r="265" spans="1:26" ht="13.5" customHeight="1">
      <c r="A265" s="2427"/>
      <c r="B265" s="2414"/>
      <c r="C265" s="2414"/>
      <c r="D265" s="2417" t="s">
        <v>3501</v>
      </c>
      <c r="E265" s="2414"/>
      <c r="F265" s="2428">
        <v>2.5</v>
      </c>
      <c r="G265" s="2396"/>
      <c r="H265" s="2396"/>
      <c r="I265" s="2416"/>
      <c r="J265" s="1582"/>
      <c r="K265" s="1583"/>
      <c r="L265" s="1583"/>
      <c r="M265" s="1583"/>
      <c r="N265" s="1583"/>
      <c r="O265" s="1537"/>
      <c r="P265" s="1537"/>
      <c r="Q265" s="1537"/>
      <c r="R265" s="1537"/>
      <c r="S265" s="1537"/>
      <c r="T265" s="1537"/>
      <c r="U265" s="1537"/>
      <c r="V265" s="1259"/>
      <c r="W265" s="1537"/>
      <c r="X265" s="1267"/>
      <c r="Y265" s="1267"/>
      <c r="Z265" s="1226"/>
    </row>
    <row r="266" spans="1:26" s="1494" customFormat="1" ht="27" customHeight="1">
      <c r="A266" s="2420"/>
      <c r="B266" s="2421"/>
      <c r="C266" s="2429"/>
      <c r="D266" s="2417" t="s">
        <v>2185</v>
      </c>
      <c r="E266" s="2414"/>
      <c r="F266" s="2423"/>
      <c r="G266" s="2424"/>
      <c r="H266" s="2424"/>
      <c r="I266" s="2430"/>
      <c r="T266" s="1507"/>
      <c r="U266" s="1521"/>
      <c r="V266" s="1522"/>
      <c r="W266" s="1522"/>
      <c r="X266" s="1508"/>
      <c r="Y266" s="1191"/>
    </row>
    <row r="267" spans="1:26" s="1494" customFormat="1" ht="13.5" customHeight="1">
      <c r="A267" s="2413">
        <v>55</v>
      </c>
      <c r="B267" s="2414">
        <v>751</v>
      </c>
      <c r="C267" s="2414" t="s">
        <v>3502</v>
      </c>
      <c r="D267" s="2414" t="s">
        <v>3503</v>
      </c>
      <c r="E267" s="2414" t="s">
        <v>142</v>
      </c>
      <c r="F267" s="2415">
        <f>F270</f>
        <v>2.5</v>
      </c>
      <c r="G267" s="2395"/>
      <c r="H267" s="2402">
        <f t="shared" ref="H267" si="46">ROUND(F267*G267,2)</f>
        <v>0</v>
      </c>
      <c r="I267" s="2416" t="s">
        <v>111</v>
      </c>
      <c r="J267" s="1577"/>
    </row>
    <row r="268" spans="1:26" s="1494" customFormat="1" ht="13.5" customHeight="1">
      <c r="A268" s="2413"/>
      <c r="B268" s="2414"/>
      <c r="C268" s="2414"/>
      <c r="D268" s="2417" t="s">
        <v>3504</v>
      </c>
      <c r="E268" s="2414"/>
      <c r="F268" s="2418"/>
      <c r="G268" s="2419"/>
      <c r="H268" s="2419"/>
      <c r="I268" s="2416"/>
      <c r="J268" s="1576"/>
      <c r="K268" s="1574"/>
      <c r="L268" s="1574"/>
      <c r="M268" s="1507"/>
      <c r="N268" s="1507"/>
      <c r="O268" s="1507"/>
      <c r="P268" s="1508"/>
      <c r="S268" s="1509"/>
    </row>
    <row r="269" spans="1:26" s="1494" customFormat="1" ht="27" customHeight="1">
      <c r="A269" s="2420"/>
      <c r="B269" s="2421"/>
      <c r="C269" s="2422"/>
      <c r="D269" s="2417" t="s">
        <v>3360</v>
      </c>
      <c r="E269" s="2414"/>
      <c r="F269" s="2423"/>
      <c r="G269" s="2424"/>
      <c r="H269" s="2424"/>
      <c r="I269" s="2425"/>
      <c r="J269" s="1576"/>
      <c r="K269" s="1574"/>
      <c r="L269" s="1578"/>
      <c r="M269" s="1578"/>
      <c r="N269" s="1191"/>
      <c r="O269" s="1191"/>
      <c r="P269" s="1508"/>
      <c r="Q269" s="1579"/>
      <c r="R269" s="1520"/>
      <c r="S269" s="1509"/>
      <c r="T269" s="1507"/>
      <c r="U269" s="1521"/>
      <c r="V269" s="1522"/>
      <c r="W269" s="1522"/>
      <c r="X269" s="1508"/>
      <c r="Y269" s="1191"/>
    </row>
    <row r="270" spans="1:26" ht="13.5" customHeight="1">
      <c r="A270" s="2427"/>
      <c r="B270" s="2414"/>
      <c r="C270" s="2414"/>
      <c r="D270" s="2417" t="s">
        <v>3505</v>
      </c>
      <c r="E270" s="2414"/>
      <c r="F270" s="2428">
        <v>2.5</v>
      </c>
      <c r="G270" s="2396"/>
      <c r="H270" s="2396"/>
      <c r="I270" s="2416"/>
      <c r="J270" s="1582"/>
      <c r="K270" s="1583"/>
      <c r="L270" s="1583"/>
      <c r="M270" s="1583"/>
      <c r="N270" s="1583"/>
      <c r="O270" s="1537"/>
      <c r="P270" s="1537"/>
      <c r="Q270" s="1537"/>
      <c r="R270" s="1537"/>
      <c r="S270" s="1537"/>
      <c r="T270" s="1537"/>
      <c r="U270" s="1537"/>
      <c r="V270" s="1259"/>
      <c r="W270" s="1537"/>
      <c r="X270" s="1267"/>
      <c r="Y270" s="1267"/>
      <c r="Z270" s="1226"/>
    </row>
    <row r="271" spans="1:26" s="1494" customFormat="1" ht="27" customHeight="1">
      <c r="A271" s="2420"/>
      <c r="B271" s="2421"/>
      <c r="C271" s="2429"/>
      <c r="D271" s="2417" t="s">
        <v>2185</v>
      </c>
      <c r="E271" s="2414"/>
      <c r="F271" s="2423"/>
      <c r="G271" s="2424"/>
      <c r="H271" s="2424"/>
      <c r="I271" s="2430"/>
      <c r="T271" s="1507"/>
      <c r="U271" s="1521"/>
      <c r="V271" s="1522"/>
      <c r="W271" s="1522"/>
      <c r="X271" s="1508"/>
      <c r="Y271" s="1191"/>
    </row>
    <row r="272" spans="1:26" s="1494" customFormat="1" ht="13.5" customHeight="1">
      <c r="A272" s="2413">
        <v>56</v>
      </c>
      <c r="B272" s="2414">
        <v>751</v>
      </c>
      <c r="C272" s="2414" t="s">
        <v>3506</v>
      </c>
      <c r="D272" s="2414" t="s">
        <v>3507</v>
      </c>
      <c r="E272" s="2414" t="s">
        <v>142</v>
      </c>
      <c r="F272" s="2415">
        <f>F275</f>
        <v>10.9</v>
      </c>
      <c r="G272" s="2395"/>
      <c r="H272" s="2402">
        <f t="shared" ref="H272" si="47">ROUND(F272*G272,2)</f>
        <v>0</v>
      </c>
      <c r="I272" s="2416" t="s">
        <v>111</v>
      </c>
      <c r="J272" s="1577"/>
    </row>
    <row r="273" spans="1:26" s="1494" customFormat="1" ht="13.5" customHeight="1">
      <c r="A273" s="2413"/>
      <c r="B273" s="2414"/>
      <c r="C273" s="2414"/>
      <c r="D273" s="2417" t="s">
        <v>3508</v>
      </c>
      <c r="E273" s="2414"/>
      <c r="F273" s="2418"/>
      <c r="G273" s="2419"/>
      <c r="H273" s="2419"/>
      <c r="I273" s="2416"/>
      <c r="J273" s="1576"/>
      <c r="K273" s="1574"/>
      <c r="L273" s="1574"/>
      <c r="M273" s="1507"/>
      <c r="N273" s="1507"/>
      <c r="O273" s="1507"/>
      <c r="P273" s="1508"/>
      <c r="S273" s="1509"/>
    </row>
    <row r="274" spans="1:26" s="1494" customFormat="1" ht="27" customHeight="1">
      <c r="A274" s="2420"/>
      <c r="B274" s="2421"/>
      <c r="C274" s="2422"/>
      <c r="D274" s="2417" t="s">
        <v>3360</v>
      </c>
      <c r="E274" s="2414"/>
      <c r="F274" s="2423"/>
      <c r="G274" s="2424"/>
      <c r="H274" s="2424"/>
      <c r="I274" s="2425"/>
      <c r="J274" s="1576"/>
      <c r="K274" s="1574"/>
      <c r="L274" s="1578"/>
      <c r="M274" s="1578"/>
      <c r="N274" s="1191"/>
      <c r="O274" s="1191"/>
      <c r="P274" s="1508"/>
      <c r="Q274" s="1579"/>
      <c r="R274" s="1520"/>
      <c r="S274" s="1509"/>
      <c r="T274" s="1507"/>
      <c r="U274" s="1521"/>
      <c r="V274" s="1522"/>
      <c r="W274" s="1522"/>
      <c r="X274" s="1508"/>
      <c r="Y274" s="1191"/>
    </row>
    <row r="275" spans="1:26" ht="13.5" customHeight="1">
      <c r="A275" s="2427"/>
      <c r="B275" s="2414"/>
      <c r="C275" s="2414"/>
      <c r="D275" s="2417" t="s">
        <v>3509</v>
      </c>
      <c r="E275" s="2414"/>
      <c r="F275" s="2428">
        <f>(8.5+2.4)</f>
        <v>10.9</v>
      </c>
      <c r="G275" s="2396"/>
      <c r="H275" s="2396"/>
      <c r="I275" s="2416"/>
      <c r="J275" s="1582"/>
      <c r="K275" s="1583"/>
      <c r="L275" s="1583"/>
      <c r="M275" s="1583"/>
      <c r="N275" s="1583"/>
      <c r="O275" s="1537"/>
      <c r="P275" s="1537"/>
      <c r="Q275" s="1537"/>
      <c r="R275" s="1537"/>
      <c r="S275" s="1537"/>
      <c r="T275" s="1537"/>
      <c r="U275" s="1537"/>
      <c r="V275" s="1259"/>
      <c r="W275" s="1537"/>
      <c r="X275" s="1267"/>
      <c r="Y275" s="1267"/>
      <c r="Z275" s="1226"/>
    </row>
    <row r="276" spans="1:26" s="1494" customFormat="1" ht="27" customHeight="1">
      <c r="A276" s="2420"/>
      <c r="B276" s="2421"/>
      <c r="C276" s="2429"/>
      <c r="D276" s="2417" t="s">
        <v>2185</v>
      </c>
      <c r="E276" s="2414"/>
      <c r="F276" s="2423"/>
      <c r="G276" s="2424"/>
      <c r="H276" s="2424"/>
      <c r="I276" s="2430"/>
      <c r="T276" s="1507"/>
      <c r="U276" s="1521"/>
      <c r="V276" s="1522"/>
      <c r="W276" s="1522"/>
      <c r="X276" s="1508"/>
      <c r="Y276" s="1191"/>
    </row>
    <row r="277" spans="1:26" s="1494" customFormat="1" ht="13.5" customHeight="1">
      <c r="A277" s="2413">
        <v>57</v>
      </c>
      <c r="B277" s="2414">
        <v>751</v>
      </c>
      <c r="C277" s="2414" t="s">
        <v>3510</v>
      </c>
      <c r="D277" s="2414" t="s">
        <v>3511</v>
      </c>
      <c r="E277" s="2414" t="s">
        <v>142</v>
      </c>
      <c r="F277" s="2415">
        <f>F280</f>
        <v>2.2000000000000002</v>
      </c>
      <c r="G277" s="2395"/>
      <c r="H277" s="2402">
        <f t="shared" ref="H277" si="48">ROUND(F277*G277,2)</f>
        <v>0</v>
      </c>
      <c r="I277" s="2416" t="s">
        <v>111</v>
      </c>
      <c r="J277" s="1577"/>
    </row>
    <row r="278" spans="1:26" s="1494" customFormat="1" ht="13.5" customHeight="1">
      <c r="A278" s="2413"/>
      <c r="B278" s="2414"/>
      <c r="C278" s="2414"/>
      <c r="D278" s="2417" t="s">
        <v>3512</v>
      </c>
      <c r="E278" s="2414"/>
      <c r="F278" s="2418"/>
      <c r="G278" s="2419"/>
      <c r="H278" s="2419"/>
      <c r="I278" s="2416"/>
      <c r="J278" s="1576"/>
      <c r="K278" s="1574"/>
      <c r="L278" s="1574"/>
      <c r="M278" s="1507"/>
      <c r="N278" s="1507"/>
      <c r="O278" s="1507"/>
      <c r="P278" s="1508"/>
      <c r="S278" s="1509"/>
    </row>
    <row r="279" spans="1:26" s="1494" customFormat="1" ht="27" customHeight="1">
      <c r="A279" s="2420"/>
      <c r="B279" s="2421"/>
      <c r="C279" s="2422"/>
      <c r="D279" s="2417" t="s">
        <v>3360</v>
      </c>
      <c r="E279" s="2414"/>
      <c r="F279" s="2423"/>
      <c r="G279" s="2424"/>
      <c r="H279" s="2424"/>
      <c r="I279" s="2425"/>
      <c r="J279" s="1576"/>
      <c r="K279" s="1574"/>
      <c r="L279" s="1578"/>
      <c r="M279" s="1578"/>
      <c r="N279" s="1191"/>
      <c r="O279" s="1191"/>
      <c r="P279" s="1508"/>
      <c r="Q279" s="1579"/>
      <c r="R279" s="1520"/>
      <c r="S279" s="1509"/>
      <c r="T279" s="1507"/>
      <c r="U279" s="1521"/>
      <c r="V279" s="1522"/>
      <c r="W279" s="1522"/>
      <c r="X279" s="1508"/>
      <c r="Y279" s="1191"/>
    </row>
    <row r="280" spans="1:26" ht="13.5" customHeight="1">
      <c r="A280" s="2427"/>
      <c r="B280" s="2414"/>
      <c r="C280" s="2414"/>
      <c r="D280" s="2417" t="s">
        <v>3513</v>
      </c>
      <c r="E280" s="2414"/>
      <c r="F280" s="2428">
        <v>2.2000000000000002</v>
      </c>
      <c r="G280" s="2396"/>
      <c r="H280" s="2396"/>
      <c r="I280" s="2416"/>
      <c r="J280" s="1582"/>
      <c r="K280" s="1583"/>
      <c r="L280" s="1583"/>
      <c r="M280" s="1583"/>
      <c r="N280" s="1583"/>
      <c r="O280" s="1537"/>
      <c r="P280" s="1537"/>
      <c r="Q280" s="1537"/>
      <c r="R280" s="1537"/>
      <c r="S280" s="1537"/>
      <c r="T280" s="1537"/>
      <c r="U280" s="1537"/>
      <c r="V280" s="1259"/>
      <c r="W280" s="1537"/>
      <c r="X280" s="1267"/>
      <c r="Y280" s="1267"/>
      <c r="Z280" s="1226"/>
    </row>
    <row r="281" spans="1:26" s="1494" customFormat="1" ht="27" customHeight="1">
      <c r="A281" s="2420"/>
      <c r="B281" s="2421"/>
      <c r="C281" s="2429"/>
      <c r="D281" s="2417" t="s">
        <v>2185</v>
      </c>
      <c r="E281" s="2414"/>
      <c r="F281" s="2423"/>
      <c r="G281" s="2424"/>
      <c r="H281" s="2424"/>
      <c r="I281" s="2430"/>
      <c r="T281" s="1507"/>
      <c r="U281" s="1521"/>
      <c r="V281" s="1522"/>
      <c r="W281" s="1522"/>
      <c r="X281" s="1508"/>
      <c r="Y281" s="1191"/>
    </row>
    <row r="282" spans="1:26" s="1494" customFormat="1" ht="13.5" customHeight="1">
      <c r="A282" s="2413">
        <v>58</v>
      </c>
      <c r="B282" s="2414">
        <v>751</v>
      </c>
      <c r="C282" s="2414" t="s">
        <v>3514</v>
      </c>
      <c r="D282" s="2414" t="s">
        <v>3515</v>
      </c>
      <c r="E282" s="2414" t="s">
        <v>142</v>
      </c>
      <c r="F282" s="2415">
        <f>F285</f>
        <v>32.200000000000003</v>
      </c>
      <c r="G282" s="2395"/>
      <c r="H282" s="2402">
        <f t="shared" ref="H282" si="49">ROUND(F282*G282,2)</f>
        <v>0</v>
      </c>
      <c r="I282" s="2416" t="s">
        <v>111</v>
      </c>
      <c r="J282" s="1577"/>
    </row>
    <row r="283" spans="1:26" s="1494" customFormat="1" ht="13.5" customHeight="1">
      <c r="A283" s="2413"/>
      <c r="B283" s="2414"/>
      <c r="C283" s="2414"/>
      <c r="D283" s="2417" t="s">
        <v>3516</v>
      </c>
      <c r="E283" s="2414"/>
      <c r="F283" s="2418"/>
      <c r="G283" s="2419"/>
      <c r="H283" s="2419"/>
      <c r="I283" s="2416"/>
      <c r="J283" s="1576"/>
      <c r="K283" s="1574"/>
      <c r="L283" s="1574"/>
      <c r="M283" s="1507"/>
      <c r="N283" s="1507"/>
      <c r="O283" s="1507"/>
      <c r="P283" s="1508"/>
      <c r="S283" s="1509"/>
    </row>
    <row r="284" spans="1:26" s="1494" customFormat="1" ht="27" customHeight="1">
      <c r="A284" s="2420"/>
      <c r="B284" s="2421"/>
      <c r="C284" s="2422"/>
      <c r="D284" s="2417" t="s">
        <v>3360</v>
      </c>
      <c r="E284" s="2414"/>
      <c r="F284" s="2423"/>
      <c r="G284" s="2424"/>
      <c r="H284" s="2424"/>
      <c r="I284" s="2425"/>
      <c r="J284" s="1576"/>
      <c r="K284" s="1574"/>
      <c r="L284" s="1578"/>
      <c r="M284" s="1578"/>
      <c r="N284" s="1191"/>
      <c r="O284" s="1191"/>
      <c r="P284" s="1508"/>
      <c r="Q284" s="1579"/>
      <c r="R284" s="1520"/>
      <c r="S284" s="1509"/>
      <c r="T284" s="1507"/>
      <c r="U284" s="1521"/>
      <c r="V284" s="1522"/>
      <c r="W284" s="1522"/>
      <c r="X284" s="1508"/>
      <c r="Y284" s="1191"/>
    </row>
    <row r="285" spans="1:26" ht="13.5" customHeight="1">
      <c r="A285" s="2427"/>
      <c r="B285" s="2414"/>
      <c r="C285" s="2414"/>
      <c r="D285" s="2417" t="s">
        <v>3517</v>
      </c>
      <c r="E285" s="2414"/>
      <c r="F285" s="2428">
        <v>32.200000000000003</v>
      </c>
      <c r="G285" s="2396"/>
      <c r="H285" s="2396"/>
      <c r="I285" s="2416"/>
      <c r="J285" s="1582"/>
      <c r="K285" s="1583"/>
      <c r="L285" s="1583"/>
      <c r="M285" s="1583"/>
      <c r="N285" s="1583"/>
      <c r="O285" s="1537"/>
      <c r="P285" s="1537"/>
      <c r="Q285" s="1537"/>
      <c r="R285" s="1537"/>
      <c r="S285" s="1537"/>
      <c r="T285" s="1537"/>
      <c r="U285" s="1537"/>
      <c r="V285" s="1259"/>
      <c r="W285" s="1537"/>
      <c r="X285" s="1267"/>
      <c r="Y285" s="1267"/>
      <c r="Z285" s="1226"/>
    </row>
    <row r="286" spans="1:26" s="1494" customFormat="1" ht="27" customHeight="1">
      <c r="A286" s="2420"/>
      <c r="B286" s="2421"/>
      <c r="C286" s="2429"/>
      <c r="D286" s="2417" t="s">
        <v>2185</v>
      </c>
      <c r="E286" s="2414"/>
      <c r="F286" s="2423"/>
      <c r="G286" s="2424"/>
      <c r="H286" s="2424"/>
      <c r="I286" s="2430"/>
      <c r="T286" s="1507"/>
      <c r="U286" s="1521"/>
      <c r="V286" s="1522"/>
      <c r="W286" s="1522"/>
      <c r="X286" s="1508"/>
      <c r="Y286" s="1191"/>
    </row>
    <row r="287" spans="1:26" s="1494" customFormat="1" ht="13.5" customHeight="1">
      <c r="A287" s="2413">
        <v>59</v>
      </c>
      <c r="B287" s="2414">
        <v>751</v>
      </c>
      <c r="C287" s="2414" t="s">
        <v>3518</v>
      </c>
      <c r="D287" s="2414" t="s">
        <v>3519</v>
      </c>
      <c r="E287" s="2414" t="s">
        <v>142</v>
      </c>
      <c r="F287" s="2415">
        <f>F290</f>
        <v>2.5</v>
      </c>
      <c r="G287" s="2395"/>
      <c r="H287" s="2402">
        <f t="shared" ref="H287" si="50">ROUND(F287*G287,2)</f>
        <v>0</v>
      </c>
      <c r="I287" s="2416" t="s">
        <v>111</v>
      </c>
      <c r="J287" s="1577"/>
    </row>
    <row r="288" spans="1:26" s="1494" customFormat="1" ht="13.5" customHeight="1">
      <c r="A288" s="2413"/>
      <c r="B288" s="2414"/>
      <c r="C288" s="2414"/>
      <c r="D288" s="2417" t="s">
        <v>3520</v>
      </c>
      <c r="E288" s="2414"/>
      <c r="F288" s="2418"/>
      <c r="G288" s="2419"/>
      <c r="H288" s="2419"/>
      <c r="I288" s="2416"/>
      <c r="J288" s="1576"/>
      <c r="K288" s="1574"/>
      <c r="L288" s="1574"/>
      <c r="M288" s="1507"/>
      <c r="N288" s="1507"/>
      <c r="O288" s="1507"/>
      <c r="P288" s="1508"/>
      <c r="S288" s="1509"/>
    </row>
    <row r="289" spans="1:26" s="1494" customFormat="1" ht="27" customHeight="1">
      <c r="A289" s="2420"/>
      <c r="B289" s="2421"/>
      <c r="C289" s="2422"/>
      <c r="D289" s="2417" t="s">
        <v>3360</v>
      </c>
      <c r="E289" s="2414"/>
      <c r="F289" s="2423"/>
      <c r="G289" s="2424"/>
      <c r="H289" s="2424"/>
      <c r="I289" s="2425"/>
      <c r="J289" s="1576"/>
      <c r="K289" s="1574"/>
      <c r="L289" s="1578"/>
      <c r="M289" s="1578"/>
      <c r="N289" s="1191"/>
      <c r="O289" s="1191"/>
      <c r="P289" s="1508"/>
      <c r="Q289" s="1579"/>
      <c r="R289" s="1520"/>
      <c r="S289" s="1509"/>
      <c r="T289" s="1507"/>
      <c r="U289" s="1521"/>
      <c r="V289" s="1522"/>
      <c r="W289" s="1522"/>
      <c r="X289" s="1508"/>
      <c r="Y289" s="1191"/>
    </row>
    <row r="290" spans="1:26" ht="13.5" customHeight="1">
      <c r="A290" s="2427"/>
      <c r="B290" s="2414"/>
      <c r="C290" s="2414"/>
      <c r="D290" s="2417" t="s">
        <v>3521</v>
      </c>
      <c r="E290" s="2414"/>
      <c r="F290" s="2428">
        <v>2.5</v>
      </c>
      <c r="G290" s="2396"/>
      <c r="H290" s="2396"/>
      <c r="I290" s="2416"/>
      <c r="J290" s="1582"/>
      <c r="K290" s="1583"/>
      <c r="L290" s="1583"/>
      <c r="M290" s="1583"/>
      <c r="N290" s="1583"/>
      <c r="O290" s="1537"/>
      <c r="P290" s="1537"/>
      <c r="Q290" s="1537"/>
      <c r="R290" s="1537"/>
      <c r="S290" s="1537"/>
      <c r="T290" s="1537"/>
      <c r="U290" s="1537"/>
      <c r="V290" s="1259"/>
      <c r="W290" s="1537"/>
      <c r="X290" s="1267"/>
      <c r="Y290" s="1267"/>
      <c r="Z290" s="1226"/>
    </row>
    <row r="291" spans="1:26" s="1494" customFormat="1" ht="27" customHeight="1">
      <c r="A291" s="2420"/>
      <c r="B291" s="2421"/>
      <c r="C291" s="2429"/>
      <c r="D291" s="2417" t="s">
        <v>2185</v>
      </c>
      <c r="E291" s="2414"/>
      <c r="F291" s="2423"/>
      <c r="G291" s="2424"/>
      <c r="H291" s="2424"/>
      <c r="I291" s="2430"/>
      <c r="T291" s="1507"/>
      <c r="U291" s="1521"/>
      <c r="V291" s="1522"/>
      <c r="W291" s="1522"/>
      <c r="X291" s="1508"/>
      <c r="Y291" s="1191"/>
    </row>
    <row r="292" spans="1:26" s="1494" customFormat="1" ht="13.5" customHeight="1">
      <c r="A292" s="2413">
        <v>60</v>
      </c>
      <c r="B292" s="2414">
        <v>751</v>
      </c>
      <c r="C292" s="2414" t="s">
        <v>3522</v>
      </c>
      <c r="D292" s="2414" t="s">
        <v>3523</v>
      </c>
      <c r="E292" s="2414" t="s">
        <v>142</v>
      </c>
      <c r="F292" s="2415">
        <f>F295</f>
        <v>1.4</v>
      </c>
      <c r="G292" s="2395"/>
      <c r="H292" s="2402">
        <f t="shared" ref="H292" si="51">ROUND(F292*G292,2)</f>
        <v>0</v>
      </c>
      <c r="I292" s="2416" t="s">
        <v>111</v>
      </c>
      <c r="J292" s="1577"/>
    </row>
    <row r="293" spans="1:26" s="1494" customFormat="1" ht="13.5" customHeight="1">
      <c r="A293" s="2413"/>
      <c r="B293" s="2414"/>
      <c r="C293" s="2414"/>
      <c r="D293" s="2417" t="s">
        <v>3524</v>
      </c>
      <c r="E293" s="2414"/>
      <c r="F293" s="2418"/>
      <c r="G293" s="2419"/>
      <c r="H293" s="2419"/>
      <c r="I293" s="2416"/>
      <c r="J293" s="1576"/>
      <c r="K293" s="1574"/>
      <c r="L293" s="1574"/>
      <c r="M293" s="1507"/>
      <c r="N293" s="1507"/>
      <c r="O293" s="1507"/>
      <c r="P293" s="1508"/>
      <c r="S293" s="1509"/>
    </row>
    <row r="294" spans="1:26" s="1494" customFormat="1" ht="27" customHeight="1">
      <c r="A294" s="2420"/>
      <c r="B294" s="2421"/>
      <c r="C294" s="2422"/>
      <c r="D294" s="2417" t="s">
        <v>3360</v>
      </c>
      <c r="E294" s="2414"/>
      <c r="F294" s="2423"/>
      <c r="G294" s="2424"/>
      <c r="H294" s="2424"/>
      <c r="I294" s="2425"/>
      <c r="J294" s="1576"/>
      <c r="K294" s="1574"/>
      <c r="L294" s="1578"/>
      <c r="M294" s="1578"/>
      <c r="N294" s="1191"/>
      <c r="O294" s="1191"/>
      <c r="P294" s="1508"/>
      <c r="Q294" s="1579"/>
      <c r="R294" s="1520"/>
      <c r="S294" s="1509"/>
      <c r="T294" s="1507"/>
      <c r="U294" s="1521"/>
      <c r="V294" s="1522"/>
      <c r="W294" s="1522"/>
      <c r="X294" s="1508"/>
      <c r="Y294" s="1191"/>
    </row>
    <row r="295" spans="1:26" ht="13.5" customHeight="1">
      <c r="A295" s="2427"/>
      <c r="B295" s="2414"/>
      <c r="C295" s="2414"/>
      <c r="D295" s="2417" t="s">
        <v>3525</v>
      </c>
      <c r="E295" s="2414"/>
      <c r="F295" s="2428">
        <v>1.4</v>
      </c>
      <c r="G295" s="2396"/>
      <c r="H295" s="2396"/>
      <c r="I295" s="2416"/>
      <c r="J295" s="1582"/>
      <c r="K295" s="1583"/>
      <c r="L295" s="1583"/>
      <c r="M295" s="1583"/>
      <c r="N295" s="1583"/>
      <c r="O295" s="1537"/>
      <c r="P295" s="1537"/>
      <c r="Q295" s="1537"/>
      <c r="R295" s="1537"/>
      <c r="S295" s="1537"/>
      <c r="T295" s="1537"/>
      <c r="U295" s="1537"/>
      <c r="V295" s="1259"/>
      <c r="W295" s="1537"/>
      <c r="X295" s="1267"/>
      <c r="Y295" s="1267"/>
      <c r="Z295" s="1226"/>
    </row>
    <row r="296" spans="1:26" s="1494" customFormat="1" ht="27" customHeight="1">
      <c r="A296" s="2420"/>
      <c r="B296" s="2421"/>
      <c r="C296" s="2429"/>
      <c r="D296" s="2417" t="s">
        <v>2185</v>
      </c>
      <c r="E296" s="2414"/>
      <c r="F296" s="2423"/>
      <c r="G296" s="2424"/>
      <c r="H296" s="2424"/>
      <c r="I296" s="2430"/>
      <c r="T296" s="1507"/>
      <c r="U296" s="1521"/>
      <c r="V296" s="1522"/>
      <c r="W296" s="1522"/>
      <c r="X296" s="1508"/>
      <c r="Y296" s="1191"/>
    </row>
    <row r="297" spans="1:26" s="1494" customFormat="1" ht="13.5" customHeight="1">
      <c r="A297" s="2413">
        <v>61</v>
      </c>
      <c r="B297" s="2414">
        <v>751</v>
      </c>
      <c r="C297" s="2414" t="s">
        <v>3526</v>
      </c>
      <c r="D297" s="2414" t="s">
        <v>3527</v>
      </c>
      <c r="E297" s="2414" t="s">
        <v>142</v>
      </c>
      <c r="F297" s="2415">
        <f>F300</f>
        <v>17.7</v>
      </c>
      <c r="G297" s="2395"/>
      <c r="H297" s="2402">
        <f t="shared" ref="H297" si="52">ROUND(F297*G297,2)</f>
        <v>0</v>
      </c>
      <c r="I297" s="2416" t="s">
        <v>111</v>
      </c>
      <c r="J297" s="1577"/>
    </row>
    <row r="298" spans="1:26" s="1494" customFormat="1" ht="13.5" customHeight="1">
      <c r="A298" s="2413"/>
      <c r="B298" s="2414"/>
      <c r="C298" s="2414"/>
      <c r="D298" s="2417" t="s">
        <v>3528</v>
      </c>
      <c r="E298" s="2414"/>
      <c r="F298" s="2418"/>
      <c r="G298" s="2419"/>
      <c r="H298" s="2419"/>
      <c r="I298" s="2416"/>
      <c r="J298" s="1576"/>
      <c r="K298" s="1574"/>
      <c r="L298" s="1574"/>
      <c r="M298" s="1507"/>
      <c r="N298" s="1507"/>
      <c r="O298" s="1507"/>
      <c r="P298" s="1508"/>
      <c r="S298" s="1509"/>
    </row>
    <row r="299" spans="1:26" s="1494" customFormat="1" ht="27" customHeight="1">
      <c r="A299" s="2420"/>
      <c r="B299" s="2421"/>
      <c r="C299" s="2422"/>
      <c r="D299" s="2417" t="s">
        <v>3360</v>
      </c>
      <c r="E299" s="2414"/>
      <c r="F299" s="2423"/>
      <c r="G299" s="2424"/>
      <c r="H299" s="2424"/>
      <c r="I299" s="2425"/>
      <c r="J299" s="1576"/>
      <c r="K299" s="1574"/>
      <c r="L299" s="1578"/>
      <c r="M299" s="1578"/>
      <c r="N299" s="1191"/>
      <c r="O299" s="1191"/>
      <c r="P299" s="1508"/>
      <c r="Q299" s="1579"/>
      <c r="R299" s="1520"/>
      <c r="S299" s="1509"/>
      <c r="T299" s="1507"/>
      <c r="U299" s="1521"/>
      <c r="V299" s="1522"/>
      <c r="W299" s="1522"/>
      <c r="X299" s="1508"/>
      <c r="Y299" s="1191"/>
    </row>
    <row r="300" spans="1:26" ht="13.5" customHeight="1">
      <c r="A300" s="2427"/>
      <c r="B300" s="2414"/>
      <c r="C300" s="2414"/>
      <c r="D300" s="2417" t="s">
        <v>3529</v>
      </c>
      <c r="E300" s="2414"/>
      <c r="F300" s="2428">
        <v>17.7</v>
      </c>
      <c r="G300" s="2396"/>
      <c r="H300" s="2396"/>
      <c r="I300" s="2416"/>
      <c r="J300" s="1582"/>
      <c r="K300" s="1583"/>
      <c r="L300" s="1583"/>
      <c r="M300" s="1583"/>
      <c r="N300" s="1583"/>
      <c r="O300" s="1537"/>
      <c r="P300" s="1537"/>
      <c r="Q300" s="1537"/>
      <c r="R300" s="1537"/>
      <c r="S300" s="1537"/>
      <c r="T300" s="1537"/>
      <c r="U300" s="1537"/>
      <c r="V300" s="1259"/>
      <c r="W300" s="1537"/>
      <c r="X300" s="1267"/>
      <c r="Y300" s="1267"/>
      <c r="Z300" s="1226"/>
    </row>
    <row r="301" spans="1:26" s="1494" customFormat="1" ht="27" customHeight="1">
      <c r="A301" s="2420"/>
      <c r="B301" s="2421"/>
      <c r="C301" s="2429"/>
      <c r="D301" s="2417" t="s">
        <v>2185</v>
      </c>
      <c r="E301" s="2414"/>
      <c r="F301" s="2423"/>
      <c r="G301" s="2424"/>
      <c r="H301" s="2424"/>
      <c r="I301" s="2430"/>
      <c r="T301" s="1507"/>
      <c r="U301" s="1521"/>
      <c r="V301" s="1522"/>
      <c r="W301" s="1522"/>
      <c r="X301" s="1508"/>
      <c r="Y301" s="1191"/>
    </row>
    <row r="302" spans="1:26" s="1494" customFormat="1" ht="13.5" customHeight="1">
      <c r="A302" s="2413">
        <v>62</v>
      </c>
      <c r="B302" s="2414">
        <v>751</v>
      </c>
      <c r="C302" s="2414" t="s">
        <v>3530</v>
      </c>
      <c r="D302" s="2414" t="s">
        <v>3531</v>
      </c>
      <c r="E302" s="2414" t="s">
        <v>142</v>
      </c>
      <c r="F302" s="2415">
        <f>F305</f>
        <v>1.5</v>
      </c>
      <c r="G302" s="2395"/>
      <c r="H302" s="2402">
        <f t="shared" ref="H302" si="53">ROUND(F302*G302,2)</f>
        <v>0</v>
      </c>
      <c r="I302" s="2416" t="s">
        <v>111</v>
      </c>
      <c r="J302" s="1577"/>
    </row>
    <row r="303" spans="1:26" s="1494" customFormat="1" ht="13.5" customHeight="1">
      <c r="A303" s="2413"/>
      <c r="B303" s="2414"/>
      <c r="C303" s="2414"/>
      <c r="D303" s="2417" t="s">
        <v>3532</v>
      </c>
      <c r="E303" s="2414"/>
      <c r="F303" s="2418"/>
      <c r="G303" s="2419"/>
      <c r="H303" s="2419"/>
      <c r="I303" s="2416"/>
      <c r="J303" s="1576"/>
      <c r="K303" s="1574"/>
      <c r="L303" s="1574"/>
      <c r="M303" s="1507"/>
      <c r="N303" s="1507"/>
      <c r="O303" s="1507"/>
      <c r="P303" s="1508"/>
      <c r="S303" s="1509"/>
    </row>
    <row r="304" spans="1:26" s="1494" customFormat="1" ht="27" customHeight="1">
      <c r="A304" s="2420"/>
      <c r="B304" s="2421"/>
      <c r="C304" s="2422"/>
      <c r="D304" s="2417" t="s">
        <v>3360</v>
      </c>
      <c r="E304" s="2414"/>
      <c r="F304" s="2423"/>
      <c r="G304" s="2424"/>
      <c r="H304" s="2424"/>
      <c r="I304" s="2425"/>
      <c r="J304" s="1576"/>
      <c r="K304" s="1574"/>
      <c r="L304" s="1578"/>
      <c r="M304" s="1578"/>
      <c r="N304" s="1191"/>
      <c r="O304" s="1191"/>
      <c r="P304" s="1508"/>
      <c r="Q304" s="1579"/>
      <c r="R304" s="1520"/>
      <c r="S304" s="1509"/>
      <c r="T304" s="1507"/>
      <c r="U304" s="1521"/>
      <c r="V304" s="1522"/>
      <c r="W304" s="1522"/>
      <c r="X304" s="1508"/>
      <c r="Y304" s="1191"/>
    </row>
    <row r="305" spans="1:69" ht="13.5" customHeight="1">
      <c r="A305" s="2427"/>
      <c r="B305" s="2414"/>
      <c r="C305" s="2414"/>
      <c r="D305" s="2417" t="s">
        <v>3533</v>
      </c>
      <c r="E305" s="2414"/>
      <c r="F305" s="2428">
        <v>1.5</v>
      </c>
      <c r="G305" s="2396"/>
      <c r="H305" s="2396"/>
      <c r="I305" s="2416"/>
      <c r="J305" s="1582"/>
      <c r="K305" s="1583"/>
      <c r="L305" s="1583"/>
      <c r="M305" s="1583"/>
      <c r="N305" s="1583"/>
      <c r="O305" s="1537"/>
      <c r="P305" s="1537"/>
      <c r="Q305" s="1537"/>
      <c r="R305" s="1537"/>
      <c r="S305" s="1537"/>
      <c r="T305" s="1537"/>
      <c r="U305" s="1537"/>
      <c r="V305" s="1259"/>
      <c r="W305" s="1537"/>
      <c r="X305" s="1267"/>
      <c r="Y305" s="1267"/>
      <c r="Z305" s="1226"/>
    </row>
    <row r="306" spans="1:69" s="1494" customFormat="1" ht="27" customHeight="1">
      <c r="A306" s="2420"/>
      <c r="B306" s="2421"/>
      <c r="C306" s="2429"/>
      <c r="D306" s="2417" t="s">
        <v>2185</v>
      </c>
      <c r="E306" s="2414"/>
      <c r="F306" s="2423"/>
      <c r="G306" s="2424"/>
      <c r="H306" s="2424"/>
      <c r="I306" s="2430"/>
      <c r="T306" s="1507"/>
      <c r="U306" s="1521"/>
      <c r="V306" s="1522"/>
      <c r="W306" s="1522"/>
      <c r="X306" s="1508"/>
      <c r="Y306" s="1191"/>
    </row>
    <row r="307" spans="1:69" s="1494" customFormat="1" ht="13.5" customHeight="1">
      <c r="A307" s="2413">
        <v>63</v>
      </c>
      <c r="B307" s="2414">
        <v>751</v>
      </c>
      <c r="C307" s="2414" t="s">
        <v>3534</v>
      </c>
      <c r="D307" s="2414" t="s">
        <v>3535</v>
      </c>
      <c r="E307" s="2414" t="s">
        <v>142</v>
      </c>
      <c r="F307" s="2415">
        <f>F310</f>
        <v>1.7</v>
      </c>
      <c r="G307" s="2395"/>
      <c r="H307" s="2402">
        <f t="shared" ref="H307" si="54">ROUND(F307*G307,2)</f>
        <v>0</v>
      </c>
      <c r="I307" s="2416" t="s">
        <v>111</v>
      </c>
      <c r="J307" s="1577"/>
    </row>
    <row r="308" spans="1:69" s="1494" customFormat="1" ht="13.5" customHeight="1">
      <c r="A308" s="2413"/>
      <c r="B308" s="2414"/>
      <c r="C308" s="2414"/>
      <c r="D308" s="2417" t="s">
        <v>3536</v>
      </c>
      <c r="E308" s="2414"/>
      <c r="F308" s="2418"/>
      <c r="G308" s="2419"/>
      <c r="H308" s="2419"/>
      <c r="I308" s="2416"/>
      <c r="J308" s="1576"/>
      <c r="K308" s="1574"/>
      <c r="L308" s="1574"/>
      <c r="M308" s="1507"/>
      <c r="N308" s="1507"/>
      <c r="O308" s="1507"/>
      <c r="P308" s="1508"/>
      <c r="S308" s="1509"/>
    </row>
    <row r="309" spans="1:69" s="1494" customFormat="1" ht="27" customHeight="1">
      <c r="A309" s="2420"/>
      <c r="B309" s="2421"/>
      <c r="C309" s="2422"/>
      <c r="D309" s="2417" t="s">
        <v>3360</v>
      </c>
      <c r="E309" s="2414"/>
      <c r="F309" s="2423"/>
      <c r="G309" s="2424"/>
      <c r="H309" s="2424"/>
      <c r="I309" s="2425"/>
      <c r="J309" s="1576"/>
      <c r="K309" s="1574"/>
      <c r="L309" s="1578"/>
      <c r="M309" s="1578"/>
      <c r="N309" s="1191"/>
      <c r="O309" s="1191"/>
      <c r="P309" s="1508"/>
      <c r="Q309" s="1579"/>
      <c r="R309" s="1520"/>
      <c r="S309" s="1509"/>
      <c r="T309" s="1507"/>
      <c r="U309" s="1521"/>
      <c r="V309" s="1522"/>
      <c r="W309" s="1522"/>
      <c r="X309" s="1508"/>
      <c r="Y309" s="1191"/>
    </row>
    <row r="310" spans="1:69" ht="13.5" customHeight="1">
      <c r="A310" s="2427"/>
      <c r="B310" s="2414"/>
      <c r="C310" s="2414"/>
      <c r="D310" s="2417" t="s">
        <v>3537</v>
      </c>
      <c r="E310" s="2414"/>
      <c r="F310" s="2428">
        <v>1.7</v>
      </c>
      <c r="G310" s="2396"/>
      <c r="H310" s="2396"/>
      <c r="I310" s="2416"/>
      <c r="J310" s="1582"/>
      <c r="K310" s="1583"/>
      <c r="L310" s="1583"/>
      <c r="M310" s="1583"/>
      <c r="N310" s="1583"/>
      <c r="O310" s="1537"/>
      <c r="P310" s="1537"/>
      <c r="Q310" s="1537"/>
      <c r="R310" s="1537"/>
      <c r="S310" s="1537"/>
      <c r="T310" s="1537"/>
      <c r="U310" s="1537"/>
      <c r="V310" s="1259"/>
      <c r="W310" s="1537"/>
      <c r="X310" s="1267"/>
      <c r="Y310" s="1267"/>
      <c r="Z310" s="1226"/>
    </row>
    <row r="311" spans="1:69" s="1494" customFormat="1" ht="27" customHeight="1">
      <c r="A311" s="2420"/>
      <c r="B311" s="2421"/>
      <c r="C311" s="2429"/>
      <c r="D311" s="2417" t="s">
        <v>2185</v>
      </c>
      <c r="E311" s="2414"/>
      <c r="F311" s="2423"/>
      <c r="G311" s="2424"/>
      <c r="H311" s="2424"/>
      <c r="I311" s="2430"/>
      <c r="T311" s="1507"/>
      <c r="U311" s="1521"/>
      <c r="V311" s="1522"/>
      <c r="W311" s="1522"/>
      <c r="X311" s="1508"/>
      <c r="Y311" s="1191"/>
    </row>
    <row r="312" spans="1:69" s="2444" customFormat="1" ht="13.5" customHeight="1">
      <c r="A312" s="2432">
        <v>64</v>
      </c>
      <c r="B312" s="2433" t="s">
        <v>2175</v>
      </c>
      <c r="C312" s="2434" t="s">
        <v>3538</v>
      </c>
      <c r="D312" s="2435" t="s">
        <v>3539</v>
      </c>
      <c r="E312" s="2435" t="s">
        <v>49</v>
      </c>
      <c r="F312" s="2436">
        <f>SUM(F314:F314)</f>
        <v>1</v>
      </c>
      <c r="G312" s="2437"/>
      <c r="H312" s="2437">
        <f>F312*G312</f>
        <v>0</v>
      </c>
      <c r="I312" s="2416" t="s">
        <v>111</v>
      </c>
      <c r="J312" s="2438"/>
      <c r="K312" s="2439"/>
      <c r="L312" s="2440"/>
      <c r="M312" s="2440"/>
      <c r="N312" s="2440"/>
      <c r="O312" s="2440"/>
      <c r="P312" s="2440"/>
      <c r="Q312" s="2441"/>
      <c r="R312" s="2440"/>
      <c r="S312" s="2440"/>
      <c r="T312" s="2442"/>
      <c r="U312" s="2440"/>
      <c r="V312" s="2443"/>
    </row>
    <row r="313" spans="1:69" s="2444" customFormat="1" ht="27" customHeight="1">
      <c r="A313" s="2445"/>
      <c r="B313" s="2446"/>
      <c r="C313" s="2446"/>
      <c r="D313" s="2447" t="s">
        <v>3540</v>
      </c>
      <c r="E313" s="2446"/>
      <c r="F313" s="2448"/>
      <c r="G313" s="2449"/>
      <c r="H313" s="2450"/>
      <c r="I313" s="2451"/>
      <c r="J313" s="2452"/>
      <c r="K313" s="2453"/>
      <c r="L313" s="2453"/>
      <c r="M313" s="2453"/>
      <c r="N313" s="2453"/>
      <c r="O313" s="2453"/>
      <c r="P313" s="2453"/>
      <c r="Q313" s="2453"/>
      <c r="R313" s="2453"/>
      <c r="S313" s="2453"/>
      <c r="T313" s="2453"/>
      <c r="U313" s="2453"/>
      <c r="V313" s="2442"/>
      <c r="W313" s="2453"/>
      <c r="X313" s="2454"/>
      <c r="Y313" s="2454"/>
    </row>
    <row r="314" spans="1:69" s="2444" customFormat="1" ht="13.5" customHeight="1">
      <c r="A314" s="2445"/>
      <c r="B314" s="2446"/>
      <c r="C314" s="2446"/>
      <c r="D314" s="2447" t="s">
        <v>3541</v>
      </c>
      <c r="E314" s="2446"/>
      <c r="F314" s="2448">
        <v>1</v>
      </c>
      <c r="G314" s="2449"/>
      <c r="H314" s="2450"/>
      <c r="I314" s="2451"/>
      <c r="J314" s="2455"/>
    </row>
    <row r="315" spans="1:69" s="2442" customFormat="1" ht="40.5" customHeight="1">
      <c r="A315" s="2456"/>
      <c r="B315" s="2457"/>
      <c r="C315" s="2457"/>
      <c r="D315" s="2447" t="s">
        <v>3542</v>
      </c>
      <c r="E315" s="2457"/>
      <c r="F315" s="2458"/>
      <c r="G315" s="2450"/>
      <c r="H315" s="2459"/>
      <c r="I315" s="2460"/>
      <c r="J315" s="2461"/>
      <c r="Y315" s="2454"/>
      <c r="Z315" s="2454"/>
      <c r="AA315" s="2454"/>
      <c r="AB315" s="2454"/>
      <c r="AC315" s="2454"/>
      <c r="AD315" s="2454"/>
      <c r="AE315" s="2454"/>
      <c r="AF315" s="2454"/>
      <c r="AG315" s="2454"/>
      <c r="AH315" s="2454"/>
      <c r="AI315" s="2454"/>
      <c r="AJ315" s="2454"/>
      <c r="AK315" s="2454"/>
      <c r="AL315" s="2454"/>
      <c r="AM315" s="2454"/>
      <c r="AN315" s="2454"/>
      <c r="AO315" s="2454"/>
      <c r="AP315" s="2454"/>
      <c r="AQ315" s="2454"/>
      <c r="AR315" s="2454"/>
      <c r="AS315" s="2454"/>
      <c r="AT315" s="2454"/>
      <c r="AU315" s="2454"/>
      <c r="AV315" s="2454"/>
      <c r="AW315" s="2454"/>
      <c r="AX315" s="2454"/>
      <c r="AY315" s="2454"/>
      <c r="AZ315" s="2454"/>
      <c r="BA315" s="2454"/>
      <c r="BB315" s="2454"/>
      <c r="BC315" s="2454"/>
      <c r="BD315" s="2454"/>
      <c r="BE315" s="2454"/>
      <c r="BF315" s="2454"/>
      <c r="BG315" s="2454"/>
      <c r="BH315" s="2454"/>
      <c r="BI315" s="2454"/>
      <c r="BJ315" s="2454"/>
      <c r="BK315" s="2454"/>
      <c r="BL315" s="2454"/>
      <c r="BM315" s="2454"/>
      <c r="BN315" s="2454"/>
      <c r="BO315" s="2454"/>
      <c r="BP315" s="2454"/>
      <c r="BQ315" s="2454"/>
    </row>
    <row r="316" spans="1:69" s="2442" customFormat="1" ht="27" customHeight="1">
      <c r="A316" s="2456"/>
      <c r="B316" s="2457"/>
      <c r="C316" s="2457"/>
      <c r="D316" s="2462" t="s">
        <v>3543</v>
      </c>
      <c r="E316" s="2457"/>
      <c r="F316" s="2458"/>
      <c r="G316" s="2450"/>
      <c r="H316" s="2459"/>
      <c r="I316" s="2460"/>
      <c r="J316" s="2461"/>
      <c r="Y316" s="2454"/>
      <c r="Z316" s="2454"/>
      <c r="AA316" s="2454"/>
      <c r="AB316" s="2454"/>
      <c r="AC316" s="2454"/>
      <c r="AD316" s="2454"/>
      <c r="AE316" s="2454"/>
      <c r="AF316" s="2454"/>
      <c r="AG316" s="2454"/>
      <c r="AH316" s="2454"/>
      <c r="AI316" s="2454"/>
      <c r="AJ316" s="2454"/>
      <c r="AK316" s="2454"/>
      <c r="AL316" s="2454"/>
      <c r="AM316" s="2454"/>
      <c r="AN316" s="2454"/>
      <c r="AO316" s="2454"/>
      <c r="AP316" s="2454"/>
      <c r="AQ316" s="2454"/>
      <c r="AR316" s="2454"/>
      <c r="AS316" s="2454"/>
      <c r="AT316" s="2454"/>
      <c r="AU316" s="2454"/>
      <c r="AV316" s="2454"/>
      <c r="AW316" s="2454"/>
      <c r="AX316" s="2454"/>
      <c r="AY316" s="2454"/>
      <c r="AZ316" s="2454"/>
      <c r="BA316" s="2454"/>
      <c r="BB316" s="2454"/>
      <c r="BC316" s="2454"/>
      <c r="BD316" s="2454"/>
      <c r="BE316" s="2454"/>
      <c r="BF316" s="2454"/>
      <c r="BG316" s="2454"/>
      <c r="BH316" s="2454"/>
      <c r="BI316" s="2454"/>
      <c r="BJ316" s="2454"/>
      <c r="BK316" s="2454"/>
      <c r="BL316" s="2454"/>
      <c r="BM316" s="2454"/>
      <c r="BN316" s="2454"/>
      <c r="BO316" s="2454"/>
      <c r="BP316" s="2454"/>
      <c r="BQ316" s="2454"/>
    </row>
    <row r="317" spans="1:69" s="2444" customFormat="1" ht="27" customHeight="1">
      <c r="A317" s="2432">
        <v>65</v>
      </c>
      <c r="B317" s="2433" t="s">
        <v>2175</v>
      </c>
      <c r="C317" s="2434" t="s">
        <v>3544</v>
      </c>
      <c r="D317" s="2435" t="s">
        <v>3545</v>
      </c>
      <c r="E317" s="2435" t="s">
        <v>49</v>
      </c>
      <c r="F317" s="2436">
        <f>SUM(F319:F319)</f>
        <v>1</v>
      </c>
      <c r="G317" s="2437"/>
      <c r="H317" s="2437">
        <f>F317*G317</f>
        <v>0</v>
      </c>
      <c r="I317" s="2416" t="s">
        <v>111</v>
      </c>
      <c r="J317" s="2463"/>
      <c r="K317" s="2464"/>
      <c r="L317" s="2440"/>
      <c r="M317" s="2440"/>
      <c r="N317" s="2440"/>
      <c r="O317" s="2440"/>
      <c r="P317" s="2440"/>
      <c r="Q317" s="2442"/>
      <c r="R317" s="2442"/>
      <c r="S317" s="2442"/>
      <c r="T317" s="2442"/>
      <c r="U317" s="2442"/>
      <c r="V317" s="2443"/>
      <c r="X317" s="2440"/>
      <c r="Y317" s="2440"/>
      <c r="Z317" s="2440"/>
      <c r="AA317" s="2440"/>
      <c r="AB317" s="2440"/>
    </row>
    <row r="318" spans="1:69" s="2444" customFormat="1" ht="13.5" customHeight="1">
      <c r="A318" s="2445"/>
      <c r="B318" s="2446"/>
      <c r="C318" s="2446"/>
      <c r="D318" s="2447" t="s">
        <v>3546</v>
      </c>
      <c r="E318" s="2446"/>
      <c r="F318" s="2448"/>
      <c r="G318" s="2449"/>
      <c r="H318" s="2450"/>
      <c r="I318" s="2465"/>
      <c r="J318" s="2466"/>
      <c r="K318" s="2442"/>
      <c r="L318" s="2442"/>
      <c r="M318" s="2442"/>
      <c r="N318" s="2442"/>
      <c r="O318" s="2467"/>
      <c r="P318" s="2442"/>
      <c r="Q318" s="2468"/>
      <c r="R318" s="2442"/>
      <c r="S318" s="2469"/>
      <c r="T318" s="2463"/>
      <c r="U318" s="2454"/>
      <c r="V318" s="2454"/>
      <c r="W318" s="2454"/>
      <c r="X318" s="2469"/>
      <c r="Y318" s="2469"/>
      <c r="Z318" s="2469"/>
      <c r="AA318" s="2469"/>
      <c r="AB318" s="2469"/>
    </row>
    <row r="319" spans="1:69" s="2444" customFormat="1" ht="13.5" customHeight="1">
      <c r="A319" s="2445"/>
      <c r="B319" s="2446"/>
      <c r="C319" s="2446"/>
      <c r="D319" s="2447" t="s">
        <v>3547</v>
      </c>
      <c r="E319" s="2446"/>
      <c r="F319" s="2448">
        <v>1</v>
      </c>
      <c r="G319" s="2449"/>
      <c r="H319" s="2450"/>
      <c r="I319" s="2465"/>
      <c r="J319" s="2461"/>
    </row>
    <row r="320" spans="1:69" s="2442" customFormat="1" ht="40.5" customHeight="1">
      <c r="A320" s="2456"/>
      <c r="B320" s="2457"/>
      <c r="C320" s="2457"/>
      <c r="D320" s="2447" t="s">
        <v>3548</v>
      </c>
      <c r="E320" s="2457"/>
      <c r="F320" s="2458"/>
      <c r="G320" s="2450"/>
      <c r="H320" s="2459"/>
      <c r="I320" s="2460"/>
      <c r="J320" s="2461"/>
      <c r="Y320" s="2454"/>
      <c r="Z320" s="2454"/>
      <c r="AA320" s="2454"/>
      <c r="AB320" s="2454"/>
      <c r="AC320" s="2454"/>
      <c r="AD320" s="2454"/>
      <c r="AE320" s="2454"/>
      <c r="AF320" s="2454"/>
      <c r="AG320" s="2454"/>
      <c r="AH320" s="2454"/>
      <c r="AI320" s="2454"/>
      <c r="AJ320" s="2454"/>
      <c r="AK320" s="2454"/>
      <c r="AL320" s="2454"/>
      <c r="AM320" s="2454"/>
      <c r="AN320" s="2454"/>
      <c r="AO320" s="2454"/>
      <c r="AP320" s="2454"/>
      <c r="AQ320" s="2454"/>
      <c r="AR320" s="2454"/>
      <c r="AS320" s="2454"/>
      <c r="AT320" s="2454"/>
      <c r="AU320" s="2454"/>
      <c r="AV320" s="2454"/>
      <c r="AW320" s="2454"/>
      <c r="AX320" s="2454"/>
      <c r="AY320" s="2454"/>
      <c r="AZ320" s="2454"/>
      <c r="BA320" s="2454"/>
      <c r="BB320" s="2454"/>
      <c r="BC320" s="2454"/>
      <c r="BD320" s="2454"/>
      <c r="BE320" s="2454"/>
      <c r="BF320" s="2454"/>
      <c r="BG320" s="2454"/>
      <c r="BH320" s="2454"/>
      <c r="BI320" s="2454"/>
      <c r="BJ320" s="2454"/>
      <c r="BK320" s="2454"/>
      <c r="BL320" s="2454"/>
      <c r="BM320" s="2454"/>
      <c r="BN320" s="2454"/>
      <c r="BO320" s="2454"/>
      <c r="BP320" s="2454"/>
      <c r="BQ320" s="2454"/>
    </row>
    <row r="321" spans="1:97" s="2442" customFormat="1" ht="27" customHeight="1">
      <c r="A321" s="2456"/>
      <c r="B321" s="2457"/>
      <c r="C321" s="2457"/>
      <c r="D321" s="2462" t="s">
        <v>3549</v>
      </c>
      <c r="E321" s="2457"/>
      <c r="F321" s="2458"/>
      <c r="G321" s="2450"/>
      <c r="H321" s="2459"/>
      <c r="I321" s="2460"/>
      <c r="J321" s="2461"/>
      <c r="Y321" s="2454"/>
      <c r="Z321" s="2454"/>
      <c r="AA321" s="2454"/>
      <c r="AB321" s="2454"/>
      <c r="AC321" s="2454"/>
      <c r="AD321" s="2454"/>
      <c r="AE321" s="2454"/>
      <c r="AF321" s="2454"/>
      <c r="AG321" s="2454"/>
      <c r="AH321" s="2454"/>
      <c r="AI321" s="2454"/>
      <c r="AJ321" s="2454"/>
      <c r="AK321" s="2454"/>
      <c r="AL321" s="2454"/>
      <c r="AM321" s="2454"/>
      <c r="AN321" s="2454"/>
      <c r="AO321" s="2454"/>
      <c r="AP321" s="2454"/>
      <c r="AQ321" s="2454"/>
      <c r="AR321" s="2454"/>
      <c r="AS321" s="2454"/>
      <c r="AT321" s="2454"/>
      <c r="AU321" s="2454"/>
      <c r="AV321" s="2454"/>
      <c r="AW321" s="2454"/>
      <c r="AX321" s="2454"/>
      <c r="AY321" s="2454"/>
      <c r="AZ321" s="2454"/>
      <c r="BA321" s="2454"/>
      <c r="BB321" s="2454"/>
      <c r="BC321" s="2454"/>
      <c r="BD321" s="2454"/>
      <c r="BE321" s="2454"/>
      <c r="BF321" s="2454"/>
      <c r="BG321" s="2454"/>
      <c r="BH321" s="2454"/>
      <c r="BI321" s="2454"/>
      <c r="BJ321" s="2454"/>
      <c r="BK321" s="2454"/>
      <c r="BL321" s="2454"/>
      <c r="BM321" s="2454"/>
      <c r="BN321" s="2454"/>
      <c r="BO321" s="2454"/>
      <c r="BP321" s="2454"/>
      <c r="BQ321" s="2454"/>
    </row>
    <row r="322" spans="1:97" s="2444" customFormat="1" ht="13.5" customHeight="1">
      <c r="A322" s="2470">
        <v>66</v>
      </c>
      <c r="B322" s="2434">
        <v>751</v>
      </c>
      <c r="C322" s="2434" t="s">
        <v>3550</v>
      </c>
      <c r="D322" s="2435" t="s">
        <v>1962</v>
      </c>
      <c r="E322" s="2435" t="s">
        <v>49</v>
      </c>
      <c r="F322" s="2436">
        <f>SUM(F324)</f>
        <v>1</v>
      </c>
      <c r="G322" s="2437"/>
      <c r="H322" s="2437">
        <f>F322*G322</f>
        <v>0</v>
      </c>
      <c r="I322" s="2416" t="s">
        <v>111</v>
      </c>
    </row>
    <row r="323" spans="1:97" s="2444" customFormat="1" ht="27" customHeight="1">
      <c r="A323" s="2471"/>
      <c r="B323" s="2472"/>
      <c r="C323" s="2473"/>
      <c r="D323" s="2462" t="s">
        <v>3551</v>
      </c>
      <c r="E323" s="2474"/>
      <c r="F323" s="2448"/>
      <c r="G323" s="2450"/>
      <c r="H323" s="2450"/>
      <c r="I323" s="2475"/>
    </row>
    <row r="324" spans="1:97" s="2444" customFormat="1" ht="13.5" customHeight="1">
      <c r="A324" s="2471"/>
      <c r="B324" s="2472"/>
      <c r="C324" s="2473"/>
      <c r="D324" s="2447" t="s">
        <v>1964</v>
      </c>
      <c r="E324" s="2446"/>
      <c r="F324" s="2448">
        <v>1</v>
      </c>
      <c r="G324" s="2449"/>
      <c r="H324" s="2476"/>
      <c r="I324" s="2476"/>
    </row>
    <row r="325" spans="1:97" s="2444" customFormat="1" ht="13.5" customHeight="1">
      <c r="A325" s="2470">
        <v>67</v>
      </c>
      <c r="B325" s="2434">
        <v>751</v>
      </c>
      <c r="C325" s="2434" t="s">
        <v>3552</v>
      </c>
      <c r="D325" s="2435" t="s">
        <v>2069</v>
      </c>
      <c r="E325" s="2435" t="s">
        <v>49</v>
      </c>
      <c r="F325" s="2436">
        <f>SUM(F326)</f>
        <v>1</v>
      </c>
      <c r="G325" s="2437"/>
      <c r="H325" s="2437">
        <f>F325*G325</f>
        <v>0</v>
      </c>
      <c r="I325" s="2416" t="s">
        <v>111</v>
      </c>
    </row>
    <row r="326" spans="1:97" s="2478" customFormat="1" ht="27" customHeight="1">
      <c r="A326" s="2471"/>
      <c r="B326" s="2472"/>
      <c r="C326" s="2473"/>
      <c r="D326" s="2447" t="s">
        <v>2070</v>
      </c>
      <c r="E326" s="2474"/>
      <c r="F326" s="2448">
        <v>1</v>
      </c>
      <c r="G326" s="2450"/>
      <c r="H326" s="2450"/>
      <c r="I326" s="2475"/>
      <c r="J326" s="2477"/>
      <c r="M326" s="2479"/>
    </row>
    <row r="327" spans="1:97" s="2478" customFormat="1" ht="27" customHeight="1">
      <c r="A327" s="2471"/>
      <c r="B327" s="2472"/>
      <c r="C327" s="2473"/>
      <c r="D327" s="2447" t="s">
        <v>2071</v>
      </c>
      <c r="E327" s="2474"/>
      <c r="F327" s="2448"/>
      <c r="G327" s="2450"/>
      <c r="H327" s="2450"/>
      <c r="I327" s="2475"/>
      <c r="J327" s="2477"/>
      <c r="M327" s="2479"/>
    </row>
    <row r="328" spans="1:97" s="1227" customFormat="1" ht="13.5" customHeight="1">
      <c r="A328" s="1208">
        <v>68</v>
      </c>
      <c r="B328" s="1218" t="s">
        <v>2175</v>
      </c>
      <c r="C328" s="1218">
        <v>998751201</v>
      </c>
      <c r="D328" s="1218" t="s">
        <v>2179</v>
      </c>
      <c r="E328" s="1218" t="s">
        <v>10</v>
      </c>
      <c r="F328" s="1431">
        <v>0.28999999999999998</v>
      </c>
      <c r="G328" s="1220"/>
      <c r="H328" s="2320">
        <f>F328*G328</f>
        <v>0</v>
      </c>
      <c r="I328" s="1221" t="s">
        <v>138</v>
      </c>
      <c r="J328" s="1197"/>
      <c r="K328" s="1224"/>
      <c r="L328" s="1224"/>
      <c r="M328" s="1224"/>
      <c r="N328" s="1224"/>
      <c r="O328" s="1224"/>
      <c r="P328" s="1224"/>
      <c r="Q328" s="1226"/>
      <c r="R328" s="1226"/>
      <c r="S328" s="1226"/>
      <c r="T328" s="1226"/>
      <c r="U328" s="1226"/>
      <c r="V328" s="1226"/>
      <c r="W328" s="1226"/>
      <c r="X328" s="1226"/>
      <c r="Y328" s="1226"/>
      <c r="Z328" s="1226"/>
      <c r="AA328" s="1226"/>
      <c r="AB328" s="1226"/>
      <c r="AC328" s="1226"/>
      <c r="AD328" s="1226"/>
      <c r="AE328" s="1226"/>
      <c r="AF328" s="1226"/>
      <c r="AG328" s="1226"/>
      <c r="AH328" s="1226"/>
      <c r="AI328" s="1226"/>
      <c r="AJ328" s="1226"/>
      <c r="AK328" s="1226"/>
      <c r="AL328" s="1226"/>
      <c r="AM328" s="1226"/>
      <c r="AN328" s="1226"/>
      <c r="AO328" s="1226"/>
      <c r="AP328" s="1226"/>
      <c r="AQ328" s="1226"/>
      <c r="AR328" s="1226"/>
      <c r="AS328" s="1226"/>
      <c r="AT328" s="1226"/>
      <c r="AU328" s="1226"/>
      <c r="AV328" s="1226"/>
      <c r="AW328" s="1226"/>
      <c r="AX328" s="1226"/>
      <c r="AY328" s="1226"/>
      <c r="AZ328" s="1226"/>
      <c r="BA328" s="1226"/>
      <c r="BB328" s="1226"/>
      <c r="BC328" s="1226"/>
      <c r="BD328" s="1226"/>
      <c r="BE328" s="1226"/>
      <c r="BF328" s="1226"/>
      <c r="BG328" s="1226"/>
      <c r="BH328" s="1226"/>
      <c r="BI328" s="1226"/>
      <c r="BJ328" s="1226"/>
      <c r="BK328" s="1226"/>
      <c r="BL328" s="1226"/>
      <c r="BM328" s="1226"/>
      <c r="BN328" s="1226"/>
      <c r="BO328" s="1226"/>
      <c r="BP328" s="1226"/>
      <c r="BQ328" s="1226"/>
      <c r="BR328" s="1226"/>
      <c r="BS328" s="1226"/>
      <c r="BT328" s="1226"/>
      <c r="BU328" s="1226"/>
      <c r="BV328" s="1226"/>
      <c r="BW328" s="1226"/>
      <c r="BX328" s="1226"/>
      <c r="BY328" s="1226"/>
      <c r="BZ328" s="1226"/>
      <c r="CA328" s="1226"/>
      <c r="CB328" s="1226"/>
      <c r="CC328" s="1226"/>
      <c r="CD328" s="1226"/>
      <c r="CE328" s="1226"/>
      <c r="CF328" s="1226"/>
      <c r="CG328" s="1226"/>
      <c r="CH328" s="1226"/>
      <c r="CI328" s="1226"/>
      <c r="CJ328" s="1226"/>
      <c r="CK328" s="1226"/>
      <c r="CL328" s="1226"/>
      <c r="CM328" s="1226"/>
      <c r="CN328" s="1226"/>
      <c r="CO328" s="1226"/>
      <c r="CP328" s="1226"/>
      <c r="CQ328" s="1226"/>
      <c r="CR328" s="1226"/>
      <c r="CS328" s="1226"/>
    </row>
    <row r="329" spans="1:97" s="1227" customFormat="1" ht="13.5" customHeight="1">
      <c r="A329" s="1208">
        <v>69</v>
      </c>
      <c r="B329" s="1218" t="s">
        <v>369</v>
      </c>
      <c r="C329" s="1218" t="s">
        <v>2180</v>
      </c>
      <c r="D329" s="1218" t="s">
        <v>2181</v>
      </c>
      <c r="E329" s="1218" t="s">
        <v>69</v>
      </c>
      <c r="F329" s="1431">
        <f>F330</f>
        <v>20</v>
      </c>
      <c r="G329" s="1220"/>
      <c r="H329" s="2320">
        <f>F329*G329</f>
        <v>0</v>
      </c>
      <c r="I329" s="1221" t="s">
        <v>138</v>
      </c>
      <c r="J329" s="1197"/>
      <c r="K329" s="1224"/>
      <c r="L329" s="1224"/>
      <c r="M329" s="1224"/>
      <c r="N329" s="1224"/>
      <c r="O329" s="1224"/>
      <c r="P329" s="1224"/>
      <c r="Q329" s="1226"/>
      <c r="R329" s="1226"/>
      <c r="S329" s="1226"/>
      <c r="T329" s="1226"/>
      <c r="U329" s="1226"/>
      <c r="V329" s="1226"/>
      <c r="W329" s="1226"/>
      <c r="X329" s="1226"/>
      <c r="Y329" s="1226"/>
      <c r="Z329" s="1226"/>
      <c r="AA329" s="1226"/>
      <c r="AB329" s="1226"/>
      <c r="AC329" s="1226"/>
      <c r="AD329" s="1226"/>
      <c r="AE329" s="1226"/>
      <c r="AF329" s="1226"/>
      <c r="AG329" s="1226"/>
      <c r="AH329" s="1226"/>
      <c r="AI329" s="1226"/>
      <c r="AJ329" s="1226"/>
      <c r="AK329" s="1226"/>
      <c r="AL329" s="1226"/>
      <c r="AM329" s="1226"/>
      <c r="AN329" s="1226"/>
      <c r="AO329" s="1226"/>
      <c r="AP329" s="1226"/>
      <c r="AQ329" s="1226"/>
      <c r="AR329" s="1226"/>
      <c r="AS329" s="1226"/>
      <c r="AT329" s="1226"/>
      <c r="AU329" s="1226"/>
      <c r="AV329" s="1226"/>
      <c r="AW329" s="1226"/>
      <c r="AX329" s="1226"/>
      <c r="AY329" s="1226"/>
      <c r="AZ329" s="1226"/>
      <c r="BA329" s="1226"/>
      <c r="BB329" s="1226"/>
      <c r="BC329" s="1226"/>
      <c r="BD329" s="1226"/>
      <c r="BE329" s="1226"/>
      <c r="BF329" s="1226"/>
      <c r="BG329" s="1226"/>
      <c r="BH329" s="1226"/>
      <c r="BI329" s="1226"/>
      <c r="BJ329" s="1226"/>
      <c r="BK329" s="1226"/>
      <c r="BL329" s="1226"/>
      <c r="BM329" s="1226"/>
      <c r="BN329" s="1226"/>
      <c r="BO329" s="1226"/>
      <c r="BP329" s="1226"/>
      <c r="BQ329" s="1226"/>
      <c r="BR329" s="1226"/>
      <c r="BS329" s="1226"/>
      <c r="BT329" s="1226"/>
      <c r="BU329" s="1226"/>
      <c r="BV329" s="1226"/>
      <c r="BW329" s="1226"/>
      <c r="BX329" s="1226"/>
      <c r="BY329" s="1226"/>
      <c r="BZ329" s="1226"/>
      <c r="CA329" s="1226"/>
      <c r="CB329" s="1226"/>
      <c r="CC329" s="1226"/>
      <c r="CD329" s="1226"/>
      <c r="CE329" s="1226"/>
      <c r="CF329" s="1226"/>
      <c r="CG329" s="1226"/>
      <c r="CH329" s="1226"/>
      <c r="CI329" s="1226"/>
      <c r="CJ329" s="1226"/>
      <c r="CK329" s="1226"/>
      <c r="CL329" s="1226"/>
      <c r="CM329" s="1226"/>
      <c r="CN329" s="1226"/>
      <c r="CO329" s="1226"/>
      <c r="CP329" s="1226"/>
      <c r="CQ329" s="1226"/>
      <c r="CR329" s="1226"/>
      <c r="CS329" s="1226"/>
    </row>
    <row r="330" spans="1:97" s="1226" customFormat="1" ht="13.5" customHeight="1">
      <c r="A330" s="2393"/>
      <c r="B330" s="2394"/>
      <c r="C330" s="2394"/>
      <c r="D330" s="2364" t="s">
        <v>2182</v>
      </c>
      <c r="E330" s="2394"/>
      <c r="F330" s="2398">
        <v>20</v>
      </c>
      <c r="G330" s="2396"/>
      <c r="H330" s="2396"/>
      <c r="I330" s="2397"/>
      <c r="M330" s="1553"/>
      <c r="N330" s="1469"/>
      <c r="O330" s="1469"/>
      <c r="P330" s="1469"/>
      <c r="Q330" s="1469"/>
      <c r="R330" s="1469"/>
      <c r="S330" s="1469"/>
      <c r="T330" s="1469"/>
      <c r="U330" s="1469"/>
      <c r="V330" s="1469"/>
      <c r="W330" s="1469"/>
    </row>
    <row r="331" spans="1:97" s="1226" customFormat="1" ht="27" customHeight="1">
      <c r="A331" s="2393"/>
      <c r="B331" s="2394"/>
      <c r="C331" s="2394"/>
      <c r="D331" s="2411" t="s">
        <v>2183</v>
      </c>
      <c r="E331" s="2394"/>
      <c r="F331" s="2409"/>
      <c r="G331" s="2396"/>
      <c r="H331" s="2396"/>
      <c r="I331" s="2397"/>
      <c r="M331" s="1553"/>
      <c r="N331" s="1469"/>
      <c r="O331" s="1469"/>
      <c r="P331" s="1469"/>
      <c r="Q331" s="1469"/>
      <c r="R331" s="1469"/>
      <c r="S331" s="1469"/>
      <c r="T331" s="1469"/>
      <c r="U331" s="1469"/>
      <c r="V331" s="1469"/>
      <c r="W331" s="1469"/>
    </row>
    <row r="332" spans="1:97" s="1191" customFormat="1" ht="13.5" customHeight="1">
      <c r="A332" s="2388"/>
      <c r="B332" s="2389"/>
      <c r="C332" s="2389">
        <v>751</v>
      </c>
      <c r="D332" s="2389" t="s">
        <v>2186</v>
      </c>
      <c r="E332" s="2389"/>
      <c r="F332" s="2412"/>
      <c r="G332" s="2391"/>
      <c r="H332" s="2391">
        <f>SUM(H333:H339)</f>
        <v>0</v>
      </c>
      <c r="I332" s="2392"/>
      <c r="J332" s="2397"/>
      <c r="K332" s="1569"/>
      <c r="L332" s="1469"/>
      <c r="M332" s="1469"/>
      <c r="N332" s="1469"/>
      <c r="O332" s="1469"/>
      <c r="P332" s="1469"/>
      <c r="Q332" s="1469"/>
      <c r="R332" s="1469"/>
      <c r="S332" s="1469"/>
      <c r="T332" s="1469"/>
      <c r="U332" s="1469"/>
      <c r="V332" s="1469"/>
      <c r="W332" s="1469"/>
    </row>
    <row r="333" spans="1:97" s="1226" customFormat="1" ht="13.5" customHeight="1">
      <c r="A333" s="2393">
        <v>70</v>
      </c>
      <c r="B333" s="2394">
        <v>751</v>
      </c>
      <c r="C333" s="2394" t="s">
        <v>2187</v>
      </c>
      <c r="D333" s="2394" t="s">
        <v>2188</v>
      </c>
      <c r="E333" s="2394" t="s">
        <v>49</v>
      </c>
      <c r="F333" s="2480">
        <f>F334*1</f>
        <v>1</v>
      </c>
      <c r="G333" s="2396"/>
      <c r="H333" s="2396">
        <f>F333*G333</f>
        <v>0</v>
      </c>
      <c r="I333" s="2397" t="s">
        <v>112</v>
      </c>
      <c r="J333" s="1469"/>
      <c r="K333" s="1569"/>
      <c r="L333" s="1469"/>
      <c r="M333" s="1570"/>
      <c r="N333" s="1469"/>
      <c r="O333" s="1469"/>
      <c r="P333" s="1469"/>
      <c r="Q333" s="1469"/>
      <c r="R333" s="1469"/>
      <c r="S333" s="1469"/>
      <c r="T333" s="1469"/>
      <c r="U333" s="1469"/>
      <c r="V333" s="1469"/>
      <c r="W333" s="1469"/>
    </row>
    <row r="334" spans="1:97" s="1226" customFormat="1" ht="13.5" customHeight="1">
      <c r="A334" s="2393"/>
      <c r="B334" s="2394"/>
      <c r="C334" s="2394"/>
      <c r="D334" s="2364" t="s">
        <v>2189</v>
      </c>
      <c r="E334" s="2394"/>
      <c r="F334" s="2481">
        <v>1</v>
      </c>
      <c r="G334" s="2396"/>
      <c r="H334" s="2396"/>
      <c r="I334" s="2397"/>
      <c r="J334" s="2482"/>
      <c r="K334" s="1569"/>
      <c r="L334" s="1469"/>
      <c r="M334" s="1570"/>
      <c r="N334" s="1469"/>
      <c r="O334" s="1469"/>
      <c r="P334" s="1469"/>
      <c r="Q334" s="1469"/>
      <c r="R334" s="1469"/>
      <c r="S334" s="1469"/>
      <c r="T334" s="1469"/>
      <c r="U334" s="1469"/>
      <c r="V334" s="1469"/>
      <c r="W334" s="1469"/>
    </row>
    <row r="335" spans="1:97" s="1226" customFormat="1" ht="55.5" customHeight="1">
      <c r="A335" s="2393"/>
      <c r="B335" s="2394"/>
      <c r="C335" s="2394"/>
      <c r="D335" s="2399" t="s">
        <v>2190</v>
      </c>
      <c r="E335" s="2394"/>
      <c r="F335" s="2483"/>
      <c r="G335" s="2396"/>
      <c r="H335" s="2396"/>
      <c r="I335" s="2397"/>
      <c r="J335" s="1568"/>
      <c r="K335" s="1427"/>
      <c r="M335" s="1553"/>
      <c r="N335" s="1469"/>
      <c r="O335" s="1469"/>
      <c r="P335" s="1469"/>
      <c r="Q335" s="1469"/>
      <c r="R335" s="1469"/>
      <c r="S335" s="1469"/>
      <c r="T335" s="1469"/>
      <c r="U335" s="1469"/>
      <c r="V335" s="1469"/>
      <c r="W335" s="1469"/>
    </row>
    <row r="336" spans="1:97" s="1227" customFormat="1" ht="13.5" customHeight="1">
      <c r="A336" s="1208">
        <v>71</v>
      </c>
      <c r="B336" s="1218" t="s">
        <v>2175</v>
      </c>
      <c r="C336" s="1218">
        <v>998751201</v>
      </c>
      <c r="D336" s="1218" t="s">
        <v>2179</v>
      </c>
      <c r="E336" s="1218" t="s">
        <v>10</v>
      </c>
      <c r="F336" s="1431">
        <v>0.28999999999999998</v>
      </c>
      <c r="G336" s="1220"/>
      <c r="H336" s="2320">
        <f>F336*G336</f>
        <v>0</v>
      </c>
      <c r="I336" s="1221" t="s">
        <v>138</v>
      </c>
      <c r="J336" s="1197"/>
      <c r="K336" s="1224"/>
      <c r="L336" s="1224"/>
      <c r="M336" s="1224"/>
      <c r="N336" s="1224"/>
      <c r="O336" s="1224"/>
      <c r="P336" s="1224"/>
      <c r="Q336" s="1226"/>
      <c r="R336" s="1226"/>
      <c r="S336" s="1226"/>
      <c r="T336" s="1226"/>
      <c r="U336" s="1226"/>
      <c r="V336" s="1226"/>
      <c r="W336" s="1226"/>
      <c r="X336" s="1226"/>
      <c r="Y336" s="1226"/>
      <c r="Z336" s="1226"/>
      <c r="AA336" s="1226"/>
      <c r="AB336" s="1226"/>
      <c r="AC336" s="1226"/>
      <c r="AD336" s="1226"/>
      <c r="AE336" s="1226"/>
      <c r="AF336" s="1226"/>
      <c r="AG336" s="1226"/>
      <c r="AH336" s="1226"/>
      <c r="AI336" s="1226"/>
      <c r="AJ336" s="1226"/>
      <c r="AK336" s="1226"/>
      <c r="AL336" s="1226"/>
      <c r="AM336" s="1226"/>
      <c r="AN336" s="1226"/>
      <c r="AO336" s="1226"/>
      <c r="AP336" s="1226"/>
      <c r="AQ336" s="1226"/>
      <c r="AR336" s="1226"/>
      <c r="AS336" s="1226"/>
      <c r="AT336" s="1226"/>
      <c r="AU336" s="1226"/>
      <c r="AV336" s="1226"/>
      <c r="AW336" s="1226"/>
      <c r="AX336" s="1226"/>
      <c r="AY336" s="1226"/>
      <c r="AZ336" s="1226"/>
      <c r="BA336" s="1226"/>
      <c r="BB336" s="1226"/>
      <c r="BC336" s="1226"/>
      <c r="BD336" s="1226"/>
      <c r="BE336" s="1226"/>
      <c r="BF336" s="1226"/>
      <c r="BG336" s="1226"/>
      <c r="BH336" s="1226"/>
      <c r="BI336" s="1226"/>
      <c r="BJ336" s="1226"/>
      <c r="BK336" s="1226"/>
      <c r="BL336" s="1226"/>
      <c r="BM336" s="1226"/>
      <c r="BN336" s="1226"/>
      <c r="BO336" s="1226"/>
      <c r="BP336" s="1226"/>
      <c r="BQ336" s="1226"/>
      <c r="BR336" s="1226"/>
      <c r="BS336" s="1226"/>
      <c r="BT336" s="1226"/>
      <c r="BU336" s="1226"/>
      <c r="BV336" s="1226"/>
      <c r="BW336" s="1226"/>
      <c r="BX336" s="1226"/>
      <c r="BY336" s="1226"/>
      <c r="BZ336" s="1226"/>
      <c r="CA336" s="1226"/>
      <c r="CB336" s="1226"/>
      <c r="CC336" s="1226"/>
      <c r="CD336" s="1226"/>
      <c r="CE336" s="1226"/>
      <c r="CF336" s="1226"/>
      <c r="CG336" s="1226"/>
      <c r="CH336" s="1226"/>
      <c r="CI336" s="1226"/>
      <c r="CJ336" s="1226"/>
      <c r="CK336" s="1226"/>
      <c r="CL336" s="1226"/>
      <c r="CM336" s="1226"/>
      <c r="CN336" s="1226"/>
      <c r="CO336" s="1226"/>
      <c r="CP336" s="1226"/>
      <c r="CQ336" s="1226"/>
      <c r="CR336" s="1226"/>
      <c r="CS336" s="1226"/>
    </row>
    <row r="337" spans="1:97" s="1227" customFormat="1" ht="13.5" customHeight="1">
      <c r="A337" s="1208">
        <v>72</v>
      </c>
      <c r="B337" s="1218" t="s">
        <v>369</v>
      </c>
      <c r="C337" s="1218" t="s">
        <v>2180</v>
      </c>
      <c r="D337" s="1218" t="s">
        <v>2181</v>
      </c>
      <c r="E337" s="1218" t="s">
        <v>69</v>
      </c>
      <c r="F337" s="1431">
        <f>F338</f>
        <v>30</v>
      </c>
      <c r="G337" s="1220"/>
      <c r="H337" s="2320">
        <f>F337*G337</f>
        <v>0</v>
      </c>
      <c r="I337" s="1221" t="s">
        <v>138</v>
      </c>
      <c r="J337" s="1197"/>
      <c r="K337" s="1224"/>
      <c r="L337" s="1224"/>
      <c r="M337" s="1224"/>
      <c r="N337" s="1224"/>
      <c r="O337" s="1224"/>
      <c r="P337" s="1224"/>
      <c r="Q337" s="1226"/>
      <c r="R337" s="1226"/>
      <c r="S337" s="1226"/>
      <c r="T337" s="1226"/>
      <c r="U337" s="1226"/>
      <c r="V337" s="1226"/>
      <c r="W337" s="1226"/>
      <c r="X337" s="1226"/>
      <c r="Y337" s="1226"/>
      <c r="Z337" s="1226"/>
      <c r="AA337" s="1226"/>
      <c r="AB337" s="1226"/>
      <c r="AC337" s="1226"/>
      <c r="AD337" s="1226"/>
      <c r="AE337" s="1226"/>
      <c r="AF337" s="1226"/>
      <c r="AG337" s="1226"/>
      <c r="AH337" s="1226"/>
      <c r="AI337" s="1226"/>
      <c r="AJ337" s="1226"/>
      <c r="AK337" s="1226"/>
      <c r="AL337" s="1226"/>
      <c r="AM337" s="1226"/>
      <c r="AN337" s="1226"/>
      <c r="AO337" s="1226"/>
      <c r="AP337" s="1226"/>
      <c r="AQ337" s="1226"/>
      <c r="AR337" s="1226"/>
      <c r="AS337" s="1226"/>
      <c r="AT337" s="1226"/>
      <c r="AU337" s="1226"/>
      <c r="AV337" s="1226"/>
      <c r="AW337" s="1226"/>
      <c r="AX337" s="1226"/>
      <c r="AY337" s="1226"/>
      <c r="AZ337" s="1226"/>
      <c r="BA337" s="1226"/>
      <c r="BB337" s="1226"/>
      <c r="BC337" s="1226"/>
      <c r="BD337" s="1226"/>
      <c r="BE337" s="1226"/>
      <c r="BF337" s="1226"/>
      <c r="BG337" s="1226"/>
      <c r="BH337" s="1226"/>
      <c r="BI337" s="1226"/>
      <c r="BJ337" s="1226"/>
      <c r="BK337" s="1226"/>
      <c r="BL337" s="1226"/>
      <c r="BM337" s="1226"/>
      <c r="BN337" s="1226"/>
      <c r="BO337" s="1226"/>
      <c r="BP337" s="1226"/>
      <c r="BQ337" s="1226"/>
      <c r="BR337" s="1226"/>
      <c r="BS337" s="1226"/>
      <c r="BT337" s="1226"/>
      <c r="BU337" s="1226"/>
      <c r="BV337" s="1226"/>
      <c r="BW337" s="1226"/>
      <c r="BX337" s="1226"/>
      <c r="BY337" s="1226"/>
      <c r="BZ337" s="1226"/>
      <c r="CA337" s="1226"/>
      <c r="CB337" s="1226"/>
      <c r="CC337" s="1226"/>
      <c r="CD337" s="1226"/>
      <c r="CE337" s="1226"/>
      <c r="CF337" s="1226"/>
      <c r="CG337" s="1226"/>
      <c r="CH337" s="1226"/>
      <c r="CI337" s="1226"/>
      <c r="CJ337" s="1226"/>
      <c r="CK337" s="1226"/>
      <c r="CL337" s="1226"/>
      <c r="CM337" s="1226"/>
      <c r="CN337" s="1226"/>
      <c r="CO337" s="1226"/>
      <c r="CP337" s="1226"/>
      <c r="CQ337" s="1226"/>
      <c r="CR337" s="1226"/>
      <c r="CS337" s="1226"/>
    </row>
    <row r="338" spans="1:97" s="1226" customFormat="1" ht="13.5" customHeight="1">
      <c r="A338" s="2393"/>
      <c r="B338" s="2394"/>
      <c r="C338" s="2394"/>
      <c r="D338" s="2364" t="s">
        <v>2182</v>
      </c>
      <c r="E338" s="2394"/>
      <c r="F338" s="2398">
        <v>30</v>
      </c>
      <c r="G338" s="2396"/>
      <c r="H338" s="2396"/>
      <c r="I338" s="2397"/>
      <c r="J338" s="1560"/>
      <c r="K338" s="1562"/>
    </row>
    <row r="339" spans="1:97" s="1226" customFormat="1" ht="27" customHeight="1">
      <c r="A339" s="2393"/>
      <c r="B339" s="2394"/>
      <c r="C339" s="2394"/>
      <c r="D339" s="2411" t="s">
        <v>2183</v>
      </c>
      <c r="E339" s="2394"/>
      <c r="F339" s="2409"/>
      <c r="G339" s="2396"/>
      <c r="H339" s="2396"/>
      <c r="I339" s="2397"/>
      <c r="M339" s="1553"/>
      <c r="N339" s="1469"/>
      <c r="O339" s="1469"/>
      <c r="P339" s="1469"/>
      <c r="Q339" s="1469"/>
      <c r="R339" s="1469"/>
      <c r="S339" s="1469"/>
      <c r="T339" s="1469"/>
      <c r="U339" s="1469"/>
      <c r="V339" s="1469"/>
      <c r="W339" s="1469"/>
    </row>
    <row r="340" spans="1:97" s="1191" customFormat="1" ht="13.5" customHeight="1">
      <c r="A340" s="2388"/>
      <c r="B340" s="2389"/>
      <c r="C340" s="2389">
        <v>751</v>
      </c>
      <c r="D340" s="2389" t="s">
        <v>2191</v>
      </c>
      <c r="E340" s="2389"/>
      <c r="F340" s="2412"/>
      <c r="G340" s="2391"/>
      <c r="H340" s="2391">
        <f>SUM(H341:H352)</f>
        <v>0</v>
      </c>
      <c r="I340" s="2392"/>
      <c r="M340" s="1553"/>
      <c r="N340" s="1469"/>
      <c r="O340" s="1469"/>
      <c r="P340" s="1469"/>
      <c r="Q340" s="1469"/>
      <c r="R340" s="1469"/>
      <c r="S340" s="1469"/>
      <c r="T340" s="1469"/>
      <c r="U340" s="1469"/>
      <c r="V340" s="1469"/>
      <c r="W340" s="1469"/>
    </row>
    <row r="341" spans="1:97" s="1227" customFormat="1" ht="13.5" customHeight="1">
      <c r="A341" s="1208">
        <v>73</v>
      </c>
      <c r="B341" s="1218" t="s">
        <v>2175</v>
      </c>
      <c r="C341" s="1218" t="s">
        <v>2192</v>
      </c>
      <c r="D341" s="1218" t="s">
        <v>2193</v>
      </c>
      <c r="E341" s="1218" t="s">
        <v>49</v>
      </c>
      <c r="F341" s="1431">
        <v>1</v>
      </c>
      <c r="G341" s="1220"/>
      <c r="H341" s="2320">
        <f>F341*G341</f>
        <v>0</v>
      </c>
      <c r="I341" s="1221" t="s">
        <v>112</v>
      </c>
      <c r="J341" s="1197"/>
      <c r="K341" s="1224"/>
      <c r="L341" s="1224"/>
      <c r="M341" s="1224"/>
      <c r="N341" s="1224"/>
      <c r="O341" s="1224"/>
      <c r="P341" s="1224"/>
      <c r="Q341" s="1226"/>
      <c r="R341" s="1226"/>
      <c r="S341" s="1226"/>
      <c r="T341" s="1226"/>
      <c r="U341" s="1226"/>
      <c r="V341" s="1226"/>
      <c r="W341" s="1226"/>
      <c r="X341" s="1226"/>
      <c r="Y341" s="1226"/>
      <c r="Z341" s="1226"/>
      <c r="AA341" s="1226"/>
      <c r="AB341" s="1226"/>
      <c r="AC341" s="1226"/>
      <c r="AD341" s="1226"/>
      <c r="AE341" s="1226"/>
      <c r="AF341" s="1226"/>
      <c r="AG341" s="1226"/>
      <c r="AH341" s="1226"/>
      <c r="AI341" s="1226"/>
      <c r="AJ341" s="1226"/>
      <c r="AK341" s="1226"/>
      <c r="AL341" s="1226"/>
      <c r="AM341" s="1226"/>
      <c r="AN341" s="1226"/>
      <c r="AO341" s="1226"/>
      <c r="AP341" s="1226"/>
      <c r="AQ341" s="1226"/>
      <c r="AR341" s="1226"/>
      <c r="AS341" s="1226"/>
      <c r="AT341" s="1226"/>
      <c r="AU341" s="1226"/>
      <c r="AV341" s="1226"/>
      <c r="AW341" s="1226"/>
      <c r="AX341" s="1226"/>
      <c r="AY341" s="1226"/>
      <c r="AZ341" s="1226"/>
      <c r="BA341" s="1226"/>
      <c r="BB341" s="1226"/>
      <c r="BC341" s="1226"/>
      <c r="BD341" s="1226"/>
      <c r="BE341" s="1226"/>
      <c r="BF341" s="1226"/>
      <c r="BG341" s="1226"/>
      <c r="BH341" s="1226"/>
      <c r="BI341" s="1226"/>
      <c r="BJ341" s="1226"/>
      <c r="BK341" s="1226"/>
      <c r="BL341" s="1226"/>
      <c r="BM341" s="1226"/>
      <c r="BN341" s="1226"/>
      <c r="BO341" s="1226"/>
      <c r="BP341" s="1226"/>
      <c r="BQ341" s="1226"/>
      <c r="BR341" s="1226"/>
      <c r="BS341" s="1226"/>
      <c r="BT341" s="1226"/>
      <c r="BU341" s="1226"/>
      <c r="BV341" s="1226"/>
      <c r="BW341" s="1226"/>
      <c r="BX341" s="1226"/>
      <c r="BY341" s="1226"/>
      <c r="BZ341" s="1226"/>
      <c r="CA341" s="1226"/>
      <c r="CB341" s="1226"/>
      <c r="CC341" s="1226"/>
      <c r="CD341" s="1226"/>
      <c r="CE341" s="1226"/>
      <c r="CF341" s="1226"/>
      <c r="CG341" s="1226"/>
      <c r="CH341" s="1226"/>
      <c r="CI341" s="1226"/>
      <c r="CJ341" s="1226"/>
      <c r="CK341" s="1226"/>
      <c r="CL341" s="1226"/>
      <c r="CM341" s="1226"/>
      <c r="CN341" s="1226"/>
      <c r="CO341" s="1226"/>
      <c r="CP341" s="1226"/>
      <c r="CQ341" s="1226"/>
      <c r="CR341" s="1226"/>
      <c r="CS341" s="1226"/>
    </row>
    <row r="342" spans="1:97" s="1226" customFormat="1" ht="13.5" customHeight="1">
      <c r="A342" s="2393"/>
      <c r="B342" s="2394"/>
      <c r="C342" s="2394"/>
      <c r="D342" s="2364" t="s">
        <v>2067</v>
      </c>
      <c r="E342" s="2394"/>
      <c r="F342" s="2398">
        <v>1</v>
      </c>
      <c r="G342" s="2396"/>
      <c r="H342" s="2396"/>
      <c r="I342" s="2397"/>
      <c r="J342" s="1560"/>
      <c r="K342" s="1562"/>
    </row>
    <row r="343" spans="1:97" s="1227" customFormat="1" ht="13.5" customHeight="1">
      <c r="A343" s="1208">
        <v>74</v>
      </c>
      <c r="B343" s="1218" t="s">
        <v>2175</v>
      </c>
      <c r="C343" s="1218" t="s">
        <v>2194</v>
      </c>
      <c r="D343" s="1218" t="s">
        <v>2195</v>
      </c>
      <c r="E343" s="1218" t="s">
        <v>49</v>
      </c>
      <c r="F343" s="1431">
        <f>F344</f>
        <v>1</v>
      </c>
      <c r="G343" s="1220"/>
      <c r="H343" s="2320">
        <f>F343*G343</f>
        <v>0</v>
      </c>
      <c r="I343" s="1221" t="s">
        <v>112</v>
      </c>
      <c r="J343" s="1197"/>
      <c r="K343" s="1224"/>
      <c r="L343" s="1224"/>
      <c r="M343" s="1224"/>
      <c r="N343" s="1224"/>
      <c r="O343" s="1224"/>
      <c r="P343" s="1224"/>
      <c r="Q343" s="1226"/>
      <c r="R343" s="1226"/>
      <c r="S343" s="1226"/>
      <c r="T343" s="1226"/>
      <c r="U343" s="1226"/>
      <c r="V343" s="1226"/>
      <c r="W343" s="1226"/>
      <c r="X343" s="1226"/>
      <c r="Y343" s="1226"/>
      <c r="Z343" s="1226"/>
      <c r="AA343" s="1226"/>
      <c r="AB343" s="1226"/>
      <c r="AC343" s="1226"/>
      <c r="AD343" s="1226"/>
      <c r="AE343" s="1226"/>
      <c r="AF343" s="1226"/>
      <c r="AG343" s="1226"/>
      <c r="AH343" s="1226"/>
      <c r="AI343" s="1226"/>
      <c r="AJ343" s="1226"/>
      <c r="AK343" s="1226"/>
      <c r="AL343" s="1226"/>
      <c r="AM343" s="1226"/>
      <c r="AN343" s="1226"/>
      <c r="AO343" s="1226"/>
      <c r="AP343" s="1226"/>
      <c r="AQ343" s="1226"/>
      <c r="AR343" s="1226"/>
      <c r="AS343" s="1226"/>
      <c r="AT343" s="1226"/>
      <c r="AU343" s="1226"/>
      <c r="AV343" s="1226"/>
      <c r="AW343" s="1226"/>
      <c r="AX343" s="1226"/>
      <c r="AY343" s="1226"/>
      <c r="AZ343" s="1226"/>
      <c r="BA343" s="1226"/>
      <c r="BB343" s="1226"/>
      <c r="BC343" s="1226"/>
      <c r="BD343" s="1226"/>
      <c r="BE343" s="1226"/>
      <c r="BF343" s="1226"/>
      <c r="BG343" s="1226"/>
      <c r="BH343" s="1226"/>
      <c r="BI343" s="1226"/>
      <c r="BJ343" s="1226"/>
      <c r="BK343" s="1226"/>
      <c r="BL343" s="1226"/>
      <c r="BM343" s="1226"/>
      <c r="BN343" s="1226"/>
      <c r="BO343" s="1226"/>
      <c r="BP343" s="1226"/>
      <c r="BQ343" s="1226"/>
      <c r="BR343" s="1226"/>
      <c r="BS343" s="1226"/>
      <c r="BT343" s="1226"/>
      <c r="BU343" s="1226"/>
      <c r="BV343" s="1226"/>
      <c r="BW343" s="1226"/>
      <c r="BX343" s="1226"/>
      <c r="BY343" s="1226"/>
      <c r="BZ343" s="1226"/>
      <c r="CA343" s="1226"/>
      <c r="CB343" s="1226"/>
      <c r="CC343" s="1226"/>
      <c r="CD343" s="1226"/>
      <c r="CE343" s="1226"/>
      <c r="CF343" s="1226"/>
      <c r="CG343" s="1226"/>
      <c r="CH343" s="1226"/>
      <c r="CI343" s="1226"/>
      <c r="CJ343" s="1226"/>
      <c r="CK343" s="1226"/>
      <c r="CL343" s="1226"/>
      <c r="CM343" s="1226"/>
      <c r="CN343" s="1226"/>
      <c r="CO343" s="1226"/>
      <c r="CP343" s="1226"/>
      <c r="CQ343" s="1226"/>
      <c r="CR343" s="1226"/>
      <c r="CS343" s="1226"/>
    </row>
    <row r="344" spans="1:97" s="1226" customFormat="1" ht="13.5" customHeight="1">
      <c r="A344" s="2393"/>
      <c r="B344" s="2394"/>
      <c r="C344" s="2394"/>
      <c r="D344" s="2364" t="s">
        <v>2196</v>
      </c>
      <c r="E344" s="2394"/>
      <c r="F344" s="2398">
        <v>1</v>
      </c>
      <c r="G344" s="2396"/>
      <c r="H344" s="2396"/>
      <c r="I344" s="2397"/>
      <c r="J344" s="1560"/>
      <c r="K344" s="1562"/>
    </row>
    <row r="345" spans="1:97" s="1226" customFormat="1" ht="13.5" customHeight="1">
      <c r="A345" s="2393"/>
      <c r="B345" s="2394"/>
      <c r="C345" s="2394"/>
      <c r="D345" s="2364" t="s">
        <v>2197</v>
      </c>
      <c r="E345" s="2394"/>
      <c r="F345" s="2398"/>
      <c r="G345" s="2396"/>
      <c r="H345" s="2396"/>
      <c r="I345" s="2397"/>
      <c r="J345" s="1560"/>
      <c r="K345" s="1562"/>
    </row>
    <row r="346" spans="1:97" s="1226" customFormat="1" ht="13.5" customHeight="1">
      <c r="A346" s="2393"/>
      <c r="B346" s="2394"/>
      <c r="C346" s="2394"/>
      <c r="D346" s="2364" t="s">
        <v>2198</v>
      </c>
      <c r="E346" s="2394"/>
      <c r="F346" s="2398"/>
      <c r="G346" s="2396"/>
      <c r="H346" s="2396"/>
      <c r="I346" s="2397"/>
      <c r="J346" s="1560"/>
      <c r="K346" s="1562"/>
    </row>
    <row r="347" spans="1:97" s="1226" customFormat="1" ht="13.5" customHeight="1">
      <c r="A347" s="2393"/>
      <c r="B347" s="2394"/>
      <c r="C347" s="2394"/>
      <c r="D347" s="2364" t="s">
        <v>2199</v>
      </c>
      <c r="E347" s="2394"/>
      <c r="F347" s="2398"/>
      <c r="G347" s="2396"/>
      <c r="H347" s="2396"/>
      <c r="I347" s="2397"/>
      <c r="J347" s="1560"/>
      <c r="K347" s="1562"/>
    </row>
    <row r="348" spans="1:97" s="1226" customFormat="1" ht="13.5" customHeight="1">
      <c r="A348" s="2393"/>
      <c r="B348" s="2394"/>
      <c r="C348" s="2394"/>
      <c r="D348" s="2364" t="s">
        <v>2200</v>
      </c>
      <c r="E348" s="2394"/>
      <c r="F348" s="2398"/>
      <c r="G348" s="2396"/>
      <c r="H348" s="2396"/>
      <c r="I348" s="2397"/>
      <c r="J348" s="1560"/>
      <c r="K348" s="1562"/>
    </row>
    <row r="349" spans="1:97" s="1227" customFormat="1" ht="13.5" customHeight="1">
      <c r="A349" s="1208">
        <v>75</v>
      </c>
      <c r="B349" s="1218" t="s">
        <v>2175</v>
      </c>
      <c r="C349" s="1218">
        <v>998751201</v>
      </c>
      <c r="D349" s="1218" t="s">
        <v>2179</v>
      </c>
      <c r="E349" s="1218" t="s">
        <v>10</v>
      </c>
      <c r="F349" s="1431">
        <v>0.28999999999999998</v>
      </c>
      <c r="G349" s="1220"/>
      <c r="H349" s="2320">
        <f>F349*G349</f>
        <v>0</v>
      </c>
      <c r="I349" s="1221" t="s">
        <v>138</v>
      </c>
      <c r="J349" s="1197"/>
      <c r="K349" s="1224"/>
      <c r="L349" s="1224"/>
      <c r="M349" s="1224"/>
      <c r="N349" s="1224"/>
      <c r="O349" s="1224"/>
      <c r="P349" s="1224"/>
      <c r="Q349" s="1226"/>
      <c r="R349" s="1226"/>
      <c r="S349" s="1226"/>
      <c r="T349" s="1226"/>
      <c r="U349" s="1226"/>
      <c r="V349" s="1226"/>
      <c r="W349" s="1226"/>
      <c r="X349" s="1226"/>
      <c r="Y349" s="1226"/>
      <c r="Z349" s="1226"/>
      <c r="AA349" s="1226"/>
      <c r="AB349" s="1226"/>
      <c r="AC349" s="1226"/>
      <c r="AD349" s="1226"/>
      <c r="AE349" s="1226"/>
      <c r="AF349" s="1226"/>
      <c r="AG349" s="1226"/>
      <c r="AH349" s="1226"/>
      <c r="AI349" s="1226"/>
      <c r="AJ349" s="1226"/>
      <c r="AK349" s="1226"/>
      <c r="AL349" s="1226"/>
      <c r="AM349" s="1226"/>
      <c r="AN349" s="1226"/>
      <c r="AO349" s="1226"/>
      <c r="AP349" s="1226"/>
      <c r="AQ349" s="1226"/>
      <c r="AR349" s="1226"/>
      <c r="AS349" s="1226"/>
      <c r="AT349" s="1226"/>
      <c r="AU349" s="1226"/>
      <c r="AV349" s="1226"/>
      <c r="AW349" s="1226"/>
      <c r="AX349" s="1226"/>
      <c r="AY349" s="1226"/>
      <c r="AZ349" s="1226"/>
      <c r="BA349" s="1226"/>
      <c r="BB349" s="1226"/>
      <c r="BC349" s="1226"/>
      <c r="BD349" s="1226"/>
      <c r="BE349" s="1226"/>
      <c r="BF349" s="1226"/>
      <c r="BG349" s="1226"/>
      <c r="BH349" s="1226"/>
      <c r="BI349" s="1226"/>
      <c r="BJ349" s="1226"/>
      <c r="BK349" s="1226"/>
      <c r="BL349" s="1226"/>
      <c r="BM349" s="1226"/>
      <c r="BN349" s="1226"/>
      <c r="BO349" s="1226"/>
      <c r="BP349" s="1226"/>
      <c r="BQ349" s="1226"/>
      <c r="BR349" s="1226"/>
      <c r="BS349" s="1226"/>
      <c r="BT349" s="1226"/>
      <c r="BU349" s="1226"/>
      <c r="BV349" s="1226"/>
      <c r="BW349" s="1226"/>
      <c r="BX349" s="1226"/>
      <c r="BY349" s="1226"/>
      <c r="BZ349" s="1226"/>
      <c r="CA349" s="1226"/>
      <c r="CB349" s="1226"/>
      <c r="CC349" s="1226"/>
      <c r="CD349" s="1226"/>
      <c r="CE349" s="1226"/>
      <c r="CF349" s="1226"/>
      <c r="CG349" s="1226"/>
      <c r="CH349" s="1226"/>
      <c r="CI349" s="1226"/>
      <c r="CJ349" s="1226"/>
      <c r="CK349" s="1226"/>
      <c r="CL349" s="1226"/>
      <c r="CM349" s="1226"/>
      <c r="CN349" s="1226"/>
      <c r="CO349" s="1226"/>
      <c r="CP349" s="1226"/>
      <c r="CQ349" s="1226"/>
      <c r="CR349" s="1226"/>
      <c r="CS349" s="1226"/>
    </row>
    <row r="350" spans="1:97" s="1227" customFormat="1" ht="13.5" customHeight="1">
      <c r="A350" s="1208">
        <v>76</v>
      </c>
      <c r="B350" s="1218" t="s">
        <v>369</v>
      </c>
      <c r="C350" s="1218" t="s">
        <v>2180</v>
      </c>
      <c r="D350" s="1218" t="s">
        <v>2181</v>
      </c>
      <c r="E350" s="1218" t="s">
        <v>69</v>
      </c>
      <c r="F350" s="1431">
        <f>F351</f>
        <v>15</v>
      </c>
      <c r="G350" s="1220"/>
      <c r="H350" s="2320">
        <f>F350*G350</f>
        <v>0</v>
      </c>
      <c r="I350" s="1221" t="s">
        <v>138</v>
      </c>
      <c r="J350" s="1197"/>
      <c r="K350" s="1224"/>
      <c r="L350" s="1224"/>
      <c r="M350" s="1224"/>
      <c r="N350" s="1224"/>
      <c r="O350" s="1224"/>
      <c r="P350" s="1224"/>
      <c r="Q350" s="1226"/>
      <c r="R350" s="1226"/>
      <c r="S350" s="1226"/>
      <c r="T350" s="1226"/>
      <c r="U350" s="1226"/>
      <c r="V350" s="1226"/>
      <c r="W350" s="1226"/>
      <c r="X350" s="1226"/>
      <c r="Y350" s="1226"/>
      <c r="Z350" s="1226"/>
      <c r="AA350" s="1226"/>
      <c r="AB350" s="1226"/>
      <c r="AC350" s="1226"/>
      <c r="AD350" s="1226"/>
      <c r="AE350" s="1226"/>
      <c r="AF350" s="1226"/>
      <c r="AG350" s="1226"/>
      <c r="AH350" s="1226"/>
      <c r="AI350" s="1226"/>
      <c r="AJ350" s="1226"/>
      <c r="AK350" s="1226"/>
      <c r="AL350" s="1226"/>
      <c r="AM350" s="1226"/>
      <c r="AN350" s="1226"/>
      <c r="AO350" s="1226"/>
      <c r="AP350" s="1226"/>
      <c r="AQ350" s="1226"/>
      <c r="AR350" s="1226"/>
      <c r="AS350" s="1226"/>
      <c r="AT350" s="1226"/>
      <c r="AU350" s="1226"/>
      <c r="AV350" s="1226"/>
      <c r="AW350" s="1226"/>
      <c r="AX350" s="1226"/>
      <c r="AY350" s="1226"/>
      <c r="AZ350" s="1226"/>
      <c r="BA350" s="1226"/>
      <c r="BB350" s="1226"/>
      <c r="BC350" s="1226"/>
      <c r="BD350" s="1226"/>
      <c r="BE350" s="1226"/>
      <c r="BF350" s="1226"/>
      <c r="BG350" s="1226"/>
      <c r="BH350" s="1226"/>
      <c r="BI350" s="1226"/>
      <c r="BJ350" s="1226"/>
      <c r="BK350" s="1226"/>
      <c r="BL350" s="1226"/>
      <c r="BM350" s="1226"/>
      <c r="BN350" s="1226"/>
      <c r="BO350" s="1226"/>
      <c r="BP350" s="1226"/>
      <c r="BQ350" s="1226"/>
      <c r="BR350" s="1226"/>
      <c r="BS350" s="1226"/>
      <c r="BT350" s="1226"/>
      <c r="BU350" s="1226"/>
      <c r="BV350" s="1226"/>
      <c r="BW350" s="1226"/>
      <c r="BX350" s="1226"/>
      <c r="BY350" s="1226"/>
      <c r="BZ350" s="1226"/>
      <c r="CA350" s="1226"/>
      <c r="CB350" s="1226"/>
      <c r="CC350" s="1226"/>
      <c r="CD350" s="1226"/>
      <c r="CE350" s="1226"/>
      <c r="CF350" s="1226"/>
      <c r="CG350" s="1226"/>
      <c r="CH350" s="1226"/>
      <c r="CI350" s="1226"/>
      <c r="CJ350" s="1226"/>
      <c r="CK350" s="1226"/>
      <c r="CL350" s="1226"/>
      <c r="CM350" s="1226"/>
      <c r="CN350" s="1226"/>
      <c r="CO350" s="1226"/>
      <c r="CP350" s="1226"/>
      <c r="CQ350" s="1226"/>
      <c r="CR350" s="1226"/>
      <c r="CS350" s="1226"/>
    </row>
    <row r="351" spans="1:97" s="1226" customFormat="1" ht="13.5" customHeight="1">
      <c r="A351" s="2393"/>
      <c r="B351" s="2394"/>
      <c r="C351" s="2394"/>
      <c r="D351" s="2364" t="s">
        <v>2201</v>
      </c>
      <c r="E351" s="2394"/>
      <c r="F351" s="2398">
        <v>15</v>
      </c>
      <c r="G351" s="2396"/>
      <c r="H351" s="2396"/>
      <c r="I351" s="2397"/>
      <c r="J351" s="1560"/>
      <c r="K351" s="1562"/>
    </row>
    <row r="352" spans="1:97" s="1226" customFormat="1" ht="27" customHeight="1">
      <c r="A352" s="2484"/>
      <c r="B352" s="2485"/>
      <c r="C352" s="2485"/>
      <c r="D352" s="2486" t="s">
        <v>2183</v>
      </c>
      <c r="E352" s="2485"/>
      <c r="F352" s="2487"/>
      <c r="G352" s="2488"/>
      <c r="H352" s="2488"/>
      <c r="I352" s="2489"/>
      <c r="M352" s="1553"/>
      <c r="N352" s="1469"/>
      <c r="O352" s="1469"/>
      <c r="P352" s="1469"/>
      <c r="Q352" s="1469"/>
      <c r="R352" s="1469"/>
      <c r="S352" s="1469"/>
      <c r="T352" s="1469"/>
      <c r="U352" s="1469"/>
      <c r="V352" s="1469"/>
      <c r="W352" s="1469"/>
    </row>
    <row r="353" spans="1:23" s="1191" customFormat="1" ht="21" customHeight="1">
      <c r="A353" s="1490"/>
      <c r="B353" s="1491"/>
      <c r="C353" s="1491"/>
      <c r="D353" s="1491" t="s">
        <v>0</v>
      </c>
      <c r="E353" s="1491"/>
      <c r="F353" s="1492"/>
      <c r="G353" s="1493"/>
      <c r="H353" s="1493">
        <f>H7</f>
        <v>0</v>
      </c>
      <c r="K353" s="1494"/>
      <c r="L353" s="1572"/>
      <c r="M353" s="1573"/>
      <c r="N353" s="1469"/>
      <c r="O353" s="1469"/>
      <c r="P353" s="1469"/>
      <c r="Q353" s="1469"/>
      <c r="R353" s="1469"/>
      <c r="S353" s="1469"/>
      <c r="T353" s="1469"/>
      <c r="U353" s="1469"/>
      <c r="V353" s="1469"/>
      <c r="W353" s="1469"/>
    </row>
    <row r="354" spans="1:23" ht="13.5" customHeight="1">
      <c r="A354" s="1272"/>
      <c r="B354" s="1495"/>
      <c r="C354" s="1273"/>
      <c r="D354" s="1275"/>
      <c r="E354" s="1273"/>
      <c r="F354" s="1496"/>
      <c r="G354" s="1270"/>
      <c r="H354" s="1270"/>
      <c r="K354" s="1574"/>
      <c r="L354" s="1574"/>
      <c r="M354" s="1573"/>
    </row>
    <row r="355" spans="1:23" s="1191" customFormat="1" ht="13.5" customHeight="1">
      <c r="A355" s="3076" t="s">
        <v>875</v>
      </c>
      <c r="B355" s="3077"/>
      <c r="C355" s="3078"/>
      <c r="D355" s="1261" t="s">
        <v>1655</v>
      </c>
      <c r="E355" s="1262"/>
      <c r="F355" s="1497"/>
      <c r="G355" s="1498"/>
      <c r="H355" s="2490">
        <f>H353</f>
        <v>0</v>
      </c>
      <c r="I355" s="1483"/>
      <c r="J355" s="2491"/>
      <c r="K355" s="1574"/>
      <c r="L355" s="1574"/>
      <c r="M355" s="1573"/>
      <c r="N355" s="1469"/>
      <c r="O355" s="1469"/>
      <c r="P355" s="1469"/>
      <c r="Q355" s="1469"/>
      <c r="R355" s="1469"/>
      <c r="S355" s="1469"/>
      <c r="T355" s="1469"/>
      <c r="U355" s="1469"/>
      <c r="V355" s="1469"/>
      <c r="W355" s="1469"/>
    </row>
    <row r="356" spans="1:23" s="1259" customFormat="1">
      <c r="A356" s="1499"/>
      <c r="B356" s="1500"/>
      <c r="C356" s="1275"/>
      <c r="D356" s="1273"/>
      <c r="E356" s="1501"/>
      <c r="F356" s="1502"/>
      <c r="G356" s="1503"/>
      <c r="H356" s="1270"/>
      <c r="I356" s="1270"/>
      <c r="K356" s="1191"/>
      <c r="L356" s="1191"/>
      <c r="M356" s="1553"/>
      <c r="N356" s="1504"/>
      <c r="O356" s="1504"/>
      <c r="P356" s="1504"/>
      <c r="Q356" s="1504"/>
      <c r="R356" s="1504"/>
      <c r="S356" s="1504"/>
      <c r="T356" s="1504"/>
      <c r="U356" s="1504"/>
      <c r="V356" s="1504"/>
      <c r="W356" s="1504"/>
    </row>
    <row r="357" spans="1:23" s="1259" customFormat="1">
      <c r="A357" s="129" t="s">
        <v>1</v>
      </c>
      <c r="B357" s="130"/>
      <c r="C357" s="129"/>
      <c r="D357" s="129"/>
      <c r="E357" s="129"/>
      <c r="F357" s="129"/>
      <c r="G357" s="129"/>
      <c r="H357" s="129"/>
      <c r="I357" s="1271"/>
      <c r="K357" s="1494"/>
      <c r="L357" s="1572"/>
      <c r="M357" s="1573"/>
      <c r="N357" s="1504"/>
      <c r="O357" s="1504"/>
      <c r="P357" s="1504"/>
      <c r="Q357" s="1504"/>
      <c r="R357" s="1504"/>
      <c r="S357" s="1504"/>
      <c r="T357" s="1504"/>
      <c r="U357" s="1504"/>
      <c r="V357" s="1504"/>
      <c r="W357" s="1504"/>
    </row>
    <row r="358" spans="1:23" s="1259" customFormat="1" ht="27" customHeight="1">
      <c r="A358" s="3018" t="s">
        <v>877</v>
      </c>
      <c r="B358" s="3018"/>
      <c r="C358" s="3018"/>
      <c r="D358" s="3018"/>
      <c r="E358" s="3018"/>
      <c r="F358" s="3018"/>
      <c r="G358" s="3018"/>
      <c r="H358" s="129"/>
      <c r="I358" s="1270"/>
      <c r="K358" s="1574"/>
      <c r="L358" s="1574"/>
      <c r="M358" s="1573"/>
      <c r="N358" s="1504"/>
      <c r="O358" s="1504"/>
      <c r="P358" s="1504"/>
      <c r="Q358" s="1504"/>
      <c r="R358" s="1504"/>
      <c r="S358" s="1504"/>
      <c r="T358" s="1504"/>
      <c r="U358" s="1504"/>
      <c r="V358" s="1504"/>
      <c r="W358" s="1504"/>
    </row>
    <row r="359" spans="1:23" s="1259" customFormat="1" ht="95.1" customHeight="1">
      <c r="A359" s="3018" t="s">
        <v>104</v>
      </c>
      <c r="B359" s="3018"/>
      <c r="C359" s="3018"/>
      <c r="D359" s="3018"/>
      <c r="E359" s="3018"/>
      <c r="F359" s="3018"/>
      <c r="G359" s="3018"/>
      <c r="H359" s="129"/>
      <c r="I359" s="129"/>
      <c r="K359" s="1574"/>
      <c r="L359" s="1574"/>
      <c r="M359" s="1573"/>
      <c r="N359" s="1504"/>
      <c r="O359" s="1504"/>
      <c r="P359" s="1504"/>
      <c r="Q359" s="1504"/>
      <c r="R359" s="1504"/>
      <c r="S359" s="1504"/>
      <c r="T359" s="1504"/>
      <c r="U359" s="1504"/>
      <c r="V359" s="1504"/>
      <c r="W359" s="1504"/>
    </row>
    <row r="360" spans="1:23" s="1259" customFormat="1" ht="13.5" customHeight="1">
      <c r="A360" s="3018" t="s">
        <v>105</v>
      </c>
      <c r="B360" s="3018"/>
      <c r="C360" s="3018"/>
      <c r="D360" s="3018"/>
      <c r="E360" s="3018"/>
      <c r="F360" s="3018"/>
      <c r="G360" s="3018"/>
      <c r="H360" s="507"/>
      <c r="I360" s="507"/>
      <c r="K360" s="1191"/>
      <c r="L360" s="1191"/>
      <c r="M360" s="1553"/>
      <c r="N360" s="1504"/>
      <c r="O360" s="1504"/>
      <c r="P360" s="1504"/>
      <c r="Q360" s="1504"/>
      <c r="R360" s="1504"/>
      <c r="S360" s="1504"/>
      <c r="T360" s="1504"/>
      <c r="U360" s="1504"/>
      <c r="V360" s="1504"/>
      <c r="W360" s="1504"/>
    </row>
    <row r="361" spans="1:23" s="1259" customFormat="1" ht="13.5" customHeight="1">
      <c r="A361" s="3018" t="s">
        <v>106</v>
      </c>
      <c r="B361" s="3018"/>
      <c r="C361" s="3018"/>
      <c r="D361" s="3018"/>
      <c r="E361" s="3018"/>
      <c r="F361" s="3018"/>
      <c r="G361" s="3018"/>
      <c r="H361" s="507"/>
      <c r="I361" s="507"/>
      <c r="K361" s="1494"/>
      <c r="L361" s="1572"/>
      <c r="M361" s="1573"/>
      <c r="N361" s="1504"/>
      <c r="O361" s="1504"/>
      <c r="P361" s="1504"/>
      <c r="Q361" s="1504"/>
      <c r="R361" s="1504"/>
      <c r="S361" s="1504"/>
      <c r="T361" s="1504"/>
      <c r="U361" s="1504"/>
      <c r="V361" s="1504"/>
      <c r="W361" s="1504"/>
    </row>
    <row r="362" spans="1:23">
      <c r="B362" s="1273"/>
      <c r="I362" s="1466"/>
      <c r="K362" s="1574"/>
      <c r="L362" s="1574"/>
      <c r="M362" s="1573"/>
    </row>
    <row r="363" spans="1:23">
      <c r="B363" s="1273"/>
      <c r="I363" s="1466"/>
      <c r="K363" s="1574"/>
      <c r="L363" s="1574"/>
      <c r="M363" s="1573"/>
    </row>
    <row r="364" spans="1:23">
      <c r="B364" s="1273"/>
      <c r="I364" s="1466"/>
      <c r="K364" s="1191"/>
      <c r="L364" s="1191"/>
    </row>
    <row r="365" spans="1:23">
      <c r="B365" s="1272"/>
      <c r="I365" s="1466"/>
      <c r="K365" s="1494"/>
      <c r="L365" s="1572"/>
      <c r="M365" s="1573"/>
    </row>
    <row r="366" spans="1:23">
      <c r="B366" s="1272"/>
      <c r="I366" s="1466"/>
      <c r="K366" s="1574"/>
      <c r="L366" s="1574"/>
      <c r="M366" s="1573"/>
    </row>
    <row r="367" spans="1:23">
      <c r="B367" s="1495"/>
      <c r="I367" s="1466"/>
      <c r="K367" s="1574"/>
      <c r="L367" s="1575"/>
      <c r="M367" s="1573"/>
    </row>
    <row r="368" spans="1:23" s="1494" customFormat="1" ht="13.5" customHeight="1">
      <c r="A368" s="1505"/>
      <c r="B368" s="1506"/>
      <c r="C368" s="1506"/>
      <c r="D368" s="1506"/>
      <c r="E368" s="1506"/>
      <c r="F368" s="2418"/>
      <c r="G368" s="2395"/>
      <c r="H368" s="2492"/>
      <c r="I368" s="2493"/>
      <c r="J368" s="1576"/>
      <c r="K368" s="1574"/>
      <c r="L368" s="1574"/>
      <c r="M368" s="1507"/>
      <c r="N368" s="1507"/>
      <c r="O368" s="1507"/>
      <c r="P368" s="1508"/>
      <c r="T368" s="1509"/>
    </row>
    <row r="369" spans="1:42" s="1494" customFormat="1" ht="13.5" customHeight="1">
      <c r="A369" s="1505"/>
      <c r="B369" s="1506"/>
      <c r="C369" s="1506"/>
      <c r="D369" s="1510"/>
      <c r="E369" s="1506"/>
      <c r="F369" s="1511"/>
      <c r="G369" s="1512"/>
      <c r="H369" s="1512"/>
      <c r="I369" s="1513"/>
      <c r="J369" s="1576"/>
      <c r="K369" s="1574"/>
      <c r="L369" s="1574"/>
      <c r="M369" s="1507"/>
      <c r="N369" s="1507"/>
      <c r="O369" s="1507"/>
      <c r="P369" s="1508"/>
      <c r="T369" s="1509"/>
    </row>
    <row r="370" spans="1:42" s="1494" customFormat="1" ht="27" customHeight="1">
      <c r="A370" s="1514"/>
      <c r="B370" s="1515"/>
      <c r="C370" s="1516"/>
      <c r="D370" s="1510"/>
      <c r="E370" s="1506"/>
      <c r="F370" s="1517"/>
      <c r="G370" s="1518"/>
      <c r="H370" s="1519"/>
      <c r="I370" s="1513"/>
      <c r="J370" s="1577"/>
      <c r="K370" s="1574"/>
      <c r="L370" s="1578"/>
      <c r="M370" s="1578"/>
      <c r="N370" s="1191"/>
      <c r="O370" s="1191"/>
      <c r="P370" s="1508"/>
      <c r="Q370" s="1579"/>
      <c r="R370" s="1520"/>
      <c r="T370" s="1509"/>
      <c r="U370" s="1521"/>
      <c r="V370" s="1522"/>
      <c r="W370" s="1522"/>
      <c r="X370" s="1508"/>
      <c r="Y370" s="1191"/>
    </row>
    <row r="371" spans="1:42" s="1191" customFormat="1" ht="27" customHeight="1">
      <c r="A371" s="2494"/>
      <c r="B371" s="2495"/>
      <c r="C371" s="2496"/>
      <c r="D371" s="2364"/>
      <c r="E371" s="2496"/>
      <c r="F371" s="2398"/>
      <c r="G371" s="2497"/>
      <c r="H371" s="2498"/>
      <c r="I371" s="2499"/>
      <c r="J371" s="1576"/>
      <c r="K371" s="1574"/>
      <c r="L371" s="1574"/>
      <c r="M371" s="1507"/>
      <c r="N371" s="1507"/>
      <c r="O371" s="1507"/>
      <c r="P371" s="1508"/>
      <c r="Q371" s="1494"/>
      <c r="R371" s="1494"/>
      <c r="T371" s="1509"/>
      <c r="U371" s="1523"/>
      <c r="W371" s="1524"/>
      <c r="X371" s="1525"/>
      <c r="Y371" s="1526"/>
      <c r="Z371" s="1527"/>
      <c r="AA371" s="1527"/>
      <c r="AB371" s="1527"/>
      <c r="AC371" s="1527"/>
      <c r="AD371" s="1527"/>
    </row>
    <row r="372" spans="1:42" s="1191" customFormat="1" ht="27" customHeight="1">
      <c r="A372" s="2494"/>
      <c r="B372" s="2495"/>
      <c r="C372" s="2496"/>
      <c r="D372" s="2364"/>
      <c r="E372" s="2496"/>
      <c r="F372" s="2398"/>
      <c r="G372" s="2497"/>
      <c r="H372" s="2498"/>
      <c r="I372" s="2499"/>
      <c r="J372" s="1576"/>
      <c r="K372" s="1574"/>
      <c r="L372" s="1527"/>
      <c r="M372" s="1527"/>
      <c r="N372" s="1527"/>
      <c r="O372" s="1527"/>
      <c r="P372" s="1527"/>
      <c r="Q372" s="1527"/>
      <c r="R372" s="1528"/>
      <c r="T372" s="1509"/>
      <c r="U372" s="1523"/>
      <c r="W372" s="1524"/>
      <c r="X372" s="1525"/>
      <c r="Y372" s="1526"/>
      <c r="Z372" s="1527"/>
      <c r="AA372" s="1527"/>
      <c r="AB372" s="1527"/>
      <c r="AC372" s="1527"/>
      <c r="AD372" s="1527"/>
    </row>
    <row r="373" spans="1:42" s="1191" customFormat="1" ht="27" customHeight="1">
      <c r="A373" s="2494"/>
      <c r="B373" s="2495"/>
      <c r="C373" s="2496"/>
      <c r="D373" s="2364"/>
      <c r="E373" s="2496"/>
      <c r="F373" s="2398"/>
      <c r="G373" s="2497"/>
      <c r="H373" s="2498"/>
      <c r="I373" s="2499"/>
      <c r="J373" s="1576"/>
      <c r="K373" s="1574"/>
      <c r="L373" s="1578"/>
      <c r="M373" s="1578"/>
      <c r="P373" s="1508"/>
      <c r="Q373" s="1579"/>
      <c r="R373" s="1520"/>
      <c r="T373" s="1509"/>
      <c r="U373" s="1523"/>
      <c r="W373" s="1524"/>
      <c r="X373" s="1525"/>
      <c r="Y373" s="1526"/>
      <c r="Z373" s="1527"/>
      <c r="AA373" s="1527"/>
      <c r="AB373" s="1527"/>
      <c r="AC373" s="1527"/>
      <c r="AD373" s="1527"/>
    </row>
    <row r="374" spans="1:42" s="1191" customFormat="1" ht="27" customHeight="1">
      <c r="A374" s="2494"/>
      <c r="B374" s="2495"/>
      <c r="C374" s="2500"/>
      <c r="D374" s="2501"/>
      <c r="E374" s="2500"/>
      <c r="F374" s="2502"/>
      <c r="G374" s="2503"/>
      <c r="H374" s="2504"/>
      <c r="I374" s="2505"/>
      <c r="J374" s="1576"/>
      <c r="K374" s="1574"/>
      <c r="T374" s="1509"/>
      <c r="AA374" s="1527"/>
      <c r="AB374" s="1527"/>
      <c r="AC374" s="1527"/>
      <c r="AD374" s="1527"/>
    </row>
    <row r="375" spans="1:42" s="1191" customFormat="1" ht="27" customHeight="1">
      <c r="A375" s="2506"/>
      <c r="B375" s="2507"/>
      <c r="C375" s="2500"/>
      <c r="D375" s="2364"/>
      <c r="E375" s="2500"/>
      <c r="F375" s="2502"/>
      <c r="G375" s="2503"/>
      <c r="H375" s="2508"/>
      <c r="I375" s="2509"/>
      <c r="J375" s="1580"/>
      <c r="K375" s="1581"/>
      <c r="L375" s="1259"/>
      <c r="M375" s="1259"/>
      <c r="N375" s="1259"/>
      <c r="P375" s="1259"/>
      <c r="Q375" s="1259"/>
      <c r="R375" s="1530"/>
      <c r="S375" s="1531"/>
      <c r="T375" s="1259"/>
      <c r="U375" s="1259"/>
      <c r="V375" s="1259"/>
      <c r="W375" s="1259"/>
      <c r="AA375" s="1259"/>
      <c r="AB375" s="1532"/>
      <c r="AC375" s="1259"/>
      <c r="AD375" s="1533"/>
      <c r="AE375" s="1259"/>
      <c r="AF375" s="1267"/>
      <c r="AG375" s="1267"/>
      <c r="AH375" s="1534"/>
      <c r="AI375" s="1267"/>
      <c r="AJ375" s="1267"/>
      <c r="AK375" s="1267"/>
      <c r="AL375" s="1535"/>
      <c r="AM375" s="1267"/>
      <c r="AN375" s="1267"/>
      <c r="AO375" s="1267"/>
      <c r="AP375" s="1535"/>
    </row>
    <row r="376" spans="1:42" ht="13.5" customHeight="1">
      <c r="A376" s="2427"/>
      <c r="B376" s="2414"/>
      <c r="C376" s="2414"/>
      <c r="D376" s="2417"/>
      <c r="E376" s="2414"/>
      <c r="F376" s="2428"/>
      <c r="G376" s="2396"/>
      <c r="H376" s="2396"/>
      <c r="I376" s="2510"/>
      <c r="J376" s="1582"/>
      <c r="K376" s="1583"/>
      <c r="L376" s="1583"/>
      <c r="M376" s="1584"/>
      <c r="N376" s="1584"/>
      <c r="O376" s="1537"/>
      <c r="P376" s="1537"/>
      <c r="Q376" s="1537"/>
      <c r="R376" s="1537"/>
      <c r="S376" s="1537"/>
      <c r="T376" s="1537"/>
      <c r="U376" s="1537"/>
      <c r="V376" s="1259"/>
      <c r="W376" s="1537"/>
      <c r="X376" s="1267"/>
      <c r="Y376" s="1267"/>
      <c r="Z376" s="1226"/>
    </row>
    <row r="377" spans="1:42" s="1494" customFormat="1" ht="27" customHeight="1">
      <c r="A377" s="1514"/>
      <c r="B377" s="1515"/>
      <c r="C377" s="1516"/>
      <c r="D377" s="1510"/>
      <c r="E377" s="1506"/>
      <c r="F377" s="1511"/>
      <c r="G377" s="1519"/>
      <c r="H377" s="1519"/>
      <c r="I377" s="1513"/>
      <c r="J377" s="1577"/>
      <c r="K377" s="1574"/>
      <c r="L377" s="1578"/>
      <c r="M377" s="1578"/>
      <c r="N377" s="1191"/>
      <c r="O377" s="1191"/>
      <c r="P377" s="1508"/>
      <c r="Q377" s="1579"/>
      <c r="R377" s="1520"/>
      <c r="S377" s="1509"/>
      <c r="T377" s="1507"/>
      <c r="U377" s="1521"/>
      <c r="V377" s="1522"/>
      <c r="W377" s="1522"/>
      <c r="X377" s="1508"/>
      <c r="Y377" s="1191"/>
    </row>
    <row r="378" spans="1:42">
      <c r="B378" s="1272"/>
      <c r="I378" s="1466"/>
      <c r="K378" s="1191"/>
      <c r="L378" s="1191"/>
    </row>
    <row r="379" spans="1:42" s="1494" customFormat="1" ht="27" customHeight="1">
      <c r="A379" s="1505"/>
      <c r="B379" s="1506"/>
      <c r="C379" s="1506"/>
      <c r="D379" s="1506"/>
      <c r="E379" s="1506"/>
      <c r="F379" s="2418"/>
      <c r="G379" s="2395"/>
      <c r="H379" s="2492"/>
      <c r="I379" s="1538"/>
      <c r="J379" s="1577"/>
    </row>
    <row r="380" spans="1:42" s="1494" customFormat="1" ht="13.5" customHeight="1">
      <c r="A380" s="1505"/>
      <c r="B380" s="1506"/>
      <c r="C380" s="1506"/>
      <c r="D380" s="1510"/>
      <c r="E380" s="1506"/>
      <c r="F380" s="1539"/>
      <c r="G380" s="1512"/>
      <c r="H380" s="1512"/>
      <c r="I380" s="1538"/>
      <c r="J380" s="1576"/>
      <c r="K380" s="1574"/>
      <c r="L380" s="1574"/>
      <c r="M380" s="1507"/>
      <c r="N380" s="1507"/>
      <c r="O380" s="1507"/>
      <c r="P380" s="1508"/>
      <c r="S380" s="1509"/>
    </row>
    <row r="381" spans="1:42" s="1494" customFormat="1" ht="27" customHeight="1">
      <c r="A381" s="1514"/>
      <c r="B381" s="1515"/>
      <c r="C381" s="1516"/>
      <c r="D381" s="1510"/>
      <c r="E381" s="1506"/>
      <c r="F381" s="1517"/>
      <c r="G381" s="1519"/>
      <c r="H381" s="1519"/>
      <c r="I381" s="1540"/>
      <c r="J381" s="1576"/>
      <c r="K381" s="1574"/>
      <c r="L381" s="1578"/>
      <c r="M381" s="1578"/>
      <c r="N381" s="1191"/>
      <c r="O381" s="1191"/>
      <c r="P381" s="1508"/>
      <c r="Q381" s="1579"/>
      <c r="R381" s="1520"/>
      <c r="S381" s="1509"/>
      <c r="T381" s="1507"/>
      <c r="U381" s="1521"/>
      <c r="V381" s="1522"/>
      <c r="W381" s="1522"/>
      <c r="X381" s="1508"/>
      <c r="Y381" s="1191"/>
    </row>
    <row r="382" spans="1:42" s="1191" customFormat="1" ht="27" customHeight="1">
      <c r="A382" s="2494"/>
      <c r="B382" s="2495"/>
      <c r="C382" s="2496"/>
      <c r="D382" s="2496"/>
      <c r="E382" s="2496"/>
      <c r="F382" s="2398"/>
      <c r="G382" s="2497"/>
      <c r="H382" s="2498"/>
      <c r="I382" s="2499"/>
      <c r="J382" s="1576"/>
      <c r="K382" s="1574"/>
      <c r="L382" s="1574"/>
      <c r="M382" s="1507"/>
      <c r="N382" s="1507"/>
      <c r="O382" s="1507"/>
      <c r="P382" s="1508"/>
      <c r="Q382" s="1494"/>
      <c r="R382" s="1494"/>
      <c r="S382" s="1509"/>
      <c r="T382" s="158"/>
      <c r="U382" s="1523"/>
      <c r="W382" s="1524"/>
      <c r="X382" s="1525"/>
      <c r="Y382" s="1526"/>
      <c r="Z382" s="1527"/>
      <c r="AA382" s="1527"/>
      <c r="AB382" s="1527"/>
      <c r="AC382" s="1527"/>
      <c r="AD382" s="1527"/>
    </row>
    <row r="383" spans="1:42" s="1191" customFormat="1" ht="27" customHeight="1">
      <c r="A383" s="2494"/>
      <c r="B383" s="2495"/>
      <c r="C383" s="2496"/>
      <c r="D383" s="2364"/>
      <c r="E383" s="2496"/>
      <c r="F383" s="2398"/>
      <c r="G383" s="2497"/>
      <c r="H383" s="2498"/>
      <c r="I383" s="2499"/>
      <c r="J383" s="1576"/>
      <c r="K383" s="1574"/>
      <c r="L383" s="1527"/>
      <c r="M383" s="1527"/>
      <c r="N383" s="1527"/>
      <c r="O383" s="1527"/>
      <c r="P383" s="1527"/>
      <c r="Q383" s="1527"/>
      <c r="R383" s="1528"/>
      <c r="S383" s="1509"/>
      <c r="T383" s="158"/>
      <c r="U383" s="1523"/>
      <c r="W383" s="1524"/>
      <c r="X383" s="1525"/>
      <c r="Y383" s="1526"/>
      <c r="Z383" s="1527"/>
      <c r="AA383" s="1527"/>
      <c r="AB383" s="1527"/>
      <c r="AC383" s="1527"/>
      <c r="AD383" s="1527"/>
    </row>
    <row r="384" spans="1:42" s="1191" customFormat="1" ht="27" customHeight="1">
      <c r="A384" s="2494"/>
      <c r="B384" s="2495"/>
      <c r="C384" s="2496"/>
      <c r="D384" s="2364"/>
      <c r="E384" s="2496"/>
      <c r="F384" s="2398"/>
      <c r="G384" s="2497"/>
      <c r="H384" s="2498"/>
      <c r="I384" s="2499"/>
      <c r="J384" s="1576"/>
      <c r="K384" s="1574"/>
      <c r="L384" s="1578"/>
      <c r="M384" s="1578"/>
      <c r="P384" s="1508"/>
      <c r="Q384" s="1579"/>
      <c r="R384" s="1520"/>
      <c r="S384" s="1509"/>
      <c r="T384" s="1509"/>
      <c r="U384" s="1523"/>
      <c r="W384" s="1524"/>
      <c r="X384" s="1525"/>
      <c r="Y384" s="1526"/>
      <c r="Z384" s="1527"/>
      <c r="AA384" s="1527"/>
      <c r="AB384" s="1527"/>
      <c r="AC384" s="1527"/>
      <c r="AD384" s="1527"/>
    </row>
    <row r="385" spans="1:42" s="1191" customFormat="1" ht="27" customHeight="1">
      <c r="A385" s="2494"/>
      <c r="B385" s="2495"/>
      <c r="C385" s="2500"/>
      <c r="D385" s="2500"/>
      <c r="E385" s="2500"/>
      <c r="F385" s="2502"/>
      <c r="G385" s="2503"/>
      <c r="H385" s="2504"/>
      <c r="I385" s="2505"/>
      <c r="J385" s="1576"/>
      <c r="K385" s="1574"/>
      <c r="S385" s="1509"/>
      <c r="AA385" s="1527"/>
      <c r="AB385" s="1527"/>
      <c r="AC385" s="1527"/>
      <c r="AD385" s="1527"/>
    </row>
    <row r="386" spans="1:42" s="1191" customFormat="1" ht="40.5" customHeight="1">
      <c r="A386" s="2506"/>
      <c r="B386" s="2507"/>
      <c r="C386" s="2500"/>
      <c r="D386" s="2364"/>
      <c r="E386" s="2500"/>
      <c r="F386" s="2502"/>
      <c r="G386" s="2503"/>
      <c r="H386" s="2508"/>
      <c r="I386" s="2505"/>
      <c r="J386" s="1580"/>
      <c r="K386" s="1581"/>
      <c r="L386" s="1259"/>
      <c r="M386" s="1259"/>
      <c r="N386" s="1259"/>
      <c r="P386" s="1259"/>
      <c r="Q386" s="1259"/>
      <c r="R386" s="1530"/>
      <c r="S386" s="1531"/>
      <c r="T386" s="1259"/>
      <c r="U386" s="1259"/>
      <c r="V386" s="1259"/>
      <c r="W386" s="1259"/>
      <c r="AA386" s="1259"/>
      <c r="AB386" s="1532"/>
      <c r="AC386" s="1259"/>
      <c r="AD386" s="1533"/>
      <c r="AE386" s="1259"/>
      <c r="AF386" s="1267"/>
      <c r="AG386" s="1267"/>
      <c r="AH386" s="1534"/>
      <c r="AI386" s="1267"/>
      <c r="AJ386" s="1267"/>
      <c r="AK386" s="1267"/>
      <c r="AL386" s="1535"/>
      <c r="AM386" s="1267"/>
      <c r="AN386" s="1267"/>
      <c r="AO386" s="1267"/>
      <c r="AP386" s="1535"/>
    </row>
    <row r="387" spans="1:42" ht="13.5" customHeight="1">
      <c r="A387" s="2427"/>
      <c r="B387" s="2414"/>
      <c r="C387" s="2414"/>
      <c r="D387" s="2417"/>
      <c r="E387" s="2414"/>
      <c r="F387" s="2428"/>
      <c r="G387" s="2396"/>
      <c r="H387" s="2396"/>
      <c r="I387" s="2416"/>
      <c r="J387" s="1582"/>
      <c r="K387" s="1581"/>
      <c r="L387" s="1583"/>
      <c r="M387" s="1583"/>
      <c r="N387" s="1583"/>
      <c r="O387" s="1537"/>
      <c r="P387" s="1537"/>
      <c r="Q387" s="1537"/>
      <c r="R387" s="1537"/>
      <c r="S387" s="1537"/>
      <c r="T387" s="1537"/>
      <c r="U387" s="1537"/>
      <c r="V387" s="1259"/>
      <c r="W387" s="1537"/>
      <c r="X387" s="1267"/>
      <c r="Y387" s="1267"/>
      <c r="Z387" s="1226"/>
    </row>
    <row r="388" spans="1:42" s="1494" customFormat="1" ht="27" customHeight="1">
      <c r="A388" s="1514"/>
      <c r="B388" s="1515"/>
      <c r="C388" s="1516"/>
      <c r="D388" s="1510"/>
      <c r="E388" s="1506"/>
      <c r="F388" s="1519"/>
      <c r="G388" s="1519"/>
      <c r="H388" s="1519"/>
      <c r="I388" s="1542"/>
      <c r="T388" s="1507"/>
      <c r="U388" s="1521"/>
      <c r="V388" s="1522"/>
      <c r="W388" s="1522"/>
      <c r="X388" s="1508"/>
      <c r="Y388" s="1191"/>
    </row>
    <row r="389" spans="1:42">
      <c r="B389" s="1495"/>
      <c r="I389" s="1266"/>
    </row>
    <row r="390" spans="1:42">
      <c r="B390" s="1495"/>
      <c r="I390" s="1266"/>
    </row>
    <row r="391" spans="1:42" s="1191" customFormat="1" ht="27" customHeight="1">
      <c r="A391" s="1543"/>
      <c r="B391" s="1218"/>
      <c r="C391" s="1218"/>
      <c r="D391" s="2394"/>
      <c r="E391" s="2394"/>
      <c r="F391" s="2418"/>
      <c r="G391" s="2396"/>
      <c r="H391" s="2492"/>
      <c r="I391" s="1221"/>
      <c r="J391" s="1563"/>
      <c r="K391" s="1585"/>
      <c r="L391" s="1586"/>
      <c r="M391" s="1587"/>
      <c r="N391" s="1588"/>
      <c r="O391" s="1587"/>
      <c r="P391" s="1588"/>
    </row>
    <row r="392" spans="1:42" s="1191" customFormat="1" ht="13.5" customHeight="1">
      <c r="A392" s="1543"/>
      <c r="B392" s="1218"/>
      <c r="C392" s="1218"/>
      <c r="D392" s="2364"/>
      <c r="E392" s="1206"/>
      <c r="F392" s="1219"/>
      <c r="G392" s="1544"/>
      <c r="H392" s="1544"/>
      <c r="I392" s="1221"/>
      <c r="J392" s="1563"/>
      <c r="K392" s="1586"/>
      <c r="M392" s="1489"/>
      <c r="N392" s="1588"/>
    </row>
    <row r="393" spans="1:42" s="1191" customFormat="1" ht="13.5" customHeight="1">
      <c r="A393" s="1205"/>
      <c r="B393" s="1545"/>
      <c r="C393" s="1206"/>
      <c r="D393" s="2473"/>
      <c r="E393" s="2473"/>
      <c r="F393" s="2511"/>
      <c r="G393" s="1546"/>
      <c r="H393" s="1544"/>
      <c r="I393" s="1221"/>
      <c r="J393" s="1563"/>
      <c r="K393" s="1589"/>
      <c r="M393" s="1489"/>
    </row>
    <row r="394" spans="1:42" s="1191" customFormat="1" ht="13.5" customHeight="1">
      <c r="A394" s="1205"/>
      <c r="B394" s="1545"/>
      <c r="C394" s="1206"/>
      <c r="D394" s="2364"/>
      <c r="E394" s="1218"/>
      <c r="F394" s="1546"/>
      <c r="G394" s="1546"/>
      <c r="H394" s="1544"/>
      <c r="I394" s="1547"/>
      <c r="J394" s="1563"/>
      <c r="L394" s="1590"/>
    </row>
    <row r="395" spans="1:42">
      <c r="B395" s="1272"/>
      <c r="I395" s="1466"/>
    </row>
    <row r="396" spans="1:42">
      <c r="B396" s="1272"/>
      <c r="I396" s="1466"/>
    </row>
    <row r="397" spans="1:42">
      <c r="B397" s="1495"/>
      <c r="I397" s="1466"/>
    </row>
    <row r="398" spans="1:42">
      <c r="B398" s="1272"/>
      <c r="I398" s="1466"/>
    </row>
    <row r="399" spans="1:42">
      <c r="B399" s="1490"/>
      <c r="I399" s="1466"/>
    </row>
    <row r="400" spans="1:42">
      <c r="B400" s="1272"/>
      <c r="I400" s="1466"/>
    </row>
    <row r="401" spans="2:9" ht="12.75" customHeight="1">
      <c r="I401" s="1466"/>
    </row>
    <row r="402" spans="2:9">
      <c r="B402" s="1499"/>
      <c r="I402" s="1466"/>
    </row>
    <row r="403" spans="2:9">
      <c r="B403" s="129"/>
      <c r="I403" s="1466"/>
    </row>
    <row r="404" spans="2:9">
      <c r="I404" s="1266"/>
    </row>
    <row r="405" spans="2:9">
      <c r="I405" s="1466"/>
    </row>
    <row r="406" spans="2:9">
      <c r="I406" s="1466"/>
    </row>
    <row r="407" spans="2:9">
      <c r="I407" s="1466"/>
    </row>
    <row r="408" spans="2:9">
      <c r="I408" s="1466"/>
    </row>
    <row r="409" spans="2:9">
      <c r="I409" s="1266"/>
    </row>
    <row r="410" spans="2:9">
      <c r="I410" s="1466"/>
    </row>
    <row r="411" spans="2:9">
      <c r="I411" s="1266"/>
    </row>
    <row r="412" spans="2:9">
      <c r="I412" s="1191"/>
    </row>
    <row r="413" spans="2:9">
      <c r="I413" s="1266"/>
    </row>
    <row r="414" spans="2:9">
      <c r="I414" s="1466"/>
    </row>
    <row r="415" spans="2:9">
      <c r="I415" s="1466"/>
    </row>
    <row r="416" spans="2:9">
      <c r="I416" s="1466"/>
    </row>
    <row r="417" spans="9:9">
      <c r="I417" s="1466"/>
    </row>
    <row r="418" spans="9:9">
      <c r="I418" s="1466"/>
    </row>
    <row r="419" spans="9:9">
      <c r="I419" s="1266"/>
    </row>
    <row r="420" spans="9:9">
      <c r="I420" s="1466"/>
    </row>
    <row r="421" spans="9:9">
      <c r="I421" s="1466"/>
    </row>
    <row r="422" spans="9:9">
      <c r="I422" s="1466"/>
    </row>
    <row r="423" spans="9:9">
      <c r="I423" s="1466"/>
    </row>
    <row r="424" spans="9:9">
      <c r="I424" s="1266"/>
    </row>
    <row r="425" spans="9:9">
      <c r="I425" s="1466"/>
    </row>
    <row r="426" spans="9:9">
      <c r="I426" s="1466"/>
    </row>
    <row r="427" spans="9:9">
      <c r="I427" s="1466"/>
    </row>
    <row r="428" spans="9:9">
      <c r="I428" s="1466"/>
    </row>
    <row r="429" spans="9:9">
      <c r="I429" s="1266"/>
    </row>
    <row r="430" spans="9:9">
      <c r="I430" s="1466"/>
    </row>
    <row r="431" spans="9:9">
      <c r="I431" s="1466"/>
    </row>
    <row r="432" spans="9:9">
      <c r="I432" s="1466"/>
    </row>
    <row r="433" spans="9:9">
      <c r="I433" s="1466"/>
    </row>
    <row r="434" spans="9:9">
      <c r="I434" s="1466"/>
    </row>
    <row r="435" spans="9:9">
      <c r="I435" s="1466"/>
    </row>
    <row r="436" spans="9:9">
      <c r="I436" s="1266"/>
    </row>
    <row r="437" spans="9:9">
      <c r="I437" s="1191"/>
    </row>
    <row r="438" spans="9:9">
      <c r="I438" s="1266"/>
    </row>
    <row r="439" spans="9:9">
      <c r="I439" s="1466"/>
    </row>
    <row r="440" spans="9:9">
      <c r="I440" s="1266"/>
    </row>
    <row r="441" spans="9:9">
      <c r="I441" s="1466"/>
    </row>
    <row r="442" spans="9:9">
      <c r="I442" s="1466"/>
    </row>
    <row r="443" spans="9:9">
      <c r="I443" s="1266"/>
    </row>
    <row r="444" spans="9:9">
      <c r="I444" s="1466"/>
    </row>
    <row r="445" spans="9:9">
      <c r="I445" s="1466"/>
    </row>
    <row r="446" spans="9:9">
      <c r="I446" s="1266"/>
    </row>
    <row r="447" spans="9:9">
      <c r="I447" s="1466"/>
    </row>
    <row r="448" spans="9:9">
      <c r="I448" s="1466"/>
    </row>
    <row r="449" spans="9:9">
      <c r="I449" s="1466"/>
    </row>
    <row r="450" spans="9:9">
      <c r="I450" s="1266"/>
    </row>
    <row r="451" spans="9:9">
      <c r="I451" s="1466"/>
    </row>
    <row r="452" spans="9:9">
      <c r="I452" s="1466"/>
    </row>
    <row r="453" spans="9:9">
      <c r="I453" s="1466"/>
    </row>
    <row r="454" spans="9:9">
      <c r="I454" s="1266"/>
    </row>
    <row r="455" spans="9:9">
      <c r="I455" s="1234"/>
    </row>
    <row r="456" spans="9:9">
      <c r="I456" s="1234"/>
    </row>
    <row r="457" spans="9:9">
      <c r="I457" s="1234"/>
    </row>
    <row r="458" spans="9:9">
      <c r="I458" s="1266"/>
    </row>
    <row r="459" spans="9:9">
      <c r="I459" s="1466"/>
    </row>
    <row r="460" spans="9:9">
      <c r="I460" s="1466"/>
    </row>
    <row r="461" spans="9:9">
      <c r="I461" s="1266"/>
    </row>
    <row r="462" spans="9:9">
      <c r="I462" s="1466"/>
    </row>
    <row r="463" spans="9:9">
      <c r="I463" s="1466"/>
    </row>
    <row r="464" spans="9:9">
      <c r="I464" s="1466"/>
    </row>
    <row r="465" spans="9:9">
      <c r="I465" s="1266"/>
    </row>
    <row r="466" spans="9:9">
      <c r="I466" s="1466"/>
    </row>
    <row r="467" spans="9:9">
      <c r="I467" s="1266"/>
    </row>
    <row r="468" spans="9:9">
      <c r="I468" s="1191"/>
    </row>
    <row r="469" spans="9:9">
      <c r="I469" s="1266"/>
    </row>
    <row r="470" spans="9:9">
      <c r="I470" s="1548"/>
    </row>
    <row r="471" spans="9:9">
      <c r="I471" s="1548"/>
    </row>
    <row r="472" spans="9:9">
      <c r="I472" s="1548"/>
    </row>
    <row r="473" spans="9:9">
      <c r="I473" s="1548"/>
    </row>
    <row r="474" spans="9:9">
      <c r="I474" s="1548"/>
    </row>
    <row r="475" spans="9:9">
      <c r="I475" s="1266"/>
    </row>
    <row r="476" spans="9:9">
      <c r="I476" s="1548"/>
    </row>
    <row r="477" spans="9:9">
      <c r="I477" s="1549"/>
    </row>
    <row r="478" spans="9:9">
      <c r="I478" s="1548"/>
    </row>
    <row r="479" spans="9:9">
      <c r="I479" s="1548"/>
    </row>
    <row r="480" spans="9:9">
      <c r="I480" s="1548"/>
    </row>
    <row r="481" spans="9:9">
      <c r="I481" s="1266"/>
    </row>
    <row r="482" spans="9:9">
      <c r="I482" s="1548"/>
    </row>
    <row r="483" spans="9:9">
      <c r="I483" s="1548"/>
    </row>
    <row r="484" spans="9:9">
      <c r="I484" s="1548"/>
    </row>
    <row r="485" spans="9:9">
      <c r="I485" s="1548"/>
    </row>
    <row r="486" spans="9:9">
      <c r="I486" s="1548"/>
    </row>
    <row r="487" spans="9:9">
      <c r="I487" s="1266"/>
    </row>
    <row r="488" spans="9:9">
      <c r="I488" s="1548"/>
    </row>
    <row r="489" spans="9:9">
      <c r="I489" s="1548"/>
    </row>
    <row r="490" spans="9:9">
      <c r="I490" s="1548"/>
    </row>
    <row r="491" spans="9:9">
      <c r="I491" s="1548"/>
    </row>
    <row r="492" spans="9:9">
      <c r="I492" s="1548"/>
    </row>
    <row r="493" spans="9:9">
      <c r="I493" s="1266"/>
    </row>
    <row r="494" spans="9:9">
      <c r="I494" s="1548"/>
    </row>
    <row r="495" spans="9:9">
      <c r="I495" s="1548"/>
    </row>
    <row r="496" spans="9:9">
      <c r="I496" s="1548"/>
    </row>
    <row r="497" spans="9:9">
      <c r="I497" s="1548"/>
    </row>
    <row r="498" spans="9:9">
      <c r="I498" s="1548"/>
    </row>
    <row r="499" spans="9:9">
      <c r="I499" s="1266"/>
    </row>
    <row r="500" spans="9:9">
      <c r="I500" s="1548"/>
    </row>
    <row r="501" spans="9:9">
      <c r="I501" s="1548"/>
    </row>
    <row r="502" spans="9:9">
      <c r="I502" s="1548"/>
    </row>
    <row r="503" spans="9:9">
      <c r="I503" s="1548"/>
    </row>
    <row r="504" spans="9:9">
      <c r="I504" s="1548"/>
    </row>
    <row r="505" spans="9:9">
      <c r="I505" s="1266"/>
    </row>
    <row r="506" spans="9:9">
      <c r="I506" s="1548"/>
    </row>
    <row r="507" spans="9:9">
      <c r="I507" s="1548"/>
    </row>
    <row r="508" spans="9:9">
      <c r="I508" s="1548"/>
    </row>
    <row r="509" spans="9:9">
      <c r="I509" s="1548"/>
    </row>
    <row r="510" spans="9:9">
      <c r="I510" s="1548"/>
    </row>
    <row r="511" spans="9:9">
      <c r="I511" s="1548"/>
    </row>
    <row r="512" spans="9:9">
      <c r="I512" s="1548"/>
    </row>
    <row r="513" spans="9:9">
      <c r="I513" s="1266"/>
    </row>
    <row r="514" spans="9:9">
      <c r="I514" s="1548"/>
    </row>
    <row r="515" spans="9:9">
      <c r="I515" s="1548"/>
    </row>
    <row r="516" spans="9:9">
      <c r="I516" s="1548"/>
    </row>
    <row r="517" spans="9:9">
      <c r="I517" s="1548"/>
    </row>
    <row r="518" spans="9:9">
      <c r="I518" s="1548"/>
    </row>
    <row r="519" spans="9:9">
      <c r="I519" s="1548"/>
    </row>
    <row r="520" spans="9:9">
      <c r="I520" s="1266"/>
    </row>
    <row r="521" spans="9:9">
      <c r="I521" s="1548"/>
    </row>
    <row r="522" spans="9:9">
      <c r="I522" s="1548"/>
    </row>
    <row r="523" spans="9:9">
      <c r="I523" s="1548"/>
    </row>
    <row r="524" spans="9:9">
      <c r="I524" s="1548"/>
    </row>
    <row r="525" spans="9:9">
      <c r="I525" s="1548"/>
    </row>
    <row r="526" spans="9:9">
      <c r="I526" s="1548"/>
    </row>
    <row r="527" spans="9:9">
      <c r="I527" s="1266"/>
    </row>
    <row r="528" spans="9:9">
      <c r="I528" s="1548"/>
    </row>
    <row r="529" spans="9:9">
      <c r="I529" s="1548"/>
    </row>
    <row r="530" spans="9:9">
      <c r="I530" s="1548"/>
    </row>
    <row r="531" spans="9:9">
      <c r="I531" s="1548"/>
    </row>
    <row r="532" spans="9:9">
      <c r="I532" s="1548"/>
    </row>
    <row r="533" spans="9:9">
      <c r="I533" s="1548"/>
    </row>
    <row r="534" spans="9:9">
      <c r="I534" s="1266"/>
    </row>
    <row r="535" spans="9:9">
      <c r="I535" s="1548"/>
    </row>
    <row r="536" spans="9:9">
      <c r="I536" s="1548"/>
    </row>
    <row r="537" spans="9:9">
      <c r="I537" s="1548"/>
    </row>
    <row r="538" spans="9:9">
      <c r="I538" s="1548"/>
    </row>
    <row r="539" spans="9:9">
      <c r="I539" s="1548"/>
    </row>
    <row r="540" spans="9:9">
      <c r="I540" s="1548"/>
    </row>
    <row r="541" spans="9:9">
      <c r="I541" s="1266"/>
    </row>
    <row r="542" spans="9:9">
      <c r="I542" s="1548"/>
    </row>
    <row r="543" spans="9:9">
      <c r="I543" s="1548"/>
    </row>
    <row r="544" spans="9:9">
      <c r="I544" s="1548"/>
    </row>
    <row r="545" spans="9:9">
      <c r="I545" s="1548"/>
    </row>
    <row r="546" spans="9:9">
      <c r="I546" s="1548"/>
    </row>
    <row r="547" spans="9:9">
      <c r="I547" s="1548"/>
    </row>
    <row r="548" spans="9:9">
      <c r="I548" s="1548"/>
    </row>
    <row r="549" spans="9:9">
      <c r="I549" s="1266"/>
    </row>
    <row r="550" spans="9:9">
      <c r="I550" s="1548"/>
    </row>
    <row r="551" spans="9:9">
      <c r="I551" s="1548"/>
    </row>
    <row r="552" spans="9:9">
      <c r="I552" s="1548"/>
    </row>
    <row r="553" spans="9:9">
      <c r="I553" s="1548"/>
    </row>
    <row r="554" spans="9:9">
      <c r="I554" s="1548"/>
    </row>
    <row r="555" spans="9:9">
      <c r="I555" s="1548"/>
    </row>
    <row r="556" spans="9:9">
      <c r="I556" s="1548"/>
    </row>
    <row r="557" spans="9:9">
      <c r="I557" s="1266"/>
    </row>
    <row r="558" spans="9:9">
      <c r="I558" s="1548"/>
    </row>
    <row r="559" spans="9:9">
      <c r="I559" s="1548"/>
    </row>
    <row r="560" spans="9:9">
      <c r="I560" s="1548"/>
    </row>
    <row r="561" spans="9:9">
      <c r="I561" s="1548"/>
    </row>
    <row r="562" spans="9:9">
      <c r="I562" s="1548"/>
    </row>
    <row r="563" spans="9:9">
      <c r="I563" s="1548"/>
    </row>
    <row r="564" spans="9:9">
      <c r="I564" s="1548"/>
    </row>
    <row r="565" spans="9:9">
      <c r="I565" s="1266"/>
    </row>
    <row r="566" spans="9:9">
      <c r="I566" s="1548"/>
    </row>
    <row r="567" spans="9:9">
      <c r="I567" s="1548"/>
    </row>
    <row r="568" spans="9:9">
      <c r="I568" s="1548"/>
    </row>
    <row r="569" spans="9:9">
      <c r="I569" s="1548"/>
    </row>
    <row r="570" spans="9:9">
      <c r="I570" s="1548"/>
    </row>
    <row r="571" spans="9:9">
      <c r="I571" s="1548"/>
    </row>
    <row r="572" spans="9:9">
      <c r="I572" s="1548"/>
    </row>
    <row r="573" spans="9:9">
      <c r="I573" s="1266"/>
    </row>
    <row r="574" spans="9:9">
      <c r="I574" s="1548"/>
    </row>
    <row r="575" spans="9:9">
      <c r="I575" s="1548"/>
    </row>
    <row r="576" spans="9:9">
      <c r="I576" s="1548"/>
    </row>
    <row r="577" spans="9:9">
      <c r="I577" s="1548"/>
    </row>
    <row r="578" spans="9:9">
      <c r="I578" s="1548"/>
    </row>
    <row r="579" spans="9:9">
      <c r="I579" s="1548"/>
    </row>
    <row r="580" spans="9:9">
      <c r="I580" s="1548"/>
    </row>
    <row r="581" spans="9:9">
      <c r="I581" s="1266"/>
    </row>
    <row r="582" spans="9:9">
      <c r="I582" s="1548"/>
    </row>
    <row r="583" spans="9:9">
      <c r="I583" s="1548"/>
    </row>
    <row r="584" spans="9:9">
      <c r="I584" s="1548"/>
    </row>
    <row r="585" spans="9:9">
      <c r="I585" s="1548"/>
    </row>
    <row r="586" spans="9:9">
      <c r="I586" s="1548"/>
    </row>
    <row r="587" spans="9:9">
      <c r="I587" s="1548"/>
    </row>
    <row r="588" spans="9:9">
      <c r="I588" s="1548"/>
    </row>
    <row r="589" spans="9:9">
      <c r="I589" s="1266"/>
    </row>
    <row r="590" spans="9:9">
      <c r="I590" s="1548"/>
    </row>
    <row r="591" spans="9:9">
      <c r="I591" s="1548"/>
    </row>
    <row r="592" spans="9:9">
      <c r="I592" s="1548"/>
    </row>
    <row r="593" spans="9:9">
      <c r="I593" s="1548"/>
    </row>
    <row r="594" spans="9:9">
      <c r="I594" s="1548"/>
    </row>
    <row r="595" spans="9:9">
      <c r="I595" s="1548"/>
    </row>
    <row r="596" spans="9:9">
      <c r="I596" s="1548"/>
    </row>
    <row r="597" spans="9:9">
      <c r="I597" s="1266"/>
    </row>
    <row r="598" spans="9:9">
      <c r="I598" s="1548"/>
    </row>
    <row r="599" spans="9:9">
      <c r="I599" s="1266"/>
    </row>
    <row r="600" spans="9:9">
      <c r="I600" s="1548"/>
    </row>
    <row r="601" spans="9:9">
      <c r="I601" s="1266"/>
    </row>
    <row r="602" spans="9:9">
      <c r="I602" s="1191"/>
    </row>
    <row r="603" spans="9:9">
      <c r="I603" s="1266"/>
    </row>
    <row r="604" spans="9:9">
      <c r="I604" s="1548"/>
    </row>
    <row r="605" spans="9:9">
      <c r="I605" s="1266"/>
    </row>
    <row r="606" spans="9:9">
      <c r="I606" s="1548"/>
    </row>
    <row r="607" spans="9:9">
      <c r="I607" s="1266"/>
    </row>
    <row r="608" spans="9:9">
      <c r="I608" s="1548"/>
    </row>
    <row r="609" spans="9:9">
      <c r="I609" s="1266"/>
    </row>
    <row r="610" spans="9:9">
      <c r="I610" s="1548"/>
    </row>
    <row r="611" spans="9:9">
      <c r="I611" s="1266"/>
    </row>
    <row r="612" spans="9:9">
      <c r="I612" s="1548"/>
    </row>
    <row r="613" spans="9:9">
      <c r="I613" s="1266"/>
    </row>
    <row r="614" spans="9:9">
      <c r="I614" s="1466"/>
    </row>
    <row r="615" spans="9:9">
      <c r="I615" s="1266"/>
    </row>
    <row r="616" spans="9:9">
      <c r="I616" s="1466"/>
    </row>
    <row r="617" spans="9:9">
      <c r="I617" s="1266"/>
    </row>
    <row r="618" spans="9:9">
      <c r="I618" s="1466"/>
    </row>
    <row r="619" spans="9:9">
      <c r="I619" s="1266"/>
    </row>
    <row r="620" spans="9:9">
      <c r="I620" s="1191"/>
    </row>
    <row r="621" spans="9:9">
      <c r="I621" s="1266"/>
    </row>
    <row r="622" spans="9:9">
      <c r="I622" s="1548"/>
    </row>
    <row r="623" spans="9:9">
      <c r="I623" s="1548"/>
    </row>
    <row r="624" spans="9:9">
      <c r="I624" s="1548"/>
    </row>
    <row r="625" spans="9:9">
      <c r="I625" s="1548"/>
    </row>
    <row r="626" spans="9:9">
      <c r="I626" s="1548"/>
    </row>
    <row r="627" spans="9:9">
      <c r="I627" s="1548"/>
    </row>
    <row r="628" spans="9:9">
      <c r="I628" s="1548"/>
    </row>
    <row r="629" spans="9:9">
      <c r="I629" s="1548"/>
    </row>
    <row r="630" spans="9:9">
      <c r="I630" s="1548"/>
    </row>
    <row r="631" spans="9:9">
      <c r="I631" s="1548"/>
    </row>
    <row r="632" spans="9:9">
      <c r="I632" s="1548"/>
    </row>
    <row r="633" spans="9:9">
      <c r="I633" s="1266"/>
    </row>
    <row r="634" spans="9:9">
      <c r="I634" s="1191"/>
    </row>
    <row r="635" spans="9:9">
      <c r="I635" s="1266"/>
    </row>
    <row r="636" spans="9:9">
      <c r="I636" s="1548"/>
    </row>
    <row r="637" spans="9:9">
      <c r="I637" s="1548"/>
    </row>
    <row r="638" spans="9:9">
      <c r="I638" s="1548"/>
    </row>
    <row r="639" spans="9:9">
      <c r="I639" s="1548"/>
    </row>
    <row r="640" spans="9:9">
      <c r="I640" s="1548"/>
    </row>
    <row r="641" spans="9:9">
      <c r="I641" s="1548"/>
    </row>
    <row r="642" spans="9:9">
      <c r="I642" s="1548"/>
    </row>
    <row r="643" spans="9:9">
      <c r="I643" s="1548"/>
    </row>
    <row r="644" spans="9:9">
      <c r="I644" s="1548"/>
    </row>
    <row r="645" spans="9:9">
      <c r="I645" s="1548"/>
    </row>
    <row r="646" spans="9:9">
      <c r="I646" s="1548"/>
    </row>
    <row r="647" spans="9:9">
      <c r="I647" s="1266"/>
    </row>
    <row r="648" spans="9:9">
      <c r="I648" s="1548"/>
    </row>
    <row r="649" spans="9:9">
      <c r="I649" s="1548"/>
    </row>
    <row r="650" spans="9:9">
      <c r="I650" s="1548"/>
    </row>
    <row r="651" spans="9:9">
      <c r="I651" s="1548"/>
    </row>
    <row r="652" spans="9:9">
      <c r="I652" s="1548"/>
    </row>
    <row r="653" spans="9:9">
      <c r="I653" s="1548"/>
    </row>
    <row r="654" spans="9:9">
      <c r="I654" s="1548"/>
    </row>
    <row r="655" spans="9:9">
      <c r="I655" s="1548"/>
    </row>
    <row r="656" spans="9:9">
      <c r="I656" s="1548"/>
    </row>
    <row r="657" spans="9:9">
      <c r="I657" s="1548"/>
    </row>
    <row r="658" spans="9:9">
      <c r="I658" s="1548"/>
    </row>
    <row r="659" spans="9:9">
      <c r="I659" s="1266"/>
    </row>
    <row r="660" spans="9:9">
      <c r="I660" s="1548"/>
    </row>
    <row r="661" spans="9:9">
      <c r="I661" s="1548"/>
    </row>
    <row r="662" spans="9:9">
      <c r="I662" s="1548"/>
    </row>
    <row r="663" spans="9:9">
      <c r="I663" s="1548"/>
    </row>
    <row r="664" spans="9:9">
      <c r="I664" s="1548"/>
    </row>
    <row r="665" spans="9:9">
      <c r="I665" s="1548"/>
    </row>
    <row r="666" spans="9:9">
      <c r="I666" s="1548"/>
    </row>
    <row r="667" spans="9:9">
      <c r="I667" s="1548"/>
    </row>
    <row r="668" spans="9:9">
      <c r="I668" s="1548"/>
    </row>
    <row r="669" spans="9:9">
      <c r="I669" s="1548"/>
    </row>
    <row r="670" spans="9:9">
      <c r="I670" s="1548"/>
    </row>
    <row r="671" spans="9:9">
      <c r="I671" s="1266"/>
    </row>
    <row r="672" spans="9:9">
      <c r="I672" s="1266"/>
    </row>
    <row r="673" spans="9:9">
      <c r="I673" s="1266"/>
    </row>
    <row r="674" spans="9:9">
      <c r="I674" s="1191"/>
    </row>
    <row r="675" spans="9:9">
      <c r="I675" s="1266"/>
    </row>
    <row r="676" spans="9:9">
      <c r="I676" s="1466"/>
    </row>
    <row r="677" spans="9:9">
      <c r="I677" s="1466"/>
    </row>
    <row r="679" spans="9:9">
      <c r="I679" s="1266"/>
    </row>
    <row r="680" spans="9:9">
      <c r="I680" s="1548"/>
    </row>
    <row r="681" spans="9:9">
      <c r="I681" s="1191"/>
    </row>
    <row r="682" spans="9:9">
      <c r="I682" s="1191"/>
    </row>
    <row r="683" spans="9:9">
      <c r="I683" s="1266"/>
    </row>
    <row r="684" spans="9:9">
      <c r="I684" s="1466"/>
    </row>
    <row r="685" spans="9:9">
      <c r="I685" s="1266"/>
    </row>
    <row r="686" spans="9:9">
      <c r="I686" s="1266"/>
    </row>
    <row r="687" spans="9:9">
      <c r="I687" s="1548"/>
    </row>
    <row r="688" spans="9:9">
      <c r="I688" s="1191"/>
    </row>
    <row r="689" spans="9:9">
      <c r="I689" s="1550"/>
    </row>
    <row r="690" spans="9:9">
      <c r="I690" s="1550"/>
    </row>
    <row r="691" spans="9:9">
      <c r="I691" s="1550"/>
    </row>
    <row r="692" spans="9:9">
      <c r="I692" s="1550"/>
    </row>
    <row r="693" spans="9:9">
      <c r="I693" s="1550"/>
    </row>
    <row r="694" spans="9:9">
      <c r="I694" s="1550"/>
    </row>
    <row r="695" spans="9:9">
      <c r="I695" s="1550"/>
    </row>
    <row r="696" spans="9:9">
      <c r="I696" s="1550"/>
    </row>
    <row r="697" spans="9:9">
      <c r="I697" s="1550"/>
    </row>
    <row r="698" spans="9:9">
      <c r="I698" s="1550"/>
    </row>
    <row r="699" spans="9:9">
      <c r="I699" s="1550"/>
    </row>
    <row r="700" spans="9:9">
      <c r="I700" s="1550"/>
    </row>
    <row r="701" spans="9:9">
      <c r="I701" s="1550"/>
    </row>
    <row r="702" spans="9:9">
      <c r="I702" s="1550"/>
    </row>
    <row r="703" spans="9:9">
      <c r="I703" s="1551"/>
    </row>
    <row r="704" spans="9:9">
      <c r="I704" s="1551"/>
    </row>
    <row r="705" spans="9:9">
      <c r="I705" s="1551"/>
    </row>
    <row r="706" spans="9:9">
      <c r="I706" s="1191"/>
    </row>
    <row r="707" spans="9:9">
      <c r="I707" s="1552"/>
    </row>
    <row r="708" spans="9:9">
      <c r="I708" s="1552"/>
    </row>
    <row r="709" spans="9:9">
      <c r="I709" s="1191"/>
    </row>
    <row r="710" spans="9:9">
      <c r="I710" s="1191"/>
    </row>
    <row r="711" spans="9:9">
      <c r="I711" s="1191"/>
    </row>
  </sheetData>
  <mergeCells count="6">
    <mergeCell ref="A361:G361"/>
    <mergeCell ref="A2:I2"/>
    <mergeCell ref="A355:C355"/>
    <mergeCell ref="A358:G358"/>
    <mergeCell ref="A359:G359"/>
    <mergeCell ref="A360:G360"/>
  </mergeCells>
  <printOptions horizontalCentered="1"/>
  <pageMargins left="0.39370078740157483" right="0.39370078740157483" top="0.78740157480314965" bottom="0.55118110236220474" header="0.51181102362204722" footer="0.51181102362204722"/>
  <pageSetup paperSize="9" scale="69" fitToHeight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CBE7-90C9-434D-AA95-8F91008131C4}">
  <sheetPr>
    <pageSetUpPr fitToPage="1"/>
  </sheetPr>
  <dimension ref="A1:DQ397"/>
  <sheetViews>
    <sheetView topLeftCell="A86" zoomScaleNormal="100" workbookViewId="0">
      <selection activeCell="F263" sqref="F263"/>
    </sheetView>
  </sheetViews>
  <sheetFormatPr defaultRowHeight="15"/>
  <cols>
    <col min="1" max="1" width="4.83203125" style="1287" customWidth="1"/>
    <col min="2" max="2" width="5" style="1287" customWidth="1"/>
    <col min="3" max="3" width="16.83203125" style="1287" customWidth="1"/>
    <col min="4" max="4" width="75.83203125" style="1287" customWidth="1"/>
    <col min="5" max="5" width="7.83203125" style="1287" customWidth="1"/>
    <col min="6" max="6" width="11.83203125" style="1648" customWidth="1"/>
    <col min="7" max="7" width="13.6640625" style="1287" customWidth="1"/>
    <col min="8" max="8" width="18.33203125" style="1287" customWidth="1"/>
    <col min="9" max="9" width="20.1640625" style="1287" customWidth="1"/>
    <col min="10" max="10" width="20.83203125" style="1287" customWidth="1"/>
    <col min="11" max="11" width="19.5" style="1287" customWidth="1"/>
    <col min="12" max="12" width="19.6640625" style="1287" customWidth="1"/>
    <col min="13" max="13" width="15.6640625" style="1287" customWidth="1"/>
    <col min="14" max="14" width="14.1640625" style="1287" customWidth="1"/>
    <col min="15" max="15" width="13.1640625" style="1287" customWidth="1"/>
    <col min="16" max="16" width="12.1640625" style="1287" customWidth="1"/>
    <col min="17" max="17" width="17.5" style="1287" customWidth="1"/>
    <col min="18" max="18" width="19.6640625" style="1287" customWidth="1"/>
    <col min="19" max="19" width="12.83203125" style="1287" customWidth="1"/>
    <col min="20" max="20" width="15.33203125" style="1287" customWidth="1"/>
    <col min="21" max="21" width="9.33203125" style="1287"/>
    <col min="22" max="22" width="12.83203125" style="1287" customWidth="1"/>
    <col min="23" max="16384" width="9.33203125" style="1287"/>
  </cols>
  <sheetData>
    <row r="1" spans="1:21" ht="20.25">
      <c r="A1" s="133" t="s">
        <v>2956</v>
      </c>
      <c r="B1" s="509"/>
      <c r="C1" s="509"/>
      <c r="D1" s="510"/>
      <c r="E1" s="1187"/>
      <c r="F1" s="1591"/>
      <c r="G1" s="1187"/>
      <c r="H1" s="1592"/>
      <c r="I1" s="1187"/>
      <c r="J1" s="1286"/>
    </row>
    <row r="2" spans="1:21" ht="13.5" customHeight="1">
      <c r="A2" s="3065" t="s">
        <v>116</v>
      </c>
      <c r="B2" s="3079"/>
      <c r="C2" s="3079"/>
      <c r="D2" s="3079"/>
      <c r="E2" s="3079"/>
      <c r="F2" s="3079"/>
      <c r="G2" s="3079"/>
      <c r="H2" s="3079"/>
      <c r="I2" s="3079"/>
    </row>
    <row r="3" spans="1:21" ht="13.5" customHeight="1">
      <c r="A3" s="1288" t="s">
        <v>2202</v>
      </c>
      <c r="B3" s="1289"/>
      <c r="C3" s="1289"/>
      <c r="D3" s="1289"/>
      <c r="E3" s="1289"/>
      <c r="F3" s="1290"/>
      <c r="G3" s="1290"/>
      <c r="H3" s="1291"/>
      <c r="I3" s="1291"/>
    </row>
    <row r="4" spans="1:21">
      <c r="A4" s="1290"/>
      <c r="B4" s="1290"/>
      <c r="C4" s="1290"/>
      <c r="D4" s="1292"/>
      <c r="E4" s="1293"/>
      <c r="F4" s="1593"/>
      <c r="G4" s="1290"/>
      <c r="H4" s="1290"/>
      <c r="I4" s="1294"/>
    </row>
    <row r="5" spans="1:21" ht="22.5">
      <c r="A5" s="1295" t="s">
        <v>119</v>
      </c>
      <c r="B5" s="1295" t="s">
        <v>120</v>
      </c>
      <c r="C5" s="1295" t="s">
        <v>121</v>
      </c>
      <c r="D5" s="1295" t="s">
        <v>122</v>
      </c>
      <c r="E5" s="1295" t="s">
        <v>123</v>
      </c>
      <c r="F5" s="1594" t="s">
        <v>124</v>
      </c>
      <c r="G5" s="1295" t="s">
        <v>125</v>
      </c>
      <c r="H5" s="1296" t="s">
        <v>2</v>
      </c>
      <c r="I5" s="1297" t="s">
        <v>46</v>
      </c>
      <c r="J5" s="1595"/>
    </row>
    <row r="6" spans="1:21">
      <c r="A6" s="1295" t="s">
        <v>126</v>
      </c>
      <c r="B6" s="1295" t="s">
        <v>127</v>
      </c>
      <c r="C6" s="1295">
        <v>3</v>
      </c>
      <c r="D6" s="1295">
        <v>4</v>
      </c>
      <c r="E6" s="1295">
        <v>5</v>
      </c>
      <c r="F6" s="1594">
        <v>6</v>
      </c>
      <c r="G6" s="1295">
        <v>7</v>
      </c>
      <c r="H6" s="1296">
        <v>8</v>
      </c>
      <c r="I6" s="1297">
        <v>9</v>
      </c>
    </row>
    <row r="7" spans="1:21" ht="21" customHeight="1">
      <c r="A7" s="1298"/>
      <c r="B7" s="1299"/>
      <c r="C7" s="1299" t="s">
        <v>373</v>
      </c>
      <c r="D7" s="1299" t="s">
        <v>374</v>
      </c>
      <c r="E7" s="1299"/>
      <c r="F7" s="1596"/>
      <c r="G7" s="1301"/>
      <c r="H7" s="1301">
        <f>H8+H62+H139+H284</f>
        <v>0</v>
      </c>
      <c r="I7" s="1302"/>
      <c r="J7" s="1303"/>
    </row>
    <row r="8" spans="1:21" s="1291" customFormat="1" ht="13.5" customHeight="1">
      <c r="A8" s="1363"/>
      <c r="B8" s="1364"/>
      <c r="C8" s="1364">
        <v>731</v>
      </c>
      <c r="D8" s="1364" t="s">
        <v>2203</v>
      </c>
      <c r="E8" s="1364"/>
      <c r="F8" s="1365"/>
      <c r="G8" s="1597"/>
      <c r="H8" s="1597">
        <f>SUM(H9:H61)</f>
        <v>0</v>
      </c>
      <c r="I8" s="1598"/>
    </row>
    <row r="9" spans="1:21" s="1291" customFormat="1" ht="13.5" customHeight="1">
      <c r="A9" s="1335">
        <v>1</v>
      </c>
      <c r="B9" s="1336" t="s">
        <v>2204</v>
      </c>
      <c r="C9" s="1337" t="s">
        <v>2205</v>
      </c>
      <c r="D9" s="1337" t="s">
        <v>2206</v>
      </c>
      <c r="E9" s="1337" t="s">
        <v>49</v>
      </c>
      <c r="F9" s="1354">
        <f>F10</f>
        <v>1</v>
      </c>
      <c r="G9" s="1339"/>
      <c r="H9" s="814">
        <f>ROUND(F9*G9,2)</f>
        <v>0</v>
      </c>
      <c r="I9" s="153" t="s">
        <v>112</v>
      </c>
      <c r="Q9" s="1734"/>
      <c r="R9" s="1734"/>
    </row>
    <row r="10" spans="1:21" s="1291" customFormat="1" ht="13.5" customHeight="1">
      <c r="A10" s="1599"/>
      <c r="B10" s="1337"/>
      <c r="C10" s="1337"/>
      <c r="D10" s="342" t="s">
        <v>2207</v>
      </c>
      <c r="E10" s="1337"/>
      <c r="F10" s="1600">
        <v>1</v>
      </c>
      <c r="G10" s="1339"/>
      <c r="H10" s="741"/>
      <c r="I10" s="153"/>
      <c r="J10" s="1601"/>
      <c r="K10" s="1735"/>
      <c r="R10" s="1602"/>
      <c r="S10" s="1602"/>
      <c r="T10" s="1602"/>
      <c r="U10" s="1736"/>
    </row>
    <row r="11" spans="1:21" s="1291" customFormat="1" ht="13.5" customHeight="1">
      <c r="A11" s="1599"/>
      <c r="B11" s="1337"/>
      <c r="C11" s="1337"/>
      <c r="D11" s="342" t="s">
        <v>2208</v>
      </c>
      <c r="E11" s="1337"/>
      <c r="F11" s="1354"/>
      <c r="G11" s="1339"/>
      <c r="H11" s="741"/>
      <c r="I11" s="153"/>
      <c r="J11" s="1601"/>
      <c r="K11" s="1735"/>
      <c r="R11" s="1602"/>
      <c r="S11" s="1602"/>
      <c r="T11" s="1602"/>
      <c r="U11" s="1736"/>
    </row>
    <row r="12" spans="1:21" s="1291" customFormat="1" ht="27" customHeight="1">
      <c r="A12" s="1599"/>
      <c r="B12" s="1337"/>
      <c r="C12" s="1337"/>
      <c r="D12" s="342" t="s">
        <v>2209</v>
      </c>
      <c r="E12" s="1337"/>
      <c r="F12" s="1354"/>
      <c r="G12" s="1339"/>
      <c r="H12" s="741"/>
      <c r="I12" s="153"/>
      <c r="J12" s="1601"/>
      <c r="K12" s="1735"/>
      <c r="R12" s="1602"/>
      <c r="S12" s="1602"/>
      <c r="T12" s="1602"/>
      <c r="U12" s="1736"/>
    </row>
    <row r="13" spans="1:21" s="1291" customFormat="1" ht="13.5" customHeight="1">
      <c r="A13" s="1335">
        <v>2</v>
      </c>
      <c r="B13" s="1336" t="s">
        <v>2204</v>
      </c>
      <c r="C13" s="1337" t="s">
        <v>2210</v>
      </c>
      <c r="D13" s="1337" t="s">
        <v>2211</v>
      </c>
      <c r="E13" s="1337" t="s">
        <v>49</v>
      </c>
      <c r="F13" s="1354">
        <f>F14</f>
        <v>1</v>
      </c>
      <c r="G13" s="1339"/>
      <c r="H13" s="814">
        <f>ROUND(F13*G13,2)</f>
        <v>0</v>
      </c>
      <c r="I13" s="153" t="s">
        <v>112</v>
      </c>
      <c r="Q13" s="1734"/>
      <c r="R13" s="1734"/>
    </row>
    <row r="14" spans="1:21" s="1291" customFormat="1" ht="13.5" customHeight="1">
      <c r="A14" s="1599"/>
      <c r="B14" s="1337"/>
      <c r="C14" s="1337"/>
      <c r="D14" s="342" t="s">
        <v>2207</v>
      </c>
      <c r="E14" s="1337"/>
      <c r="F14" s="1600">
        <v>1</v>
      </c>
      <c r="G14" s="1339"/>
      <c r="H14" s="741"/>
      <c r="I14" s="153"/>
      <c r="J14" s="1601"/>
      <c r="K14" s="1735"/>
      <c r="R14" s="1602"/>
      <c r="S14" s="1602"/>
      <c r="T14" s="1602"/>
      <c r="U14" s="1736"/>
    </row>
    <row r="15" spans="1:21" s="1291" customFormat="1" ht="13.5" customHeight="1">
      <c r="A15" s="1599"/>
      <c r="B15" s="1337"/>
      <c r="C15" s="1337"/>
      <c r="D15" s="342" t="s">
        <v>2208</v>
      </c>
      <c r="E15" s="1337"/>
      <c r="F15" s="1354"/>
      <c r="G15" s="1339"/>
      <c r="H15" s="741"/>
      <c r="I15" s="153"/>
      <c r="J15" s="1601"/>
      <c r="K15" s="1735"/>
      <c r="R15" s="1602"/>
      <c r="S15" s="1602"/>
      <c r="T15" s="1602"/>
      <c r="U15" s="1736"/>
    </row>
    <row r="16" spans="1:21" s="1291" customFormat="1" ht="27" customHeight="1">
      <c r="A16" s="1599"/>
      <c r="B16" s="1337"/>
      <c r="C16" s="1337"/>
      <c r="D16" s="342" t="s">
        <v>2209</v>
      </c>
      <c r="E16" s="1337"/>
      <c r="F16" s="1354"/>
      <c r="G16" s="1339"/>
      <c r="H16" s="741"/>
      <c r="I16" s="153"/>
      <c r="J16" s="1601"/>
      <c r="K16" s="1735"/>
      <c r="R16" s="1602"/>
      <c r="S16" s="1602"/>
      <c r="T16" s="1602"/>
      <c r="U16" s="1736"/>
    </row>
    <row r="17" spans="1:22" s="1291" customFormat="1" ht="13.5" customHeight="1">
      <c r="A17" s="1347">
        <v>3</v>
      </c>
      <c r="B17" s="1337" t="s">
        <v>2204</v>
      </c>
      <c r="C17" s="1337" t="s">
        <v>2212</v>
      </c>
      <c r="D17" s="1348" t="s">
        <v>2213</v>
      </c>
      <c r="E17" s="1348" t="s">
        <v>210</v>
      </c>
      <c r="F17" s="1349">
        <f>F18</f>
        <v>1</v>
      </c>
      <c r="G17" s="1350"/>
      <c r="H17" s="814">
        <f>ROUND(F17*G17,2)</f>
        <v>0</v>
      </c>
      <c r="I17" s="153" t="s">
        <v>112</v>
      </c>
      <c r="J17" s="1737"/>
      <c r="K17" s="1738"/>
      <c r="L17" s="1603"/>
      <c r="T17" s="1734"/>
    </row>
    <row r="18" spans="1:22" s="1610" customFormat="1" ht="40.5" customHeight="1">
      <c r="A18" s="1604"/>
      <c r="B18" s="1605"/>
      <c r="C18" s="1605"/>
      <c r="D18" s="1606" t="s">
        <v>2214</v>
      </c>
      <c r="E18" s="1605"/>
      <c r="F18" s="1607">
        <v>1</v>
      </c>
      <c r="G18" s="1608"/>
      <c r="H18" s="1608"/>
      <c r="I18" s="1609"/>
      <c r="J18" s="1739"/>
      <c r="L18" s="1739"/>
      <c r="M18" s="1740"/>
      <c r="P18" s="1740"/>
    </row>
    <row r="19" spans="1:22" s="1291" customFormat="1" ht="13.5" customHeight="1">
      <c r="A19" s="1347">
        <v>4</v>
      </c>
      <c r="B19" s="1337" t="s">
        <v>2204</v>
      </c>
      <c r="C19" s="1337" t="s">
        <v>2215</v>
      </c>
      <c r="D19" s="1348" t="s">
        <v>2216</v>
      </c>
      <c r="E19" s="1348" t="s">
        <v>210</v>
      </c>
      <c r="F19" s="1349">
        <f>SUM(F20)</f>
        <v>1</v>
      </c>
      <c r="G19" s="1350"/>
      <c r="H19" s="814">
        <f>ROUND(F19*G19,2)</f>
        <v>0</v>
      </c>
      <c r="I19" s="153" t="s">
        <v>112</v>
      </c>
      <c r="J19" s="1741"/>
      <c r="K19" s="1738"/>
      <c r="L19" s="1603"/>
      <c r="T19" s="1734"/>
    </row>
    <row r="20" spans="1:22" s="1357" customFormat="1" ht="27" customHeight="1">
      <c r="A20" s="1351"/>
      <c r="B20" s="1352"/>
      <c r="C20" s="1352"/>
      <c r="D20" s="1353" t="s">
        <v>2217</v>
      </c>
      <c r="E20" s="1611"/>
      <c r="F20" s="1612">
        <v>1</v>
      </c>
      <c r="G20" s="1613"/>
      <c r="H20" s="1614"/>
      <c r="I20" s="1615"/>
      <c r="J20" s="1741"/>
      <c r="K20" s="458"/>
      <c r="Q20" s="1742"/>
    </row>
    <row r="21" spans="1:22" s="1357" customFormat="1" ht="27" customHeight="1">
      <c r="A21" s="1351"/>
      <c r="B21" s="1352"/>
      <c r="C21" s="1352"/>
      <c r="D21" s="1353" t="s">
        <v>2218</v>
      </c>
      <c r="E21" s="1611"/>
      <c r="F21" s="1612"/>
      <c r="G21" s="1616"/>
      <c r="H21" s="1614"/>
      <c r="I21" s="1291"/>
      <c r="J21" s="1743"/>
    </row>
    <row r="22" spans="1:22" s="1291" customFormat="1" ht="13.5" customHeight="1">
      <c r="A22" s="1347">
        <v>5</v>
      </c>
      <c r="B22" s="1337" t="s">
        <v>2204</v>
      </c>
      <c r="C22" s="1337" t="s">
        <v>2219</v>
      </c>
      <c r="D22" s="1348" t="s">
        <v>2220</v>
      </c>
      <c r="E22" s="1348" t="s">
        <v>210</v>
      </c>
      <c r="F22" s="1349">
        <f>SUM(F23)</f>
        <v>1</v>
      </c>
      <c r="G22" s="1350"/>
      <c r="H22" s="814">
        <f>ROUND(F22*G22,2)</f>
        <v>0</v>
      </c>
      <c r="I22" s="153" t="s">
        <v>112</v>
      </c>
      <c r="J22" s="1741"/>
      <c r="K22" s="1738"/>
      <c r="L22" s="1603"/>
      <c r="T22" s="1734"/>
    </row>
    <row r="23" spans="1:22" s="1357" customFormat="1" ht="27" customHeight="1">
      <c r="A23" s="1351"/>
      <c r="B23" s="1352"/>
      <c r="C23" s="1352"/>
      <c r="D23" s="1617" t="s">
        <v>2221</v>
      </c>
      <c r="E23" s="1611"/>
      <c r="F23" s="1612">
        <v>1</v>
      </c>
      <c r="G23" s="1613"/>
      <c r="H23" s="1614"/>
      <c r="I23" s="1615"/>
      <c r="J23" s="1741"/>
      <c r="K23" s="458"/>
      <c r="M23" s="1744"/>
      <c r="Q23" s="1742"/>
    </row>
    <row r="24" spans="1:22" s="1357" customFormat="1" ht="27" customHeight="1">
      <c r="A24" s="1351"/>
      <c r="B24" s="1352"/>
      <c r="C24" s="1352"/>
      <c r="D24" s="1353" t="s">
        <v>2218</v>
      </c>
      <c r="E24" s="1611"/>
      <c r="F24" s="1612"/>
      <c r="G24" s="1616"/>
      <c r="H24" s="1614"/>
      <c r="I24" s="1291"/>
      <c r="J24" s="1743"/>
    </row>
    <row r="25" spans="1:22" s="1291" customFormat="1" ht="13.5" customHeight="1">
      <c r="A25" s="1347">
        <v>6</v>
      </c>
      <c r="B25" s="1337" t="s">
        <v>2204</v>
      </c>
      <c r="C25" s="1337" t="s">
        <v>2222</v>
      </c>
      <c r="D25" s="1348" t="s">
        <v>2223</v>
      </c>
      <c r="E25" s="1348" t="s">
        <v>210</v>
      </c>
      <c r="F25" s="1349">
        <f>SUM(F26)</f>
        <v>1</v>
      </c>
      <c r="G25" s="1350"/>
      <c r="H25" s="814">
        <f>ROUND(F25*G25,2)</f>
        <v>0</v>
      </c>
      <c r="I25" s="153" t="s">
        <v>112</v>
      </c>
      <c r="J25" s="1741"/>
      <c r="K25" s="1738"/>
      <c r="L25" s="1603"/>
      <c r="S25" s="1745"/>
    </row>
    <row r="26" spans="1:22" s="1357" customFormat="1" ht="27" customHeight="1">
      <c r="A26" s="1351"/>
      <c r="B26" s="1352"/>
      <c r="C26" s="1352"/>
      <c r="D26" s="1617" t="s">
        <v>2224</v>
      </c>
      <c r="E26" s="1611"/>
      <c r="F26" s="1612">
        <v>1</v>
      </c>
      <c r="G26" s="1613"/>
      <c r="H26" s="1614"/>
      <c r="I26" s="1615"/>
      <c r="J26" s="1741"/>
      <c r="K26" s="458"/>
      <c r="Q26" s="1742"/>
    </row>
    <row r="27" spans="1:22" s="1357" customFormat="1" ht="27" customHeight="1">
      <c r="A27" s="1351"/>
      <c r="B27" s="1352"/>
      <c r="C27" s="1352"/>
      <c r="D27" s="1353" t="s">
        <v>2218</v>
      </c>
      <c r="E27" s="1611"/>
      <c r="F27" s="1612"/>
      <c r="G27" s="1616"/>
      <c r="H27" s="1614"/>
      <c r="I27" s="1291"/>
      <c r="J27" s="1743"/>
    </row>
    <row r="28" spans="1:22" s="1291" customFormat="1" ht="13.5" customHeight="1">
      <c r="A28" s="1347">
        <v>7</v>
      </c>
      <c r="B28" s="1337" t="s">
        <v>2204</v>
      </c>
      <c r="C28" s="1337" t="s">
        <v>2225</v>
      </c>
      <c r="D28" s="1348" t="s">
        <v>2226</v>
      </c>
      <c r="E28" s="1348" t="s">
        <v>210</v>
      </c>
      <c r="F28" s="1349">
        <f>SUM(F29)</f>
        <v>1</v>
      </c>
      <c r="G28" s="1350"/>
      <c r="H28" s="814">
        <f>ROUND(F28*G28,2)</f>
        <v>0</v>
      </c>
      <c r="I28" s="153" t="s">
        <v>112</v>
      </c>
      <c r="J28" s="1741"/>
      <c r="K28" s="1738"/>
      <c r="L28" s="1603"/>
      <c r="S28" s="1745"/>
      <c r="T28" s="1734"/>
      <c r="U28" s="1738"/>
      <c r="V28" s="1603"/>
    </row>
    <row r="29" spans="1:22" s="1357" customFormat="1" ht="27" customHeight="1">
      <c r="A29" s="1351"/>
      <c r="B29" s="1352"/>
      <c r="C29" s="1352"/>
      <c r="D29" s="1617" t="s">
        <v>2227</v>
      </c>
      <c r="E29" s="1611"/>
      <c r="F29" s="1612">
        <v>1</v>
      </c>
      <c r="G29" s="1613"/>
      <c r="H29" s="1614"/>
      <c r="I29" s="1615"/>
      <c r="J29" s="1741"/>
      <c r="K29" s="458"/>
      <c r="Q29" s="1742"/>
    </row>
    <row r="30" spans="1:22" s="1357" customFormat="1" ht="27" customHeight="1">
      <c r="A30" s="1351"/>
      <c r="B30" s="1352"/>
      <c r="C30" s="1352"/>
      <c r="D30" s="1353" t="s">
        <v>2218</v>
      </c>
      <c r="E30" s="1611"/>
      <c r="F30" s="1612"/>
      <c r="G30" s="1616"/>
      <c r="H30" s="1614"/>
      <c r="I30" s="1291"/>
      <c r="J30" s="1743"/>
    </row>
    <row r="31" spans="1:22" s="1291" customFormat="1" ht="13.5" customHeight="1">
      <c r="A31" s="1347">
        <v>8</v>
      </c>
      <c r="B31" s="1337" t="s">
        <v>2204</v>
      </c>
      <c r="C31" s="1337" t="s">
        <v>2228</v>
      </c>
      <c r="D31" s="1348" t="s">
        <v>2229</v>
      </c>
      <c r="E31" s="1348" t="s">
        <v>210</v>
      </c>
      <c r="F31" s="1349">
        <f>SUM(F32)</f>
        <v>1</v>
      </c>
      <c r="G31" s="1350"/>
      <c r="H31" s="814">
        <f>ROUND(F31*G31,2)</f>
        <v>0</v>
      </c>
      <c r="I31" s="153" t="s">
        <v>112</v>
      </c>
      <c r="J31" s="1741"/>
      <c r="K31" s="1738"/>
      <c r="L31" s="1603"/>
      <c r="S31" s="1745"/>
      <c r="T31" s="1734"/>
      <c r="U31" s="1738"/>
      <c r="V31" s="1603"/>
    </row>
    <row r="32" spans="1:22" s="1357" customFormat="1" ht="27" customHeight="1">
      <c r="A32" s="1351"/>
      <c r="B32" s="1352"/>
      <c r="C32" s="1352"/>
      <c r="D32" s="1617" t="s">
        <v>2230</v>
      </c>
      <c r="E32" s="1611"/>
      <c r="F32" s="1612">
        <v>1</v>
      </c>
      <c r="G32" s="1613"/>
      <c r="H32" s="1614"/>
      <c r="I32" s="1615"/>
      <c r="J32" s="1741"/>
      <c r="K32" s="458"/>
      <c r="Q32" s="1742"/>
    </row>
    <row r="33" spans="1:121" s="1357" customFormat="1" ht="27" customHeight="1">
      <c r="A33" s="1351"/>
      <c r="B33" s="1352"/>
      <c r="C33" s="1352"/>
      <c r="D33" s="1353" t="s">
        <v>2218</v>
      </c>
      <c r="E33" s="1611"/>
      <c r="F33" s="1612"/>
      <c r="G33" s="1616"/>
      <c r="H33" s="1614"/>
      <c r="I33" s="1291"/>
      <c r="J33" s="1743"/>
    </row>
    <row r="34" spans="1:121" s="1291" customFormat="1" ht="13.5" customHeight="1">
      <c r="A34" s="1347">
        <v>9</v>
      </c>
      <c r="B34" s="1337" t="s">
        <v>2204</v>
      </c>
      <c r="C34" s="1337" t="s">
        <v>2231</v>
      </c>
      <c r="D34" s="1348" t="s">
        <v>2232</v>
      </c>
      <c r="E34" s="1348" t="s">
        <v>210</v>
      </c>
      <c r="F34" s="1349">
        <f>SUM(F35)</f>
        <v>1</v>
      </c>
      <c r="G34" s="1350"/>
      <c r="H34" s="814">
        <f>ROUND(F34*G34,2)</f>
        <v>0</v>
      </c>
      <c r="I34" s="153" t="s">
        <v>112</v>
      </c>
      <c r="J34" s="1741"/>
      <c r="K34" s="1738"/>
      <c r="L34" s="1603"/>
      <c r="S34" s="1745"/>
      <c r="T34" s="1734"/>
      <c r="U34" s="1738"/>
      <c r="V34" s="1603"/>
    </row>
    <row r="35" spans="1:121" s="1357" customFormat="1" ht="27" customHeight="1">
      <c r="A35" s="1351"/>
      <c r="B35" s="1352"/>
      <c r="C35" s="1352"/>
      <c r="D35" s="1617" t="s">
        <v>2233</v>
      </c>
      <c r="E35" s="1611"/>
      <c r="F35" s="1612">
        <v>1</v>
      </c>
      <c r="G35" s="1613"/>
      <c r="H35" s="1614"/>
      <c r="I35" s="1615"/>
      <c r="J35" s="1741"/>
      <c r="K35" s="458"/>
      <c r="Q35" s="1742"/>
    </row>
    <row r="36" spans="1:121" s="1357" customFormat="1" ht="27" customHeight="1">
      <c r="A36" s="1351"/>
      <c r="B36" s="1352"/>
      <c r="C36" s="1352"/>
      <c r="D36" s="1353" t="s">
        <v>2218</v>
      </c>
      <c r="E36" s="1611"/>
      <c r="F36" s="1612"/>
      <c r="G36" s="1616"/>
      <c r="H36" s="1614"/>
      <c r="I36" s="1291"/>
      <c r="J36" s="1743"/>
    </row>
    <row r="37" spans="1:121" s="1291" customFormat="1" ht="13.5" customHeight="1">
      <c r="A37" s="1347">
        <v>10</v>
      </c>
      <c r="B37" s="1337" t="s">
        <v>2204</v>
      </c>
      <c r="C37" s="1337" t="s">
        <v>2234</v>
      </c>
      <c r="D37" s="1348" t="s">
        <v>2235</v>
      </c>
      <c r="E37" s="1348" t="s">
        <v>210</v>
      </c>
      <c r="F37" s="1349">
        <f>SUM(F38)</f>
        <v>2</v>
      </c>
      <c r="G37" s="1350"/>
      <c r="H37" s="814">
        <f>ROUND(F37*G37,2)</f>
        <v>0</v>
      </c>
      <c r="I37" s="153" t="s">
        <v>112</v>
      </c>
      <c r="J37" s="1741"/>
      <c r="K37" s="1738"/>
      <c r="L37" s="1603"/>
      <c r="S37" s="1745"/>
      <c r="T37" s="1734"/>
      <c r="U37" s="1738"/>
      <c r="V37" s="1603"/>
    </row>
    <row r="38" spans="1:121" s="1357" customFormat="1" ht="27" customHeight="1">
      <c r="A38" s="1351"/>
      <c r="B38" s="1352"/>
      <c r="C38" s="1352"/>
      <c r="D38" s="1617" t="s">
        <v>2236</v>
      </c>
      <c r="E38" s="1611"/>
      <c r="F38" s="1612">
        <v>2</v>
      </c>
      <c r="G38" s="1613"/>
      <c r="H38" s="1614"/>
      <c r="I38" s="1615"/>
      <c r="J38" s="1741"/>
      <c r="K38" s="458"/>
      <c r="Q38" s="1742"/>
    </row>
    <row r="39" spans="1:121" s="1357" customFormat="1" ht="27" customHeight="1">
      <c r="A39" s="1351"/>
      <c r="B39" s="1352"/>
      <c r="C39" s="1352"/>
      <c r="D39" s="1353" t="s">
        <v>2218</v>
      </c>
      <c r="E39" s="1611"/>
      <c r="F39" s="1612"/>
      <c r="G39" s="1616"/>
      <c r="H39" s="1614"/>
      <c r="I39" s="1291"/>
      <c r="J39" s="1743"/>
    </row>
    <row r="40" spans="1:121" s="1291" customFormat="1" ht="13.5" customHeight="1">
      <c r="A40" s="1618">
        <v>11</v>
      </c>
      <c r="B40" s="1619" t="s">
        <v>2204</v>
      </c>
      <c r="C40" s="1619" t="s">
        <v>2237</v>
      </c>
      <c r="D40" s="1620" t="s">
        <v>2238</v>
      </c>
      <c r="E40" s="1620" t="s">
        <v>49</v>
      </c>
      <c r="F40" s="1354">
        <f>ROUND(SUM(F41),3)</f>
        <v>1</v>
      </c>
      <c r="G40" s="1621"/>
      <c r="H40" s="814">
        <f>ROUND(F40*G40,2)</f>
        <v>0</v>
      </c>
      <c r="I40" s="153" t="s">
        <v>112</v>
      </c>
      <c r="J40" s="1622"/>
      <c r="K40" s="1623"/>
      <c r="L40" s="1603"/>
      <c r="T40" s="1734"/>
    </row>
    <row r="41" spans="1:121" s="1291" customFormat="1" ht="13.5" customHeight="1">
      <c r="A41" s="1618"/>
      <c r="B41" s="1348"/>
      <c r="C41" s="1348"/>
      <c r="D41" s="1624" t="s">
        <v>2239</v>
      </c>
      <c r="E41" s="1348"/>
      <c r="F41" s="1625">
        <v>1</v>
      </c>
      <c r="G41" s="1350"/>
      <c r="H41" s="1350"/>
      <c r="I41" s="1626"/>
      <c r="J41" s="1741"/>
      <c r="K41" s="1627"/>
      <c r="L41" s="1603"/>
      <c r="T41" s="1734"/>
    </row>
    <row r="42" spans="1:121" s="1357" customFormat="1" ht="13.5" customHeight="1">
      <c r="A42" s="1628"/>
      <c r="B42" s="1629"/>
      <c r="C42" s="1629"/>
      <c r="D42" s="1624" t="s">
        <v>2240</v>
      </c>
      <c r="E42" s="1629"/>
      <c r="F42" s="1630"/>
      <c r="G42" s="1631"/>
      <c r="H42" s="1350"/>
      <c r="I42" s="1632"/>
      <c r="J42" s="1746"/>
      <c r="K42" s="1747"/>
      <c r="M42" s="1748"/>
    </row>
    <row r="43" spans="1:121" s="1291" customFormat="1" ht="13.5" customHeight="1">
      <c r="A43" s="1618">
        <v>12</v>
      </c>
      <c r="B43" s="1619" t="s">
        <v>2204</v>
      </c>
      <c r="C43" s="1619" t="s">
        <v>2241</v>
      </c>
      <c r="D43" s="1620" t="s">
        <v>2242</v>
      </c>
      <c r="E43" s="1620" t="s">
        <v>49</v>
      </c>
      <c r="F43" s="1354">
        <f>ROUND(SUM(F44),3)</f>
        <v>1</v>
      </c>
      <c r="G43" s="1621"/>
      <c r="H43" s="814">
        <f>ROUND(F43*G43,2)</f>
        <v>0</v>
      </c>
      <c r="I43" s="153" t="s">
        <v>112</v>
      </c>
      <c r="J43" s="1741"/>
      <c r="K43" s="1623"/>
      <c r="L43" s="1603"/>
      <c r="T43" s="1734"/>
    </row>
    <row r="44" spans="1:121" s="1291" customFormat="1" ht="13.5" customHeight="1">
      <c r="A44" s="1618"/>
      <c r="B44" s="1348"/>
      <c r="C44" s="1348"/>
      <c r="D44" s="1624" t="s">
        <v>2243</v>
      </c>
      <c r="E44" s="1348"/>
      <c r="F44" s="1625">
        <v>1</v>
      </c>
      <c r="G44" s="1350"/>
      <c r="H44" s="1350"/>
      <c r="I44" s="1626"/>
      <c r="J44" s="1741"/>
      <c r="K44" s="1627"/>
      <c r="L44" s="1603"/>
      <c r="T44" s="1734"/>
    </row>
    <row r="45" spans="1:121" s="1357" customFormat="1" ht="13.5" customHeight="1">
      <c r="A45" s="1628"/>
      <c r="B45" s="1629"/>
      <c r="C45" s="1633"/>
      <c r="D45" s="1624" t="s">
        <v>2240</v>
      </c>
      <c r="E45" s="1629"/>
      <c r="F45" s="1630"/>
      <c r="G45" s="1634"/>
      <c r="H45" s="1350"/>
      <c r="I45" s="1626"/>
      <c r="J45" s="1635"/>
      <c r="K45" s="939"/>
      <c r="Q45" s="1742"/>
    </row>
    <row r="46" spans="1:121" s="1291" customFormat="1" ht="13.5" customHeight="1">
      <c r="A46" s="1618">
        <v>13</v>
      </c>
      <c r="B46" s="1619" t="s">
        <v>2204</v>
      </c>
      <c r="C46" s="1619" t="s">
        <v>2244</v>
      </c>
      <c r="D46" s="1620" t="s">
        <v>2245</v>
      </c>
      <c r="E46" s="1620" t="s">
        <v>49</v>
      </c>
      <c r="F46" s="1354">
        <f>ROUND(SUM(F47),3)</f>
        <v>1</v>
      </c>
      <c r="G46" s="1621"/>
      <c r="H46" s="814">
        <f>ROUND(F46*G46,2)</f>
        <v>0</v>
      </c>
      <c r="I46" s="153" t="s">
        <v>112</v>
      </c>
      <c r="J46" s="1741"/>
      <c r="K46" s="1623"/>
      <c r="L46" s="1603"/>
      <c r="T46" s="1734"/>
    </row>
    <row r="47" spans="1:121" s="1291" customFormat="1" ht="13.5" customHeight="1">
      <c r="A47" s="1618"/>
      <c r="B47" s="1348"/>
      <c r="C47" s="1348"/>
      <c r="D47" s="1624" t="s">
        <v>2246</v>
      </c>
      <c r="E47" s="1348"/>
      <c r="F47" s="1625">
        <v>1</v>
      </c>
      <c r="G47" s="1350"/>
      <c r="H47" s="1350"/>
      <c r="I47" s="1626"/>
      <c r="J47" s="1741"/>
      <c r="K47" s="1627"/>
      <c r="L47" s="1603"/>
      <c r="T47" s="1734"/>
    </row>
    <row r="48" spans="1:121" s="1358" customFormat="1" ht="13.5" customHeight="1">
      <c r="A48" s="1628"/>
      <c r="B48" s="1629"/>
      <c r="C48" s="1629"/>
      <c r="D48" s="1624" t="s">
        <v>2240</v>
      </c>
      <c r="E48" s="1629"/>
      <c r="F48" s="1630"/>
      <c r="G48" s="1631"/>
      <c r="H48" s="1350"/>
      <c r="I48" s="1632"/>
      <c r="J48" s="1748"/>
      <c r="K48" s="1747"/>
      <c r="L48" s="1357"/>
      <c r="M48" s="1748"/>
      <c r="N48" s="1357"/>
      <c r="O48" s="1357"/>
      <c r="P48" s="1357"/>
      <c r="Q48" s="1357"/>
      <c r="R48" s="1357"/>
      <c r="S48" s="1357"/>
      <c r="T48" s="1357"/>
      <c r="U48" s="1357"/>
      <c r="V48" s="1357"/>
      <c r="W48" s="1357"/>
      <c r="X48" s="1357"/>
      <c r="Y48" s="1357"/>
      <c r="Z48" s="1357"/>
      <c r="AA48" s="1357"/>
      <c r="AB48" s="1357"/>
      <c r="AC48" s="1357"/>
      <c r="AD48" s="1357"/>
      <c r="AE48" s="1357"/>
      <c r="AF48" s="1357"/>
      <c r="AG48" s="1357"/>
      <c r="AH48" s="1357"/>
      <c r="AI48" s="1357"/>
      <c r="AJ48" s="1357"/>
      <c r="AK48" s="1357"/>
      <c r="AL48" s="1357"/>
      <c r="AM48" s="1357"/>
      <c r="AN48" s="1357"/>
      <c r="AO48" s="1357"/>
      <c r="AP48" s="1357"/>
      <c r="AQ48" s="1357"/>
      <c r="AR48" s="1357"/>
      <c r="AS48" s="1357"/>
      <c r="AT48" s="1357"/>
      <c r="AU48" s="1357"/>
      <c r="AV48" s="1357"/>
      <c r="AW48" s="1357"/>
      <c r="AX48" s="1357"/>
      <c r="AY48" s="1357"/>
      <c r="AZ48" s="1357"/>
      <c r="BA48" s="1357"/>
      <c r="BB48" s="1357"/>
      <c r="BC48" s="1357"/>
      <c r="BD48" s="1357"/>
      <c r="BE48" s="1357"/>
      <c r="BF48" s="1357"/>
      <c r="BG48" s="1357"/>
      <c r="BH48" s="1357"/>
      <c r="BI48" s="1357"/>
      <c r="BJ48" s="1357"/>
      <c r="BK48" s="1357"/>
      <c r="BL48" s="1357"/>
      <c r="BM48" s="1357"/>
      <c r="BN48" s="1357"/>
      <c r="BO48" s="1357"/>
      <c r="BP48" s="1357"/>
      <c r="BQ48" s="1357"/>
      <c r="BR48" s="1357"/>
      <c r="BS48" s="1357"/>
      <c r="BT48" s="1357"/>
      <c r="BU48" s="1357"/>
      <c r="BV48" s="1357"/>
      <c r="BW48" s="1357"/>
      <c r="BX48" s="1357"/>
      <c r="BY48" s="1357"/>
      <c r="BZ48" s="1357"/>
      <c r="CA48" s="1357"/>
      <c r="CB48" s="1357"/>
      <c r="CC48" s="1357"/>
      <c r="CD48" s="1357"/>
      <c r="CE48" s="1357"/>
      <c r="CF48" s="1357"/>
      <c r="CG48" s="1357"/>
      <c r="CH48" s="1357"/>
      <c r="CI48" s="1357"/>
      <c r="CJ48" s="1357"/>
      <c r="CK48" s="1357"/>
      <c r="CL48" s="1357"/>
      <c r="CM48" s="1357"/>
      <c r="CN48" s="1357"/>
      <c r="CO48" s="1357"/>
      <c r="CP48" s="1357"/>
      <c r="CQ48" s="1357"/>
      <c r="CR48" s="1357"/>
      <c r="CS48" s="1357"/>
      <c r="CT48" s="1357"/>
      <c r="CU48" s="1357"/>
      <c r="CV48" s="1357"/>
      <c r="CW48" s="1357"/>
      <c r="CX48" s="1357"/>
      <c r="CY48" s="1357"/>
      <c r="CZ48" s="1357"/>
      <c r="DA48" s="1357"/>
      <c r="DB48" s="1357"/>
      <c r="DC48" s="1357"/>
      <c r="DD48" s="1357"/>
      <c r="DE48" s="1357"/>
      <c r="DF48" s="1357"/>
      <c r="DG48" s="1357"/>
      <c r="DH48" s="1357"/>
      <c r="DI48" s="1357"/>
      <c r="DJ48" s="1357"/>
      <c r="DK48" s="1357"/>
      <c r="DL48" s="1357"/>
      <c r="DM48" s="1357"/>
      <c r="DN48" s="1357"/>
      <c r="DO48" s="1357"/>
      <c r="DP48" s="1357"/>
      <c r="DQ48" s="1357"/>
    </row>
    <row r="49" spans="1:121" s="1291" customFormat="1" ht="13.5" customHeight="1">
      <c r="A49" s="1618">
        <v>14</v>
      </c>
      <c r="B49" s="1619" t="s">
        <v>2204</v>
      </c>
      <c r="C49" s="1619" t="s">
        <v>2247</v>
      </c>
      <c r="D49" s="1620" t="s">
        <v>2248</v>
      </c>
      <c r="E49" s="1620" t="s">
        <v>49</v>
      </c>
      <c r="F49" s="1354">
        <f>ROUND(SUM(F50),3)</f>
        <v>1</v>
      </c>
      <c r="G49" s="1621"/>
      <c r="H49" s="814">
        <f>ROUND(F49*G49,2)</f>
        <v>0</v>
      </c>
      <c r="I49" s="153" t="s">
        <v>112</v>
      </c>
      <c r="J49" s="1741"/>
      <c r="K49" s="1623"/>
      <c r="L49" s="1603"/>
      <c r="T49" s="1734"/>
    </row>
    <row r="50" spans="1:121" s="1291" customFormat="1" ht="13.5" customHeight="1">
      <c r="A50" s="1618"/>
      <c r="B50" s="1348"/>
      <c r="C50" s="1348"/>
      <c r="D50" s="1624" t="s">
        <v>2249</v>
      </c>
      <c r="E50" s="1348"/>
      <c r="F50" s="1625">
        <v>1</v>
      </c>
      <c r="G50" s="1350"/>
      <c r="H50" s="1350"/>
      <c r="I50" s="1626"/>
      <c r="J50" s="1741"/>
      <c r="K50" s="1627"/>
      <c r="L50" s="1603"/>
      <c r="T50" s="1734"/>
    </row>
    <row r="51" spans="1:121" s="1358" customFormat="1" ht="13.5" customHeight="1">
      <c r="A51" s="1628"/>
      <c r="B51" s="1629"/>
      <c r="C51" s="1629"/>
      <c r="D51" s="1624" t="s">
        <v>2240</v>
      </c>
      <c r="E51" s="1629"/>
      <c r="F51" s="1630"/>
      <c r="G51" s="1631"/>
      <c r="H51" s="1350"/>
      <c r="I51" s="1632"/>
      <c r="J51" s="1748"/>
      <c r="K51" s="1747"/>
      <c r="L51" s="1357"/>
      <c r="M51" s="1748"/>
      <c r="N51" s="1357"/>
      <c r="O51" s="1357"/>
      <c r="P51" s="1357"/>
      <c r="Q51" s="1357"/>
      <c r="R51" s="1357"/>
      <c r="S51" s="1357"/>
      <c r="T51" s="1357"/>
      <c r="U51" s="1357"/>
      <c r="V51" s="1357"/>
      <c r="W51" s="1357"/>
      <c r="X51" s="1357"/>
      <c r="Y51" s="1357"/>
      <c r="Z51" s="1357"/>
      <c r="AA51" s="1357"/>
      <c r="AB51" s="1357"/>
      <c r="AC51" s="1357"/>
      <c r="AD51" s="1357"/>
      <c r="AE51" s="1357"/>
      <c r="AF51" s="1357"/>
      <c r="AG51" s="1357"/>
      <c r="AH51" s="1357"/>
      <c r="AI51" s="1357"/>
      <c r="AJ51" s="1357"/>
      <c r="AK51" s="1357"/>
      <c r="AL51" s="1357"/>
      <c r="AM51" s="1357"/>
      <c r="AN51" s="1357"/>
      <c r="AO51" s="1357"/>
      <c r="AP51" s="1357"/>
      <c r="AQ51" s="1357"/>
      <c r="AR51" s="1357"/>
      <c r="AS51" s="1357"/>
      <c r="AT51" s="1357"/>
      <c r="AU51" s="1357"/>
      <c r="AV51" s="1357"/>
      <c r="AW51" s="1357"/>
      <c r="AX51" s="1357"/>
      <c r="AY51" s="1357"/>
      <c r="AZ51" s="1357"/>
      <c r="BA51" s="1357"/>
      <c r="BB51" s="1357"/>
      <c r="BC51" s="1357"/>
      <c r="BD51" s="1357"/>
      <c r="BE51" s="1357"/>
      <c r="BF51" s="1357"/>
      <c r="BG51" s="1357"/>
      <c r="BH51" s="1357"/>
      <c r="BI51" s="1357"/>
      <c r="BJ51" s="1357"/>
      <c r="BK51" s="1357"/>
      <c r="BL51" s="1357"/>
      <c r="BM51" s="1357"/>
      <c r="BN51" s="1357"/>
      <c r="BO51" s="1357"/>
      <c r="BP51" s="1357"/>
      <c r="BQ51" s="1357"/>
      <c r="BR51" s="1357"/>
      <c r="BS51" s="1357"/>
      <c r="BT51" s="1357"/>
      <c r="BU51" s="1357"/>
      <c r="BV51" s="1357"/>
      <c r="BW51" s="1357"/>
      <c r="BX51" s="1357"/>
      <c r="BY51" s="1357"/>
      <c r="BZ51" s="1357"/>
      <c r="CA51" s="1357"/>
      <c r="CB51" s="1357"/>
      <c r="CC51" s="1357"/>
      <c r="CD51" s="1357"/>
      <c r="CE51" s="1357"/>
      <c r="CF51" s="1357"/>
      <c r="CG51" s="1357"/>
      <c r="CH51" s="1357"/>
      <c r="CI51" s="1357"/>
      <c r="CJ51" s="1357"/>
      <c r="CK51" s="1357"/>
      <c r="CL51" s="1357"/>
      <c r="CM51" s="1357"/>
      <c r="CN51" s="1357"/>
      <c r="CO51" s="1357"/>
      <c r="CP51" s="1357"/>
      <c r="CQ51" s="1357"/>
      <c r="CR51" s="1357"/>
      <c r="CS51" s="1357"/>
      <c r="CT51" s="1357"/>
      <c r="CU51" s="1357"/>
      <c r="CV51" s="1357"/>
      <c r="CW51" s="1357"/>
      <c r="CX51" s="1357"/>
      <c r="CY51" s="1357"/>
      <c r="CZ51" s="1357"/>
      <c r="DA51" s="1357"/>
      <c r="DB51" s="1357"/>
      <c r="DC51" s="1357"/>
      <c r="DD51" s="1357"/>
      <c r="DE51" s="1357"/>
      <c r="DF51" s="1357"/>
      <c r="DG51" s="1357"/>
      <c r="DH51" s="1357"/>
      <c r="DI51" s="1357"/>
      <c r="DJ51" s="1357"/>
      <c r="DK51" s="1357"/>
      <c r="DL51" s="1357"/>
      <c r="DM51" s="1357"/>
      <c r="DN51" s="1357"/>
      <c r="DO51" s="1357"/>
      <c r="DP51" s="1357"/>
      <c r="DQ51" s="1357"/>
    </row>
    <row r="52" spans="1:121" s="1291" customFormat="1" ht="13.5" customHeight="1">
      <c r="A52" s="1618">
        <v>15</v>
      </c>
      <c r="B52" s="1619" t="s">
        <v>2204</v>
      </c>
      <c r="C52" s="1619" t="s">
        <v>2250</v>
      </c>
      <c r="D52" s="1620" t="s">
        <v>2251</v>
      </c>
      <c r="E52" s="1620" t="s">
        <v>49</v>
      </c>
      <c r="F52" s="1354">
        <f>ROUND(SUM(F53),3)</f>
        <v>1</v>
      </c>
      <c r="G52" s="1621"/>
      <c r="H52" s="814">
        <f>ROUND(F52*G52,2)</f>
        <v>0</v>
      </c>
      <c r="I52" s="153" t="s">
        <v>112</v>
      </c>
      <c r="J52" s="1741"/>
      <c r="K52" s="1623"/>
      <c r="L52" s="1603"/>
      <c r="T52" s="1734"/>
    </row>
    <row r="53" spans="1:121" s="1291" customFormat="1" ht="13.5" customHeight="1">
      <c r="A53" s="1618"/>
      <c r="B53" s="1348"/>
      <c r="C53" s="1348"/>
      <c r="D53" s="1624" t="s">
        <v>2252</v>
      </c>
      <c r="E53" s="1348"/>
      <c r="F53" s="1625">
        <v>1</v>
      </c>
      <c r="G53" s="1350"/>
      <c r="H53" s="1350"/>
      <c r="I53" s="1626"/>
      <c r="J53" s="1741"/>
      <c r="K53" s="1627"/>
      <c r="L53" s="1603"/>
      <c r="T53" s="1734"/>
    </row>
    <row r="54" spans="1:121" s="1358" customFormat="1" ht="13.5" customHeight="1">
      <c r="A54" s="1628"/>
      <c r="B54" s="1629"/>
      <c r="C54" s="1629"/>
      <c r="D54" s="1624" t="s">
        <v>2240</v>
      </c>
      <c r="E54" s="1629"/>
      <c r="F54" s="1630"/>
      <c r="G54" s="1631"/>
      <c r="H54" s="1350"/>
      <c r="I54" s="1632"/>
      <c r="J54" s="1748"/>
      <c r="K54" s="1747"/>
      <c r="L54" s="1357"/>
      <c r="M54" s="1748"/>
      <c r="N54" s="1357"/>
      <c r="O54" s="1357"/>
      <c r="P54" s="1357"/>
      <c r="Q54" s="1357"/>
      <c r="R54" s="1357"/>
      <c r="S54" s="1357"/>
      <c r="T54" s="1357"/>
      <c r="U54" s="1357"/>
      <c r="V54" s="1357"/>
      <c r="W54" s="1357"/>
      <c r="X54" s="1357"/>
      <c r="Y54" s="1357"/>
      <c r="Z54" s="1357"/>
      <c r="AA54" s="1357"/>
      <c r="AB54" s="1357"/>
      <c r="AC54" s="1357"/>
      <c r="AD54" s="1357"/>
      <c r="AE54" s="1357"/>
      <c r="AF54" s="1357"/>
      <c r="AG54" s="1357"/>
      <c r="AH54" s="1357"/>
      <c r="AI54" s="1357"/>
      <c r="AJ54" s="1357"/>
      <c r="AK54" s="1357"/>
      <c r="AL54" s="1357"/>
      <c r="AM54" s="1357"/>
      <c r="AN54" s="1357"/>
      <c r="AO54" s="1357"/>
      <c r="AP54" s="1357"/>
      <c r="AQ54" s="1357"/>
      <c r="AR54" s="1357"/>
      <c r="AS54" s="1357"/>
      <c r="AT54" s="1357"/>
      <c r="AU54" s="1357"/>
      <c r="AV54" s="1357"/>
      <c r="AW54" s="1357"/>
      <c r="AX54" s="1357"/>
      <c r="AY54" s="1357"/>
      <c r="AZ54" s="1357"/>
      <c r="BA54" s="1357"/>
      <c r="BB54" s="1357"/>
      <c r="BC54" s="1357"/>
      <c r="BD54" s="1357"/>
      <c r="BE54" s="1357"/>
      <c r="BF54" s="1357"/>
      <c r="BG54" s="1357"/>
      <c r="BH54" s="1357"/>
      <c r="BI54" s="1357"/>
      <c r="BJ54" s="1357"/>
      <c r="BK54" s="1357"/>
      <c r="BL54" s="1357"/>
      <c r="BM54" s="1357"/>
      <c r="BN54" s="1357"/>
      <c r="BO54" s="1357"/>
      <c r="BP54" s="1357"/>
      <c r="BQ54" s="1357"/>
      <c r="BR54" s="1357"/>
      <c r="BS54" s="1357"/>
      <c r="BT54" s="1357"/>
      <c r="BU54" s="1357"/>
      <c r="BV54" s="1357"/>
      <c r="BW54" s="1357"/>
      <c r="BX54" s="1357"/>
      <c r="BY54" s="1357"/>
      <c r="BZ54" s="1357"/>
      <c r="CA54" s="1357"/>
      <c r="CB54" s="1357"/>
      <c r="CC54" s="1357"/>
      <c r="CD54" s="1357"/>
      <c r="CE54" s="1357"/>
      <c r="CF54" s="1357"/>
      <c r="CG54" s="1357"/>
      <c r="CH54" s="1357"/>
      <c r="CI54" s="1357"/>
      <c r="CJ54" s="1357"/>
      <c r="CK54" s="1357"/>
      <c r="CL54" s="1357"/>
      <c r="CM54" s="1357"/>
      <c r="CN54" s="1357"/>
      <c r="CO54" s="1357"/>
      <c r="CP54" s="1357"/>
      <c r="CQ54" s="1357"/>
      <c r="CR54" s="1357"/>
      <c r="CS54" s="1357"/>
      <c r="CT54" s="1357"/>
      <c r="CU54" s="1357"/>
      <c r="CV54" s="1357"/>
      <c r="CW54" s="1357"/>
      <c r="CX54" s="1357"/>
      <c r="CY54" s="1357"/>
      <c r="CZ54" s="1357"/>
      <c r="DA54" s="1357"/>
      <c r="DB54" s="1357"/>
      <c r="DC54" s="1357"/>
      <c r="DD54" s="1357"/>
      <c r="DE54" s="1357"/>
      <c r="DF54" s="1357"/>
      <c r="DG54" s="1357"/>
      <c r="DH54" s="1357"/>
      <c r="DI54" s="1357"/>
      <c r="DJ54" s="1357"/>
      <c r="DK54" s="1357"/>
      <c r="DL54" s="1357"/>
      <c r="DM54" s="1357"/>
      <c r="DN54" s="1357"/>
      <c r="DO54" s="1357"/>
      <c r="DP54" s="1357"/>
      <c r="DQ54" s="1357"/>
    </row>
    <row r="55" spans="1:121" s="1291" customFormat="1" ht="13.5" customHeight="1">
      <c r="A55" s="1618">
        <v>16</v>
      </c>
      <c r="B55" s="1619" t="s">
        <v>2204</v>
      </c>
      <c r="C55" s="1619" t="s">
        <v>2253</v>
      </c>
      <c r="D55" s="1620" t="s">
        <v>2254</v>
      </c>
      <c r="E55" s="1620" t="s">
        <v>49</v>
      </c>
      <c r="F55" s="1354">
        <f>ROUND(SUM(F56),3)</f>
        <v>1</v>
      </c>
      <c r="G55" s="1621"/>
      <c r="H55" s="814">
        <f>ROUND(F55*G55,2)</f>
        <v>0</v>
      </c>
      <c r="I55" s="153" t="s">
        <v>112</v>
      </c>
      <c r="J55" s="1741"/>
      <c r="K55" s="1623"/>
      <c r="L55" s="1603"/>
      <c r="T55" s="1734"/>
    </row>
    <row r="56" spans="1:121" s="1291" customFormat="1" ht="13.5" customHeight="1">
      <c r="A56" s="1618"/>
      <c r="B56" s="1348"/>
      <c r="C56" s="1348"/>
      <c r="D56" s="1624" t="s">
        <v>2255</v>
      </c>
      <c r="E56" s="1348"/>
      <c r="F56" s="1625">
        <v>1</v>
      </c>
      <c r="G56" s="1350"/>
      <c r="H56" s="1350"/>
      <c r="I56" s="1626"/>
      <c r="J56" s="1741"/>
      <c r="K56" s="1627"/>
      <c r="L56" s="1603"/>
      <c r="T56" s="1734"/>
    </row>
    <row r="57" spans="1:121" s="1358" customFormat="1" ht="13.5" customHeight="1">
      <c r="A57" s="1628"/>
      <c r="B57" s="1629"/>
      <c r="C57" s="1633"/>
      <c r="D57" s="1624" t="s">
        <v>2240</v>
      </c>
      <c r="E57" s="1629"/>
      <c r="F57" s="1630"/>
      <c r="G57" s="1634"/>
      <c r="H57" s="1350"/>
      <c r="I57" s="1626"/>
      <c r="J57" s="1635"/>
      <c r="K57" s="939"/>
      <c r="L57" s="1357"/>
      <c r="M57" s="1357"/>
      <c r="N57" s="1357"/>
      <c r="O57" s="1357"/>
      <c r="P57" s="1357"/>
      <c r="Q57" s="1742"/>
      <c r="R57" s="1357"/>
      <c r="S57" s="1357"/>
      <c r="T57" s="1357"/>
      <c r="U57" s="1357"/>
      <c r="V57" s="1357"/>
      <c r="W57" s="1357"/>
      <c r="X57" s="1357"/>
      <c r="Y57" s="1357"/>
      <c r="Z57" s="1357"/>
      <c r="AA57" s="1357"/>
      <c r="AB57" s="1357"/>
      <c r="AC57" s="1357"/>
      <c r="AD57" s="1357"/>
      <c r="AE57" s="1357"/>
      <c r="AF57" s="1357"/>
      <c r="AG57" s="1357"/>
      <c r="AH57" s="1357"/>
      <c r="AI57" s="1357"/>
      <c r="AJ57" s="1357"/>
      <c r="AK57" s="1357"/>
      <c r="AL57" s="1357"/>
      <c r="AM57" s="1357"/>
      <c r="AN57" s="1357"/>
      <c r="AO57" s="1357"/>
      <c r="AP57" s="1357"/>
      <c r="AQ57" s="1357"/>
      <c r="AR57" s="1357"/>
      <c r="AS57" s="1357"/>
      <c r="AT57" s="1357"/>
      <c r="AU57" s="1357"/>
      <c r="AV57" s="1357"/>
      <c r="AW57" s="1357"/>
      <c r="AX57" s="1357"/>
      <c r="AY57" s="1357"/>
      <c r="AZ57" s="1357"/>
      <c r="BA57" s="1357"/>
      <c r="BB57" s="1357"/>
      <c r="BC57" s="1357"/>
      <c r="BD57" s="1357"/>
      <c r="BE57" s="1357"/>
      <c r="BF57" s="1357"/>
      <c r="BG57" s="1357"/>
      <c r="BH57" s="1357"/>
      <c r="BI57" s="1357"/>
      <c r="BJ57" s="1357"/>
      <c r="BK57" s="1357"/>
      <c r="BL57" s="1357"/>
      <c r="BM57" s="1357"/>
      <c r="BN57" s="1357"/>
      <c r="BO57" s="1357"/>
      <c r="BP57" s="1357"/>
      <c r="BQ57" s="1357"/>
      <c r="BR57" s="1357"/>
      <c r="BS57" s="1357"/>
      <c r="BT57" s="1357"/>
      <c r="BU57" s="1357"/>
      <c r="BV57" s="1357"/>
      <c r="BW57" s="1357"/>
      <c r="BX57" s="1357"/>
      <c r="BY57" s="1357"/>
      <c r="BZ57" s="1357"/>
      <c r="CA57" s="1357"/>
      <c r="CB57" s="1357"/>
      <c r="CC57" s="1357"/>
      <c r="CD57" s="1357"/>
      <c r="CE57" s="1357"/>
      <c r="CF57" s="1357"/>
      <c r="CG57" s="1357"/>
      <c r="CH57" s="1357"/>
      <c r="CI57" s="1357"/>
      <c r="CJ57" s="1357"/>
      <c r="CK57" s="1357"/>
      <c r="CL57" s="1357"/>
      <c r="CM57" s="1357"/>
      <c r="CN57" s="1357"/>
      <c r="CO57" s="1357"/>
      <c r="CP57" s="1357"/>
      <c r="CQ57" s="1357"/>
      <c r="CR57" s="1357"/>
      <c r="CS57" s="1357"/>
      <c r="CT57" s="1357"/>
      <c r="CU57" s="1357"/>
      <c r="CV57" s="1357"/>
      <c r="CW57" s="1357"/>
      <c r="CX57" s="1357"/>
      <c r="CY57" s="1357"/>
      <c r="CZ57" s="1357"/>
      <c r="DA57" s="1357"/>
      <c r="DB57" s="1357"/>
      <c r="DC57" s="1357"/>
      <c r="DD57" s="1357"/>
      <c r="DE57" s="1357"/>
      <c r="DF57" s="1357"/>
      <c r="DG57" s="1357"/>
      <c r="DH57" s="1357"/>
      <c r="DI57" s="1357"/>
      <c r="DJ57" s="1357"/>
      <c r="DK57" s="1357"/>
      <c r="DL57" s="1357"/>
      <c r="DM57" s="1357"/>
      <c r="DN57" s="1357"/>
      <c r="DO57" s="1357"/>
      <c r="DP57" s="1357"/>
      <c r="DQ57" s="1357"/>
    </row>
    <row r="58" spans="1:121" s="195" customFormat="1" ht="13.5" customHeight="1">
      <c r="A58" s="1005">
        <v>17</v>
      </c>
      <c r="B58" s="460" t="s">
        <v>2204</v>
      </c>
      <c r="C58" s="460">
        <v>998731202</v>
      </c>
      <c r="D58" s="460" t="s">
        <v>2256</v>
      </c>
      <c r="E58" s="460" t="s">
        <v>10</v>
      </c>
      <c r="F58" s="1311">
        <v>1.78</v>
      </c>
      <c r="G58" s="1011"/>
      <c r="H58" s="814">
        <f>ROUND(F58*G58,2)</f>
        <v>0</v>
      </c>
      <c r="I58" s="153" t="s">
        <v>138</v>
      </c>
      <c r="L58" s="1749"/>
      <c r="M58" s="1636"/>
      <c r="N58" s="1636"/>
      <c r="O58" s="1636"/>
      <c r="P58" s="1636"/>
      <c r="Q58" s="1636"/>
      <c r="R58" s="1636"/>
      <c r="S58" s="1636"/>
    </row>
    <row r="59" spans="1:121" s="195" customFormat="1" ht="13.5" customHeight="1">
      <c r="A59" s="1005">
        <v>18</v>
      </c>
      <c r="B59" s="460" t="s">
        <v>369</v>
      </c>
      <c r="C59" s="460" t="s">
        <v>2257</v>
      </c>
      <c r="D59" s="460" t="s">
        <v>2258</v>
      </c>
      <c r="E59" s="460" t="s">
        <v>69</v>
      </c>
      <c r="F59" s="1311">
        <f>F60</f>
        <v>16</v>
      </c>
      <c r="G59" s="1011"/>
      <c r="H59" s="814">
        <f>ROUND(F59*G59,2)</f>
        <v>0</v>
      </c>
      <c r="I59" s="153" t="s">
        <v>138</v>
      </c>
    </row>
    <row r="60" spans="1:121" s="1636" customFormat="1" ht="13.5" customHeight="1">
      <c r="A60" s="1637"/>
      <c r="B60" s="1638"/>
      <c r="C60" s="1606"/>
      <c r="D60" s="342" t="s">
        <v>2259</v>
      </c>
      <c r="E60" s="466"/>
      <c r="F60" s="1314">
        <v>16</v>
      </c>
      <c r="G60" s="1639"/>
      <c r="H60" s="1640"/>
      <c r="I60" s="1641"/>
      <c r="J60" s="1749"/>
      <c r="U60" s="1750"/>
      <c r="W60" s="1750"/>
    </row>
    <row r="61" spans="1:121" s="1636" customFormat="1" ht="27" customHeight="1">
      <c r="A61" s="1637"/>
      <c r="B61" s="1638"/>
      <c r="C61" s="1606"/>
      <c r="D61" s="342" t="s">
        <v>2260</v>
      </c>
      <c r="E61" s="466"/>
      <c r="F61" s="1314"/>
      <c r="G61" s="1639"/>
      <c r="H61" s="1640"/>
      <c r="I61" s="1641"/>
      <c r="J61" s="1749"/>
      <c r="U61" s="1750"/>
      <c r="W61" s="1750"/>
    </row>
    <row r="62" spans="1:121" s="195" customFormat="1" ht="13.5" customHeight="1">
      <c r="A62" s="1005"/>
      <c r="B62" s="460"/>
      <c r="C62" s="455">
        <v>733</v>
      </c>
      <c r="D62" s="455" t="s">
        <v>2261</v>
      </c>
      <c r="E62" s="455"/>
      <c r="F62" s="1642"/>
      <c r="G62" s="1007"/>
      <c r="H62" s="1007">
        <f>SUM(H63:H138)</f>
        <v>0</v>
      </c>
      <c r="I62" s="153"/>
    </row>
    <row r="63" spans="1:121" s="195" customFormat="1" ht="13.5" customHeight="1">
      <c r="A63" s="1005">
        <v>19</v>
      </c>
      <c r="B63" s="460">
        <v>271</v>
      </c>
      <c r="C63" s="460" t="s">
        <v>2262</v>
      </c>
      <c r="D63" s="460" t="s">
        <v>2263</v>
      </c>
      <c r="E63" s="460" t="s">
        <v>142</v>
      </c>
      <c r="F63" s="1643">
        <f>ROUND(SUM(F64:F65),3)</f>
        <v>15.95</v>
      </c>
      <c r="G63" s="1011"/>
      <c r="H63" s="814">
        <f>ROUND(F63*G63,2)</f>
        <v>0</v>
      </c>
      <c r="I63" s="153" t="s">
        <v>112</v>
      </c>
      <c r="U63" s="1751"/>
      <c r="V63" s="1751"/>
      <c r="W63" s="1751"/>
      <c r="X63" s="1751"/>
    </row>
    <row r="64" spans="1:121" s="1636" customFormat="1" ht="13.5" customHeight="1">
      <c r="A64" s="1637"/>
      <c r="B64" s="1638"/>
      <c r="C64" s="1606"/>
      <c r="D64" s="466" t="s">
        <v>2264</v>
      </c>
      <c r="E64" s="466"/>
      <c r="F64" s="1314">
        <f xml:space="preserve"> (13.5)*1.1</f>
        <v>14.850000000000001</v>
      </c>
      <c r="G64" s="1639"/>
      <c r="H64" s="1640"/>
      <c r="I64" s="1641"/>
      <c r="J64" s="1752"/>
      <c r="K64" s="1752"/>
      <c r="U64" s="1750"/>
      <c r="W64" s="1750"/>
    </row>
    <row r="65" spans="1:23" s="1636" customFormat="1" ht="13.5" customHeight="1">
      <c r="A65" s="1637"/>
      <c r="B65" s="1638"/>
      <c r="C65" s="1606"/>
      <c r="D65" s="466" t="s">
        <v>2265</v>
      </c>
      <c r="E65" s="466"/>
      <c r="F65" s="1314">
        <f>(1)*1.1</f>
        <v>1.1000000000000001</v>
      </c>
      <c r="G65" s="1639"/>
      <c r="H65" s="1640"/>
      <c r="I65" s="1641"/>
      <c r="J65" s="1753"/>
      <c r="U65" s="1750"/>
      <c r="W65" s="1750"/>
    </row>
    <row r="66" spans="1:23" s="1636" customFormat="1" ht="13.5" customHeight="1">
      <c r="A66" s="1637"/>
      <c r="B66" s="1638"/>
      <c r="C66" s="1606"/>
      <c r="D66" s="466" t="s">
        <v>2266</v>
      </c>
      <c r="E66" s="466"/>
      <c r="F66" s="1314"/>
      <c r="G66" s="1639"/>
      <c r="H66" s="1640"/>
      <c r="I66" s="1641"/>
      <c r="U66" s="1750"/>
      <c r="W66" s="1750"/>
    </row>
    <row r="67" spans="1:23" s="195" customFormat="1" ht="13.5" customHeight="1">
      <c r="A67" s="1005">
        <v>20</v>
      </c>
      <c r="B67" s="460">
        <v>271</v>
      </c>
      <c r="C67" s="460" t="s">
        <v>2267</v>
      </c>
      <c r="D67" s="460" t="s">
        <v>2268</v>
      </c>
      <c r="E67" s="460" t="s">
        <v>142</v>
      </c>
      <c r="F67" s="1643">
        <f>ROUND(SUM(F68),3)</f>
        <v>14.5</v>
      </c>
      <c r="G67" s="1011"/>
      <c r="H67" s="814">
        <f>ROUND(F67*G67,2)</f>
        <v>0</v>
      </c>
      <c r="I67" s="153" t="s">
        <v>112</v>
      </c>
      <c r="J67" s="1644"/>
    </row>
    <row r="68" spans="1:23" s="1636" customFormat="1" ht="13.5" customHeight="1">
      <c r="A68" s="1637"/>
      <c r="B68" s="1638"/>
      <c r="C68" s="1606"/>
      <c r="D68" s="342" t="s">
        <v>2269</v>
      </c>
      <c r="E68" s="466"/>
      <c r="F68" s="1314">
        <f>(13.5+1)</f>
        <v>14.5</v>
      </c>
      <c r="G68" s="1639"/>
      <c r="H68" s="1640"/>
      <c r="I68" s="1641"/>
      <c r="J68" s="1749"/>
      <c r="M68" s="1749"/>
      <c r="U68" s="1750"/>
      <c r="W68" s="1750"/>
    </row>
    <row r="69" spans="1:23" s="1291" customFormat="1" ht="40.5" customHeight="1">
      <c r="A69" s="1645"/>
      <c r="B69" s="1646"/>
      <c r="C69" s="1352"/>
      <c r="D69" s="348" t="s">
        <v>2270</v>
      </c>
      <c r="E69" s="1343"/>
      <c r="F69" s="1344"/>
      <c r="G69" s="1355"/>
      <c r="H69" s="1640"/>
      <c r="I69" s="1641"/>
    </row>
    <row r="70" spans="1:23" s="1636" customFormat="1" ht="13.5" customHeight="1">
      <c r="A70" s="1637"/>
      <c r="B70" s="1638"/>
      <c r="C70" s="1606"/>
      <c r="D70" s="342" t="s">
        <v>2271</v>
      </c>
      <c r="E70" s="466"/>
      <c r="F70" s="1314"/>
      <c r="G70" s="1639"/>
      <c r="H70" s="1640"/>
      <c r="I70" s="1641"/>
      <c r="J70" s="1754"/>
      <c r="U70" s="1750"/>
      <c r="W70" s="1750"/>
    </row>
    <row r="71" spans="1:23" ht="13.5" customHeight="1">
      <c r="A71" s="1335">
        <v>21</v>
      </c>
      <c r="B71" s="1337">
        <v>731</v>
      </c>
      <c r="C71" s="1337" t="s">
        <v>2272</v>
      </c>
      <c r="D71" s="1337" t="s">
        <v>2273</v>
      </c>
      <c r="E71" s="1337" t="s">
        <v>142</v>
      </c>
      <c r="F71" s="1485">
        <f>ROUND(SUM(F73),3)</f>
        <v>449.21800000000002</v>
      </c>
      <c r="G71" s="1339"/>
      <c r="H71" s="814">
        <f>ROUND(F71*G71,2)</f>
        <v>0</v>
      </c>
      <c r="I71" s="153" t="s">
        <v>112</v>
      </c>
      <c r="J71" s="1755"/>
      <c r="L71" s="1647"/>
      <c r="S71" s="1756"/>
    </row>
    <row r="72" spans="1:23" ht="39" customHeight="1">
      <c r="A72" s="1335"/>
      <c r="B72" s="1337"/>
      <c r="C72" s="1337"/>
      <c r="D72" s="1343" t="s">
        <v>2274</v>
      </c>
      <c r="E72" s="1364"/>
      <c r="G72" s="1339"/>
      <c r="H72" s="1649"/>
      <c r="I72" s="1650"/>
      <c r="J72" s="1757"/>
      <c r="K72" s="1651"/>
      <c r="L72" s="1652"/>
      <c r="M72" s="1651"/>
      <c r="N72" s="1651"/>
      <c r="O72" s="1651"/>
      <c r="P72" s="1651"/>
      <c r="Q72" s="1651"/>
      <c r="R72" s="1651"/>
      <c r="S72" s="1758"/>
      <c r="T72" s="1651"/>
      <c r="U72" s="1758"/>
    </row>
    <row r="73" spans="1:23" ht="13.5" customHeight="1">
      <c r="A73" s="1335"/>
      <c r="B73" s="1337"/>
      <c r="C73" s="1337"/>
      <c r="D73" s="1343" t="s">
        <v>2275</v>
      </c>
      <c r="E73" s="1364"/>
      <c r="F73" s="1344">
        <f>(12.25+237.89+158.24)*1.1</f>
        <v>449.21800000000002</v>
      </c>
      <c r="G73" s="1339"/>
      <c r="H73" s="1649"/>
      <c r="I73" s="1650"/>
      <c r="J73" s="1653"/>
      <c r="K73" s="1647"/>
      <c r="R73" s="1651"/>
      <c r="S73" s="1758"/>
      <c r="T73" s="1651"/>
      <c r="U73" s="1758"/>
    </row>
    <row r="74" spans="1:23" ht="27.75" customHeight="1">
      <c r="A74" s="1335"/>
      <c r="B74" s="1337"/>
      <c r="C74" s="1337"/>
      <c r="D74" s="1343" t="s">
        <v>2276</v>
      </c>
      <c r="E74" s="1337"/>
      <c r="F74" s="1354"/>
      <c r="G74" s="1339"/>
      <c r="H74" s="1339"/>
      <c r="I74" s="1654"/>
      <c r="J74" s="1655"/>
      <c r="S74" s="1756"/>
    </row>
    <row r="75" spans="1:23" ht="13.5" customHeight="1">
      <c r="A75" s="1335">
        <v>22</v>
      </c>
      <c r="B75" s="1337">
        <v>731</v>
      </c>
      <c r="C75" s="1337" t="s">
        <v>2277</v>
      </c>
      <c r="D75" s="1337" t="s">
        <v>2278</v>
      </c>
      <c r="E75" s="1337" t="s">
        <v>142</v>
      </c>
      <c r="F75" s="1485">
        <f>ROUND(SUM(F77),3)</f>
        <v>98.713999999999999</v>
      </c>
      <c r="G75" s="1339"/>
      <c r="H75" s="814">
        <f>ROUND(F75*G75,2)</f>
        <v>0</v>
      </c>
      <c r="I75" s="153" t="s">
        <v>112</v>
      </c>
      <c r="J75" s="1755"/>
      <c r="L75" s="1647"/>
      <c r="S75" s="1756"/>
    </row>
    <row r="76" spans="1:23" ht="39" customHeight="1">
      <c r="A76" s="1335"/>
      <c r="B76" s="1337"/>
      <c r="C76" s="1337"/>
      <c r="D76" s="1343" t="s">
        <v>2274</v>
      </c>
      <c r="E76" s="1364"/>
      <c r="G76" s="1339"/>
      <c r="H76" s="1649"/>
      <c r="I76" s="1650"/>
      <c r="J76" s="1757"/>
      <c r="K76" s="1651"/>
      <c r="L76" s="1652"/>
      <c r="M76" s="1651"/>
      <c r="N76" s="1651"/>
      <c r="O76" s="1651"/>
      <c r="P76" s="1651"/>
      <c r="Q76" s="1651"/>
      <c r="R76" s="1651"/>
      <c r="S76" s="1758"/>
      <c r="T76" s="1651"/>
      <c r="U76" s="1758"/>
    </row>
    <row r="77" spans="1:23" ht="13.5" customHeight="1">
      <c r="A77" s="1335"/>
      <c r="B77" s="1337"/>
      <c r="C77" s="1337"/>
      <c r="D77" s="1343" t="s">
        <v>2279</v>
      </c>
      <c r="E77" s="1364"/>
      <c r="F77" s="1344">
        <f>(25.75+63.99)*1.1</f>
        <v>98.714000000000013</v>
      </c>
      <c r="G77" s="1339"/>
      <c r="H77" s="1649"/>
      <c r="I77" s="1650"/>
      <c r="J77" s="1653"/>
      <c r="K77" s="1647"/>
      <c r="R77" s="1651"/>
      <c r="S77" s="1758"/>
      <c r="T77" s="1651"/>
      <c r="U77" s="1758"/>
    </row>
    <row r="78" spans="1:23" ht="27.75" customHeight="1">
      <c r="A78" s="1335"/>
      <c r="B78" s="1337"/>
      <c r="C78" s="1337"/>
      <c r="D78" s="1343" t="s">
        <v>2276</v>
      </c>
      <c r="E78" s="1337"/>
      <c r="F78" s="1354"/>
      <c r="G78" s="1339"/>
      <c r="H78" s="1339"/>
      <c r="I78" s="1654"/>
      <c r="J78" s="1655"/>
      <c r="S78" s="1756"/>
    </row>
    <row r="79" spans="1:23" ht="13.5" customHeight="1">
      <c r="A79" s="1335">
        <v>23</v>
      </c>
      <c r="B79" s="1337">
        <v>731</v>
      </c>
      <c r="C79" s="1337" t="s">
        <v>2280</v>
      </c>
      <c r="D79" s="1337" t="s">
        <v>2281</v>
      </c>
      <c r="E79" s="1337" t="s">
        <v>142</v>
      </c>
      <c r="F79" s="1485">
        <f>ROUND(SUM(F81),3)</f>
        <v>60.741999999999997</v>
      </c>
      <c r="G79" s="1339"/>
      <c r="H79" s="814">
        <f>ROUND(F79*G79,2)</f>
        <v>0</v>
      </c>
      <c r="I79" s="153" t="s">
        <v>112</v>
      </c>
      <c r="J79" s="1755"/>
      <c r="L79" s="1647"/>
      <c r="S79" s="1756"/>
    </row>
    <row r="80" spans="1:23" ht="39" customHeight="1">
      <c r="A80" s="1335"/>
      <c r="B80" s="1337"/>
      <c r="C80" s="1337"/>
      <c r="D80" s="1343" t="s">
        <v>2274</v>
      </c>
      <c r="E80" s="1364"/>
      <c r="G80" s="1339"/>
      <c r="H80" s="1649"/>
      <c r="I80" s="1650"/>
      <c r="J80" s="1757"/>
      <c r="K80" s="1651"/>
      <c r="L80" s="1652"/>
      <c r="M80" s="1651"/>
      <c r="N80" s="1651"/>
      <c r="O80" s="1651"/>
      <c r="P80" s="1651"/>
      <c r="Q80" s="1651"/>
      <c r="R80" s="1651"/>
      <c r="S80" s="1758"/>
      <c r="T80" s="1651"/>
      <c r="U80" s="1758"/>
    </row>
    <row r="81" spans="1:21" ht="13.5" customHeight="1">
      <c r="A81" s="1335"/>
      <c r="B81" s="1337"/>
      <c r="C81" s="1337"/>
      <c r="D81" s="1343" t="s">
        <v>2282</v>
      </c>
      <c r="E81" s="1364"/>
      <c r="F81" s="1344">
        <f>(54.65+0.57)*1.1</f>
        <v>60.742000000000004</v>
      </c>
      <c r="G81" s="1339"/>
      <c r="H81" s="1649"/>
      <c r="I81" s="1650"/>
      <c r="J81" s="1653"/>
      <c r="K81" s="1647"/>
      <c r="R81" s="1651"/>
      <c r="S81" s="1758"/>
      <c r="T81" s="1651"/>
      <c r="U81" s="1758"/>
    </row>
    <row r="82" spans="1:21" ht="27.75" customHeight="1">
      <c r="A82" s="1335"/>
      <c r="B82" s="1337"/>
      <c r="C82" s="1337"/>
      <c r="D82" s="1343" t="s">
        <v>2276</v>
      </c>
      <c r="E82" s="1337"/>
      <c r="F82" s="1354"/>
      <c r="G82" s="1339"/>
      <c r="H82" s="1339"/>
      <c r="I82" s="1654"/>
      <c r="J82" s="1655"/>
      <c r="S82" s="1756"/>
    </row>
    <row r="83" spans="1:21" ht="13.5" customHeight="1">
      <c r="A83" s="1335">
        <v>24</v>
      </c>
      <c r="B83" s="1337">
        <v>731</v>
      </c>
      <c r="C83" s="1337" t="s">
        <v>2283</v>
      </c>
      <c r="D83" s="1337" t="s">
        <v>2284</v>
      </c>
      <c r="E83" s="1337" t="s">
        <v>142</v>
      </c>
      <c r="F83" s="1485">
        <f>ROUND(SUM(F85),3)</f>
        <v>17.666</v>
      </c>
      <c r="G83" s="1339"/>
      <c r="H83" s="814">
        <f>ROUND(F83*G83,2)</f>
        <v>0</v>
      </c>
      <c r="I83" s="153" t="s">
        <v>112</v>
      </c>
      <c r="J83" s="1755"/>
      <c r="L83" s="1647"/>
      <c r="S83" s="1756"/>
    </row>
    <row r="84" spans="1:21" ht="39" customHeight="1">
      <c r="A84" s="1335"/>
      <c r="B84" s="1337"/>
      <c r="C84" s="1337"/>
      <c r="D84" s="1343" t="s">
        <v>2274</v>
      </c>
      <c r="E84" s="1364"/>
      <c r="G84" s="1339"/>
      <c r="H84" s="1649"/>
      <c r="I84" s="1650"/>
      <c r="J84" s="1757"/>
      <c r="K84" s="1651"/>
      <c r="L84" s="1652"/>
      <c r="M84" s="1651"/>
      <c r="N84" s="1651"/>
      <c r="O84" s="1651"/>
      <c r="P84" s="1651"/>
      <c r="Q84" s="1651"/>
      <c r="R84" s="1651"/>
      <c r="S84" s="1758"/>
      <c r="T84" s="1651"/>
      <c r="U84" s="1758"/>
    </row>
    <row r="85" spans="1:21" ht="13.5" customHeight="1">
      <c r="A85" s="1335"/>
      <c r="B85" s="1337"/>
      <c r="C85" s="1337"/>
      <c r="D85" s="1343" t="s">
        <v>2285</v>
      </c>
      <c r="E85" s="1364"/>
      <c r="F85" s="1344">
        <f>(16.06)*1.1</f>
        <v>17.666</v>
      </c>
      <c r="G85" s="1339"/>
      <c r="H85" s="1649"/>
      <c r="I85" s="1650"/>
      <c r="J85" s="1653"/>
      <c r="K85" s="1647"/>
      <c r="R85" s="1651"/>
      <c r="S85" s="1758"/>
      <c r="T85" s="1651"/>
      <c r="U85" s="1758"/>
    </row>
    <row r="86" spans="1:21" ht="27.75" customHeight="1">
      <c r="A86" s="1335"/>
      <c r="B86" s="1337"/>
      <c r="C86" s="1337"/>
      <c r="D86" s="1343" t="s">
        <v>2276</v>
      </c>
      <c r="E86" s="1337"/>
      <c r="F86" s="1354"/>
      <c r="G86" s="1339"/>
      <c r="H86" s="1339"/>
      <c r="I86" s="1654"/>
      <c r="J86" s="1655"/>
      <c r="S86" s="1756"/>
    </row>
    <row r="87" spans="1:21" ht="13.5" customHeight="1">
      <c r="A87" s="1335">
        <v>25</v>
      </c>
      <c r="B87" s="1337">
        <v>731</v>
      </c>
      <c r="C87" s="1337" t="s">
        <v>2286</v>
      </c>
      <c r="D87" s="1337" t="s">
        <v>2287</v>
      </c>
      <c r="E87" s="1337" t="s">
        <v>142</v>
      </c>
      <c r="F87" s="1485">
        <f>ROUND(SUM(F89),3)</f>
        <v>55.55</v>
      </c>
      <c r="G87" s="1339"/>
      <c r="H87" s="814">
        <f>ROUND(F87*G87,2)</f>
        <v>0</v>
      </c>
      <c r="I87" s="153" t="s">
        <v>112</v>
      </c>
      <c r="J87" s="1755"/>
      <c r="L87" s="1647"/>
      <c r="S87" s="1756"/>
    </row>
    <row r="88" spans="1:21" ht="39" customHeight="1">
      <c r="A88" s="1335"/>
      <c r="B88" s="1337"/>
      <c r="C88" s="1337"/>
      <c r="D88" s="1343" t="s">
        <v>2274</v>
      </c>
      <c r="E88" s="1364"/>
      <c r="G88" s="1339"/>
      <c r="H88" s="1649"/>
      <c r="I88" s="1650"/>
      <c r="J88" s="1757"/>
      <c r="K88" s="1651"/>
      <c r="L88" s="1652"/>
      <c r="M88" s="1651"/>
      <c r="N88" s="1651"/>
      <c r="O88" s="1651"/>
      <c r="P88" s="1651"/>
      <c r="Q88" s="1651"/>
      <c r="R88" s="1651"/>
      <c r="S88" s="1758"/>
      <c r="T88" s="1651"/>
      <c r="U88" s="1758"/>
    </row>
    <row r="89" spans="1:21" ht="13.5" customHeight="1">
      <c r="A89" s="1335"/>
      <c r="B89" s="1337"/>
      <c r="C89" s="1337"/>
      <c r="D89" s="1343" t="s">
        <v>2288</v>
      </c>
      <c r="E89" s="1364"/>
      <c r="F89" s="1344">
        <f>(50.5)*1.1</f>
        <v>55.550000000000004</v>
      </c>
      <c r="G89" s="1339"/>
      <c r="H89" s="1649"/>
      <c r="I89" s="1650"/>
      <c r="J89" s="1653"/>
      <c r="K89" s="1647"/>
      <c r="R89" s="1651"/>
      <c r="S89" s="1758"/>
      <c r="T89" s="1651"/>
      <c r="U89" s="1758"/>
    </row>
    <row r="90" spans="1:21" ht="27.75" customHeight="1">
      <c r="A90" s="1335"/>
      <c r="B90" s="1337"/>
      <c r="C90" s="1337"/>
      <c r="D90" s="1343" t="s">
        <v>2276</v>
      </c>
      <c r="E90" s="1337"/>
      <c r="F90" s="1354"/>
      <c r="G90" s="1339"/>
      <c r="H90" s="1339"/>
      <c r="I90" s="1654"/>
      <c r="J90" s="1655"/>
      <c r="S90" s="1756"/>
    </row>
    <row r="91" spans="1:21" ht="13.5" customHeight="1">
      <c r="A91" s="1335">
        <v>26</v>
      </c>
      <c r="B91" s="1337">
        <v>731</v>
      </c>
      <c r="C91" s="1337" t="s">
        <v>2289</v>
      </c>
      <c r="D91" s="1337" t="s">
        <v>2290</v>
      </c>
      <c r="E91" s="1337" t="s">
        <v>142</v>
      </c>
      <c r="F91" s="1485">
        <f>ROUND(SUM(F93),3)</f>
        <v>47.607999999999997</v>
      </c>
      <c r="G91" s="1339"/>
      <c r="H91" s="814">
        <f>ROUND(F91*G91,2)</f>
        <v>0</v>
      </c>
      <c r="I91" s="153" t="s">
        <v>112</v>
      </c>
      <c r="J91" s="1755"/>
      <c r="L91" s="1647"/>
      <c r="S91" s="1756"/>
    </row>
    <row r="92" spans="1:21" ht="39" customHeight="1">
      <c r="A92" s="1335"/>
      <c r="B92" s="1337"/>
      <c r="C92" s="1337"/>
      <c r="D92" s="1343" t="s">
        <v>2274</v>
      </c>
      <c r="E92" s="1364"/>
      <c r="G92" s="1339"/>
      <c r="H92" s="1649"/>
      <c r="I92" s="1650"/>
      <c r="J92" s="1757"/>
      <c r="K92" s="1651"/>
      <c r="L92" s="1652"/>
      <c r="M92" s="1651"/>
      <c r="N92" s="1651"/>
      <c r="O92" s="1651"/>
      <c r="P92" s="1651"/>
      <c r="Q92" s="1651"/>
      <c r="R92" s="1651"/>
      <c r="S92" s="1758"/>
      <c r="T92" s="1651"/>
      <c r="U92" s="1758"/>
    </row>
    <row r="93" spans="1:21" ht="13.5" customHeight="1">
      <c r="A93" s="1335"/>
      <c r="B93" s="1337"/>
      <c r="C93" s="1337"/>
      <c r="D93" s="1343" t="s">
        <v>2291</v>
      </c>
      <c r="E93" s="1364"/>
      <c r="F93" s="1344">
        <f>(43.28)*1.1</f>
        <v>47.608000000000004</v>
      </c>
      <c r="G93" s="1339"/>
      <c r="H93" s="1649"/>
      <c r="I93" s="1650"/>
      <c r="J93" s="1653"/>
      <c r="K93" s="1647"/>
      <c r="R93" s="1651"/>
      <c r="S93" s="1758"/>
      <c r="T93" s="1651"/>
      <c r="U93" s="1758"/>
    </row>
    <row r="94" spans="1:21" ht="27.75" customHeight="1">
      <c r="A94" s="1335"/>
      <c r="B94" s="1337"/>
      <c r="C94" s="1337"/>
      <c r="D94" s="1343" t="s">
        <v>2276</v>
      </c>
      <c r="E94" s="1337"/>
      <c r="F94" s="1354"/>
      <c r="G94" s="1339"/>
      <c r="H94" s="1339"/>
      <c r="I94" s="1654"/>
      <c r="J94" s="1651"/>
      <c r="S94" s="1756"/>
    </row>
    <row r="95" spans="1:21" ht="13.5" customHeight="1">
      <c r="A95" s="1335">
        <v>27</v>
      </c>
      <c r="B95" s="1337">
        <v>731</v>
      </c>
      <c r="C95" s="1337" t="s">
        <v>2292</v>
      </c>
      <c r="D95" s="1337" t="s">
        <v>2293</v>
      </c>
      <c r="E95" s="1337" t="s">
        <v>142</v>
      </c>
      <c r="F95" s="1485">
        <f>ROUND(SUM(F97),3)</f>
        <v>50.149000000000001</v>
      </c>
      <c r="G95" s="1339"/>
      <c r="H95" s="814">
        <f>ROUND(F95*G95,2)</f>
        <v>0</v>
      </c>
      <c r="I95" s="153" t="s">
        <v>112</v>
      </c>
      <c r="J95" s="1755"/>
      <c r="L95" s="1647"/>
      <c r="S95" s="1756"/>
    </row>
    <row r="96" spans="1:21" ht="39" customHeight="1">
      <c r="A96" s="1335"/>
      <c r="B96" s="1337"/>
      <c r="C96" s="1337"/>
      <c r="D96" s="1343" t="s">
        <v>2274</v>
      </c>
      <c r="E96" s="1364"/>
      <c r="G96" s="1339"/>
      <c r="H96" s="1649"/>
      <c r="I96" s="1650"/>
      <c r="J96" s="1757"/>
      <c r="K96" s="1651"/>
      <c r="L96" s="1652"/>
      <c r="M96" s="1651"/>
      <c r="N96" s="1651"/>
      <c r="O96" s="1651"/>
      <c r="P96" s="1651"/>
      <c r="Q96" s="1651"/>
      <c r="R96" s="1651"/>
      <c r="S96" s="1758"/>
      <c r="T96" s="1651"/>
      <c r="U96" s="1758"/>
    </row>
    <row r="97" spans="1:92" ht="13.5" customHeight="1">
      <c r="A97" s="1335"/>
      <c r="B97" s="1337"/>
      <c r="C97" s="1337"/>
      <c r="D97" s="1343" t="s">
        <v>2294</v>
      </c>
      <c r="E97" s="1364"/>
      <c r="F97" s="1344">
        <f xml:space="preserve"> (45.59)*1.1</f>
        <v>50.149000000000008</v>
      </c>
      <c r="G97" s="1339"/>
      <c r="H97" s="1649"/>
      <c r="I97" s="1650"/>
      <c r="J97" s="1653"/>
      <c r="K97" s="1647"/>
      <c r="R97" s="1651"/>
      <c r="S97" s="1758"/>
      <c r="T97" s="1651"/>
      <c r="U97" s="1758"/>
    </row>
    <row r="98" spans="1:92" ht="27.75" customHeight="1">
      <c r="A98" s="1335"/>
      <c r="B98" s="1337"/>
      <c r="C98" s="1337"/>
      <c r="D98" s="1343" t="s">
        <v>2276</v>
      </c>
      <c r="E98" s="1337"/>
      <c r="F98" s="1354"/>
      <c r="G98" s="1339"/>
      <c r="H98" s="1339"/>
      <c r="I98" s="1654"/>
      <c r="J98" s="1655"/>
      <c r="S98" s="1756"/>
    </row>
    <row r="99" spans="1:92" ht="13.5" customHeight="1">
      <c r="A99" s="1335">
        <v>28</v>
      </c>
      <c r="B99" s="1337">
        <v>731</v>
      </c>
      <c r="C99" s="1337" t="s">
        <v>2295</v>
      </c>
      <c r="D99" s="1337" t="s">
        <v>2296</v>
      </c>
      <c r="E99" s="1337" t="s">
        <v>142</v>
      </c>
      <c r="F99" s="1485">
        <f>ROUND(SUM(F101),3)</f>
        <v>15.73</v>
      </c>
      <c r="G99" s="1339"/>
      <c r="H99" s="814">
        <f>ROUND(F99*G99,2)</f>
        <v>0</v>
      </c>
      <c r="I99" s="153" t="s">
        <v>112</v>
      </c>
      <c r="J99" s="1755"/>
      <c r="L99" s="1647"/>
      <c r="S99" s="1756"/>
    </row>
    <row r="100" spans="1:92" ht="39" customHeight="1">
      <c r="A100" s="1335"/>
      <c r="B100" s="1337"/>
      <c r="C100" s="1337"/>
      <c r="D100" s="1343" t="s">
        <v>2274</v>
      </c>
      <c r="E100" s="1364"/>
      <c r="G100" s="1339"/>
      <c r="H100" s="1649"/>
      <c r="I100" s="1650"/>
      <c r="J100" s="1757"/>
      <c r="K100" s="1651"/>
      <c r="L100" s="1652"/>
      <c r="M100" s="1651"/>
      <c r="N100" s="1651"/>
      <c r="O100" s="1651"/>
      <c r="P100" s="1651"/>
      <c r="Q100" s="1651"/>
      <c r="R100" s="1651"/>
      <c r="S100" s="1758"/>
      <c r="T100" s="1651"/>
      <c r="U100" s="1758"/>
    </row>
    <row r="101" spans="1:92" s="1656" customFormat="1" ht="13.5" customHeight="1">
      <c r="A101" s="1335"/>
      <c r="B101" s="1337"/>
      <c r="C101" s="1337"/>
      <c r="D101" s="1343" t="s">
        <v>2297</v>
      </c>
      <c r="E101" s="1364"/>
      <c r="F101" s="1344">
        <f>(14.3)*1.1</f>
        <v>15.730000000000002</v>
      </c>
      <c r="G101" s="1339"/>
      <c r="H101" s="1649"/>
      <c r="I101" s="1650"/>
      <c r="J101" s="1653"/>
      <c r="K101" s="1647"/>
      <c r="L101" s="1287"/>
      <c r="M101" s="1287"/>
      <c r="N101" s="1287"/>
      <c r="O101" s="1287"/>
      <c r="P101" s="1287"/>
      <c r="Q101" s="1287"/>
      <c r="R101" s="1651"/>
      <c r="S101" s="1758"/>
      <c r="T101" s="1651"/>
      <c r="U101" s="1758"/>
      <c r="V101" s="1287"/>
      <c r="W101" s="1287"/>
      <c r="X101" s="1287"/>
      <c r="Y101" s="1287"/>
      <c r="Z101" s="1287"/>
      <c r="AA101" s="1287"/>
      <c r="AB101" s="1287"/>
      <c r="AC101" s="1287"/>
      <c r="AD101" s="1287"/>
      <c r="AE101" s="1287"/>
      <c r="AF101" s="1287"/>
      <c r="AG101" s="1287"/>
      <c r="AH101" s="1287"/>
      <c r="AI101" s="1287"/>
      <c r="AJ101" s="1287"/>
      <c r="AK101" s="1287"/>
      <c r="AL101" s="1287"/>
      <c r="AM101" s="1287"/>
      <c r="AN101" s="1287"/>
      <c r="AO101" s="1287"/>
      <c r="AP101" s="1287"/>
      <c r="AQ101" s="1287"/>
      <c r="AR101" s="1287"/>
      <c r="AS101" s="1287"/>
      <c r="AT101" s="1287"/>
      <c r="AU101" s="1287"/>
      <c r="AV101" s="1287"/>
      <c r="AW101" s="1287"/>
      <c r="AX101" s="1287"/>
      <c r="AY101" s="1287"/>
      <c r="AZ101" s="1287"/>
      <c r="BA101" s="1287"/>
      <c r="BB101" s="1287"/>
      <c r="BC101" s="1287"/>
      <c r="BD101" s="1287"/>
      <c r="BE101" s="1287"/>
      <c r="BF101" s="1287"/>
      <c r="BG101" s="1287"/>
      <c r="BH101" s="1287"/>
      <c r="BI101" s="1287"/>
      <c r="BJ101" s="1287"/>
      <c r="BK101" s="1287"/>
      <c r="BL101" s="1287"/>
      <c r="BM101" s="1287"/>
      <c r="BN101" s="1287"/>
      <c r="BO101" s="1287"/>
      <c r="BP101" s="1287"/>
      <c r="BQ101" s="1287"/>
      <c r="BR101" s="1287"/>
      <c r="BS101" s="1287"/>
      <c r="BT101" s="1287"/>
      <c r="BU101" s="1287"/>
      <c r="BV101" s="1287"/>
      <c r="BW101" s="1287"/>
      <c r="BX101" s="1287"/>
      <c r="BY101" s="1287"/>
      <c r="BZ101" s="1287"/>
      <c r="CA101" s="1287"/>
      <c r="CB101" s="1287"/>
      <c r="CC101" s="1287"/>
      <c r="CD101" s="1287"/>
      <c r="CE101" s="1287"/>
      <c r="CF101" s="1287"/>
      <c r="CG101" s="1287"/>
      <c r="CH101" s="1287"/>
      <c r="CI101" s="1287"/>
      <c r="CJ101" s="1287"/>
      <c r="CK101" s="1287"/>
      <c r="CL101" s="1287"/>
      <c r="CM101" s="1287"/>
      <c r="CN101" s="1287"/>
    </row>
    <row r="102" spans="1:92" s="1656" customFormat="1" ht="27.75" customHeight="1">
      <c r="A102" s="1335"/>
      <c r="B102" s="1337"/>
      <c r="C102" s="1337"/>
      <c r="D102" s="1343" t="s">
        <v>2276</v>
      </c>
      <c r="E102" s="1337"/>
      <c r="F102" s="1354"/>
      <c r="G102" s="1339"/>
      <c r="H102" s="1339"/>
      <c r="I102" s="1654"/>
      <c r="J102" s="1651"/>
      <c r="K102" s="1287"/>
      <c r="L102" s="1287"/>
      <c r="M102" s="1287"/>
      <c r="N102" s="1287"/>
      <c r="O102" s="1287"/>
      <c r="P102" s="1287"/>
      <c r="Q102" s="1287"/>
      <c r="R102" s="1287"/>
      <c r="S102" s="1756"/>
      <c r="T102" s="1287"/>
      <c r="U102" s="1287"/>
      <c r="V102" s="1287"/>
      <c r="W102" s="1287"/>
      <c r="X102" s="1287"/>
      <c r="Y102" s="1287"/>
      <c r="Z102" s="1287"/>
      <c r="AA102" s="1287"/>
      <c r="AB102" s="1287"/>
      <c r="AC102" s="1287"/>
      <c r="AD102" s="1287"/>
      <c r="AE102" s="1287"/>
      <c r="AF102" s="1287"/>
      <c r="AG102" s="1287"/>
      <c r="AH102" s="1287"/>
      <c r="AI102" s="1287"/>
      <c r="AJ102" s="1287"/>
      <c r="AK102" s="1287"/>
      <c r="AL102" s="1287"/>
      <c r="AM102" s="1287"/>
      <c r="AN102" s="1287"/>
      <c r="AO102" s="1287"/>
      <c r="AP102" s="1287"/>
      <c r="AQ102" s="1287"/>
      <c r="AR102" s="1287"/>
      <c r="AS102" s="1287"/>
      <c r="AT102" s="1287"/>
      <c r="AU102" s="1287"/>
      <c r="AV102" s="1287"/>
      <c r="AW102" s="1287"/>
      <c r="AX102" s="1287"/>
      <c r="AY102" s="1287"/>
      <c r="AZ102" s="1287"/>
      <c r="BA102" s="1287"/>
      <c r="BB102" s="1287"/>
      <c r="BC102" s="1287"/>
      <c r="BD102" s="1287"/>
      <c r="BE102" s="1287"/>
      <c r="BF102" s="1287"/>
      <c r="BG102" s="1287"/>
      <c r="BH102" s="1287"/>
      <c r="BI102" s="1287"/>
      <c r="BJ102" s="1287"/>
      <c r="BK102" s="1287"/>
      <c r="BL102" s="1287"/>
      <c r="BM102" s="1287"/>
      <c r="BN102" s="1287"/>
      <c r="BO102" s="1287"/>
      <c r="BP102" s="1287"/>
      <c r="BQ102" s="1287"/>
      <c r="BR102" s="1287"/>
      <c r="BS102" s="1287"/>
      <c r="BT102" s="1287"/>
      <c r="BU102" s="1287"/>
      <c r="BV102" s="1287"/>
      <c r="BW102" s="1287"/>
      <c r="BX102" s="1287"/>
      <c r="BY102" s="1287"/>
      <c r="BZ102" s="1287"/>
      <c r="CA102" s="1287"/>
      <c r="CB102" s="1287"/>
      <c r="CC102" s="1287"/>
      <c r="CD102" s="1287"/>
      <c r="CE102" s="1287"/>
      <c r="CF102" s="1287"/>
      <c r="CG102" s="1287"/>
      <c r="CH102" s="1287"/>
      <c r="CI102" s="1287"/>
      <c r="CJ102" s="1287"/>
      <c r="CK102" s="1287"/>
      <c r="CL102" s="1287"/>
      <c r="CM102" s="1287"/>
      <c r="CN102" s="1287"/>
    </row>
    <row r="103" spans="1:92" s="1291" customFormat="1" ht="13.5" customHeight="1">
      <c r="A103" s="1335">
        <v>29</v>
      </c>
      <c r="B103" s="1337">
        <v>731</v>
      </c>
      <c r="C103" s="1337" t="s">
        <v>2298</v>
      </c>
      <c r="D103" s="1337" t="s">
        <v>2299</v>
      </c>
      <c r="E103" s="1337" t="s">
        <v>142</v>
      </c>
      <c r="F103" s="1485">
        <f>ROUND(SUM(F105:F105),3)</f>
        <v>723.07</v>
      </c>
      <c r="G103" s="1339"/>
      <c r="H103" s="814">
        <f>ROUND(F103*G103,2)</f>
        <v>0</v>
      </c>
      <c r="I103" s="153" t="s">
        <v>112</v>
      </c>
      <c r="J103" s="1657"/>
      <c r="K103" s="1658"/>
      <c r="R103" s="1340"/>
    </row>
    <row r="104" spans="1:92" s="1291" customFormat="1" ht="13.5" customHeight="1">
      <c r="A104" s="1335"/>
      <c r="B104" s="1337"/>
      <c r="C104" s="1337"/>
      <c r="D104" s="1343" t="s">
        <v>2300</v>
      </c>
      <c r="E104" s="1659"/>
      <c r="F104" s="1344"/>
      <c r="G104" s="1339"/>
      <c r="H104" s="1339"/>
      <c r="I104" s="1345"/>
      <c r="J104" s="1660"/>
      <c r="K104" s="1658"/>
      <c r="R104" s="1340"/>
    </row>
    <row r="105" spans="1:92" s="1291" customFormat="1" ht="27" customHeight="1">
      <c r="A105" s="1335"/>
      <c r="B105" s="1337"/>
      <c r="C105" s="1337"/>
      <c r="D105" s="1343" t="s">
        <v>2301</v>
      </c>
      <c r="E105" s="1659"/>
      <c r="F105" s="1344">
        <f>(14.3+45.59+43.28+50.5+16.06+54.65+0.57+25.75+63.99+12.25+237.89+158.24)</f>
        <v>723.06999999999994</v>
      </c>
      <c r="G105" s="1339"/>
      <c r="H105" s="1339"/>
      <c r="I105" s="1345"/>
      <c r="J105" s="1660"/>
      <c r="K105" s="1658"/>
      <c r="R105" s="1340"/>
    </row>
    <row r="106" spans="1:92" s="195" customFormat="1" ht="27" customHeight="1">
      <c r="A106" s="1005">
        <v>30</v>
      </c>
      <c r="B106" s="460" t="s">
        <v>2204</v>
      </c>
      <c r="C106" s="460" t="s">
        <v>2302</v>
      </c>
      <c r="D106" s="460" t="s">
        <v>2303</v>
      </c>
      <c r="E106" s="460" t="s">
        <v>142</v>
      </c>
      <c r="F106" s="1010">
        <f>SUM(F109:F113)</f>
        <v>137.59900000000002</v>
      </c>
      <c r="G106" s="1011"/>
      <c r="H106" s="1011">
        <f>F106*G106</f>
        <v>0</v>
      </c>
      <c r="I106" s="153" t="s">
        <v>112</v>
      </c>
      <c r="J106" s="1574"/>
      <c r="K106" s="1735"/>
      <c r="L106" s="1291"/>
      <c r="M106" s="1291"/>
      <c r="N106" s="1291"/>
      <c r="O106" s="1291"/>
      <c r="P106" s="1291"/>
      <c r="Q106" s="1291"/>
      <c r="R106" s="1340"/>
      <c r="S106" s="1291"/>
      <c r="T106" s="1291"/>
      <c r="U106" s="1291"/>
      <c r="V106" s="1291"/>
    </row>
    <row r="107" spans="1:92" s="1291" customFormat="1" ht="40.5" customHeight="1">
      <c r="A107" s="1335"/>
      <c r="B107" s="1336"/>
      <c r="C107" s="1337"/>
      <c r="D107" s="1661" t="s">
        <v>2304</v>
      </c>
      <c r="E107" s="1337"/>
      <c r="F107" s="1390"/>
      <c r="G107" s="1339"/>
      <c r="H107" s="1339"/>
      <c r="I107" s="1345"/>
      <c r="J107" s="1662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</row>
    <row r="108" spans="1:92" s="1291" customFormat="1" ht="13.5" customHeight="1">
      <c r="A108" s="1335"/>
      <c r="B108" s="1337"/>
      <c r="C108" s="1337"/>
      <c r="D108" s="1343" t="s">
        <v>2305</v>
      </c>
      <c r="E108" s="1659"/>
      <c r="G108" s="1339"/>
      <c r="H108" s="1339"/>
      <c r="I108" s="1345"/>
      <c r="J108" s="1759"/>
      <c r="K108" s="1287"/>
      <c r="L108" s="1647"/>
      <c r="M108" s="1647"/>
      <c r="N108" s="1647"/>
      <c r="O108" s="1647"/>
      <c r="Q108" s="1663"/>
    </row>
    <row r="109" spans="1:92" s="1291" customFormat="1" ht="13.5" customHeight="1">
      <c r="A109" s="1335"/>
      <c r="B109" s="1336"/>
      <c r="C109" s="1337"/>
      <c r="D109" s="1343" t="s">
        <v>2306</v>
      </c>
      <c r="E109" s="1337"/>
      <c r="F109" s="1390">
        <f>(24.18)*1.1</f>
        <v>26.598000000000003</v>
      </c>
      <c r="G109" s="1339"/>
      <c r="H109" s="1339"/>
      <c r="I109" s="1664"/>
      <c r="J109" s="1574"/>
      <c r="K109" s="1735"/>
      <c r="L109" s="1574"/>
      <c r="M109" s="1574"/>
      <c r="N109" s="1574"/>
      <c r="O109" s="1574"/>
      <c r="P109" s="1574"/>
      <c r="Q109" s="1574"/>
      <c r="R109" s="1602"/>
      <c r="S109" s="1602"/>
      <c r="T109" s="1602"/>
      <c r="U109" s="1736"/>
    </row>
    <row r="110" spans="1:92" s="1291" customFormat="1" ht="13.5" customHeight="1">
      <c r="A110" s="1335"/>
      <c r="B110" s="1336"/>
      <c r="C110" s="1337"/>
      <c r="D110" s="1343" t="s">
        <v>2307</v>
      </c>
      <c r="E110" s="1337"/>
      <c r="F110" s="1390">
        <f>(26.05)*1.1</f>
        <v>28.655000000000005</v>
      </c>
      <c r="G110" s="1339"/>
      <c r="H110" s="1339"/>
      <c r="I110" s="1664"/>
      <c r="J110" s="1574"/>
      <c r="K110" s="1735"/>
      <c r="L110" s="1574"/>
      <c r="M110" s="1574"/>
      <c r="N110" s="1574"/>
      <c r="O110" s="1574"/>
      <c r="P110" s="1574"/>
      <c r="Q110" s="1574"/>
      <c r="R110" s="1602"/>
      <c r="S110" s="1602"/>
      <c r="T110" s="1602"/>
      <c r="U110" s="1736"/>
    </row>
    <row r="111" spans="1:92" s="1291" customFormat="1" ht="13.5" customHeight="1">
      <c r="A111" s="1335"/>
      <c r="B111" s="1336"/>
      <c r="C111" s="1337"/>
      <c r="D111" s="1343" t="s">
        <v>2308</v>
      </c>
      <c r="E111" s="1337"/>
      <c r="F111" s="1390">
        <f>(68.15)*1.1</f>
        <v>74.965000000000018</v>
      </c>
      <c r="G111" s="1339"/>
      <c r="H111" s="1339"/>
      <c r="I111" s="1664"/>
      <c r="J111" s="1574"/>
      <c r="K111" s="1735"/>
      <c r="L111" s="1574"/>
      <c r="M111" s="1574"/>
      <c r="N111" s="1574"/>
      <c r="O111" s="1574"/>
      <c r="P111" s="1574"/>
      <c r="Q111" s="1574"/>
      <c r="R111" s="1602"/>
      <c r="S111" s="1602"/>
      <c r="T111" s="1602"/>
      <c r="U111" s="1736"/>
    </row>
    <row r="112" spans="1:92" s="1291" customFormat="1" ht="13.5" customHeight="1">
      <c r="A112" s="1335"/>
      <c r="B112" s="1336"/>
      <c r="C112" s="1337"/>
      <c r="D112" s="1343" t="s">
        <v>2309</v>
      </c>
      <c r="E112" s="1337"/>
      <c r="F112" s="1390">
        <f>(6.58)*1.1</f>
        <v>7.2380000000000004</v>
      </c>
      <c r="G112" s="1339"/>
      <c r="H112" s="1339"/>
      <c r="I112" s="1664"/>
      <c r="J112" s="1574"/>
      <c r="K112" s="1735"/>
      <c r="L112" s="1574"/>
      <c r="M112" s="1574"/>
      <c r="N112" s="1574"/>
      <c r="O112" s="1574"/>
      <c r="P112" s="1574"/>
      <c r="Q112" s="1574"/>
      <c r="R112" s="1602"/>
      <c r="S112" s="1602"/>
      <c r="T112" s="1602"/>
      <c r="U112" s="1736"/>
    </row>
    <row r="113" spans="1:97" s="1291" customFormat="1" ht="13.5" customHeight="1">
      <c r="A113" s="1335"/>
      <c r="B113" s="1336"/>
      <c r="C113" s="1337"/>
      <c r="D113" s="1343" t="s">
        <v>2310</v>
      </c>
      <c r="E113" s="1337"/>
      <c r="F113" s="1390">
        <f>(0.13)*1.1</f>
        <v>0.14300000000000002</v>
      </c>
      <c r="G113" s="1339"/>
      <c r="H113" s="1339"/>
      <c r="I113" s="1664"/>
      <c r="J113" s="1574"/>
      <c r="K113" s="1735"/>
      <c r="L113" s="1574"/>
      <c r="M113" s="1574"/>
      <c r="N113" s="1574"/>
      <c r="O113" s="1574"/>
      <c r="P113" s="1574"/>
      <c r="Q113" s="1574"/>
      <c r="R113" s="1602"/>
      <c r="S113" s="1602"/>
      <c r="T113" s="1602"/>
      <c r="U113" s="1736"/>
    </row>
    <row r="114" spans="1:97" s="1291" customFormat="1" ht="13.5" customHeight="1">
      <c r="A114" s="1335"/>
      <c r="B114" s="1336"/>
      <c r="C114" s="1337"/>
      <c r="D114" s="1343" t="s">
        <v>2311</v>
      </c>
      <c r="E114" s="1337"/>
      <c r="F114" s="1027"/>
      <c r="G114" s="1339"/>
      <c r="H114" s="1339"/>
      <c r="I114" s="1664"/>
      <c r="J114" s="1574"/>
      <c r="K114" s="1735"/>
      <c r="L114" s="1574"/>
      <c r="M114" s="1574"/>
      <c r="N114" s="1574"/>
      <c r="O114" s="1574"/>
      <c r="P114" s="1574"/>
      <c r="Q114" s="1574"/>
      <c r="R114" s="1602"/>
      <c r="S114" s="1602"/>
      <c r="T114" s="1602"/>
      <c r="U114" s="1736"/>
    </row>
    <row r="115" spans="1:97" s="1291" customFormat="1" ht="27" customHeight="1">
      <c r="A115" s="1335"/>
      <c r="B115" s="1337"/>
      <c r="C115" s="1337"/>
      <c r="D115" s="1343" t="s">
        <v>2276</v>
      </c>
      <c r="E115" s="1659"/>
      <c r="F115" s="1390"/>
      <c r="G115" s="1339"/>
      <c r="H115" s="1339"/>
      <c r="I115" s="1345"/>
      <c r="J115" s="1665"/>
      <c r="K115" s="1658"/>
      <c r="R115" s="1340"/>
    </row>
    <row r="116" spans="1:97" s="1291" customFormat="1" ht="13.5" customHeight="1">
      <c r="A116" s="1335">
        <v>31</v>
      </c>
      <c r="B116" s="1337">
        <v>731</v>
      </c>
      <c r="C116" s="1337" t="s">
        <v>2312</v>
      </c>
      <c r="D116" s="1337" t="s">
        <v>2313</v>
      </c>
      <c r="E116" s="1337" t="s">
        <v>142</v>
      </c>
      <c r="F116" s="1666">
        <f>SUM(F117)</f>
        <v>125.09</v>
      </c>
      <c r="G116" s="1339"/>
      <c r="H116" s="1339">
        <f>F116*G116</f>
        <v>0</v>
      </c>
      <c r="I116" s="153" t="s">
        <v>112</v>
      </c>
      <c r="J116" s="1667"/>
      <c r="K116" s="1658"/>
      <c r="R116" s="1340"/>
    </row>
    <row r="117" spans="1:97" s="1291" customFormat="1" ht="13.5" customHeight="1">
      <c r="A117" s="1335"/>
      <c r="B117" s="1337"/>
      <c r="C117" s="1337"/>
      <c r="D117" s="1343" t="s">
        <v>2314</v>
      </c>
      <c r="E117" s="1659"/>
      <c r="F117" s="1390">
        <f>(24.18+26.05+68.15+6.58+0.13)</f>
        <v>125.09</v>
      </c>
      <c r="G117" s="1339"/>
      <c r="H117" s="1339"/>
      <c r="I117" s="1345"/>
      <c r="J117" s="1665"/>
      <c r="K117" s="1658"/>
      <c r="R117" s="1340"/>
    </row>
    <row r="118" spans="1:97" s="1291" customFormat="1" ht="13.5" customHeight="1">
      <c r="A118" s="1335">
        <v>32</v>
      </c>
      <c r="B118" s="1337">
        <v>731</v>
      </c>
      <c r="C118" s="1337" t="s">
        <v>2315</v>
      </c>
      <c r="D118" s="1337" t="s">
        <v>2316</v>
      </c>
      <c r="E118" s="1337" t="s">
        <v>1328</v>
      </c>
      <c r="F118" s="1354">
        <f>F119</f>
        <v>2</v>
      </c>
      <c r="G118" s="1339"/>
      <c r="H118" s="814">
        <f>ROUND(F118*G118,2)</f>
        <v>0</v>
      </c>
      <c r="I118" s="153" t="s">
        <v>112</v>
      </c>
      <c r="J118" s="1668"/>
      <c r="K118" s="1658"/>
      <c r="R118" s="1340"/>
    </row>
    <row r="119" spans="1:97" s="1291" customFormat="1" ht="13.5" customHeight="1">
      <c r="A119" s="1335"/>
      <c r="B119" s="1337"/>
      <c r="C119" s="1337"/>
      <c r="D119" s="1343" t="s">
        <v>2317</v>
      </c>
      <c r="E119" s="1659"/>
      <c r="F119" s="1344">
        <v>2</v>
      </c>
      <c r="G119" s="1339"/>
      <c r="H119" s="1339"/>
      <c r="I119" s="1345"/>
      <c r="J119" s="1660"/>
      <c r="K119" s="1658"/>
      <c r="R119" s="1340"/>
    </row>
    <row r="120" spans="1:97" s="1291" customFormat="1" ht="27" customHeight="1">
      <c r="A120" s="1335"/>
      <c r="B120" s="1337"/>
      <c r="C120" s="1337"/>
      <c r="D120" s="1343" t="s">
        <v>2318</v>
      </c>
      <c r="E120" s="1659"/>
      <c r="F120" s="1344"/>
      <c r="G120" s="1339"/>
      <c r="H120" s="1339"/>
      <c r="I120" s="1345"/>
      <c r="J120" s="1660"/>
      <c r="K120" s="1658"/>
      <c r="R120" s="1340"/>
    </row>
    <row r="121" spans="1:97" s="1368" customFormat="1" ht="13.5" customHeight="1">
      <c r="B121" s="1335"/>
      <c r="C121" s="1364"/>
      <c r="D121" s="1343" t="s">
        <v>2319</v>
      </c>
      <c r="E121" s="1337"/>
      <c r="F121" s="1669"/>
      <c r="G121" s="1649"/>
      <c r="H121" s="1597"/>
      <c r="I121" s="1670"/>
      <c r="J121" s="1357"/>
      <c r="K121" s="1357"/>
      <c r="L121" s="1357"/>
      <c r="M121" s="1357"/>
      <c r="N121" s="1357"/>
      <c r="O121" s="1357"/>
      <c r="P121" s="1357"/>
      <c r="Q121" s="1357"/>
      <c r="R121" s="1357"/>
      <c r="S121" s="1357"/>
      <c r="T121" s="1357"/>
      <c r="U121" s="1357"/>
      <c r="V121" s="1357"/>
      <c r="W121" s="1357"/>
      <c r="X121" s="1357"/>
      <c r="Y121" s="1357"/>
      <c r="Z121" s="1357"/>
      <c r="AA121" s="1357"/>
      <c r="AB121" s="1357"/>
      <c r="AC121" s="1357"/>
      <c r="AD121" s="1357"/>
      <c r="AE121" s="1357"/>
      <c r="AF121" s="1357"/>
      <c r="AG121" s="1357"/>
      <c r="AH121" s="1357"/>
      <c r="AI121" s="1357"/>
      <c r="AJ121" s="1357"/>
      <c r="AK121" s="1357"/>
      <c r="AL121" s="1357"/>
      <c r="AM121" s="1357"/>
      <c r="AN121" s="1357"/>
      <c r="AO121" s="1357"/>
      <c r="AP121" s="1357"/>
      <c r="AQ121" s="1357"/>
      <c r="AR121" s="1357"/>
      <c r="AS121" s="1357"/>
      <c r="AT121" s="1357"/>
      <c r="AU121" s="1357"/>
      <c r="AV121" s="1357"/>
      <c r="AW121" s="1357"/>
      <c r="AX121" s="1357"/>
      <c r="AY121" s="1357"/>
      <c r="AZ121" s="1357"/>
      <c r="BA121" s="1357"/>
      <c r="BB121" s="1357"/>
      <c r="BC121" s="1357"/>
      <c r="BD121" s="1357"/>
      <c r="BE121" s="1357"/>
      <c r="BF121" s="1357"/>
      <c r="BG121" s="1357"/>
      <c r="BH121" s="1357"/>
      <c r="BI121" s="1357"/>
      <c r="BJ121" s="1357"/>
      <c r="BK121" s="1357"/>
      <c r="BL121" s="1357"/>
      <c r="BM121" s="1357"/>
      <c r="BN121" s="1357"/>
      <c r="BO121" s="1357"/>
      <c r="BP121" s="1357"/>
      <c r="BQ121" s="1357"/>
      <c r="BR121" s="1357"/>
      <c r="BS121" s="1357"/>
      <c r="BT121" s="1357"/>
      <c r="BU121" s="1357"/>
      <c r="BV121" s="1357"/>
      <c r="BW121" s="1357"/>
      <c r="BX121" s="1357"/>
      <c r="BY121" s="1357"/>
      <c r="BZ121" s="1357"/>
      <c r="CA121" s="1357"/>
      <c r="CB121" s="1357"/>
      <c r="CC121" s="1357"/>
      <c r="CD121" s="1357"/>
      <c r="CE121" s="1357"/>
      <c r="CF121" s="1357"/>
      <c r="CG121" s="1357"/>
      <c r="CH121" s="1357"/>
      <c r="CI121" s="1357"/>
      <c r="CJ121" s="1357"/>
      <c r="CK121" s="1357"/>
      <c r="CL121" s="1357"/>
      <c r="CM121" s="1357"/>
      <c r="CN121" s="1357"/>
      <c r="CO121" s="1357"/>
      <c r="CP121" s="1357"/>
      <c r="CQ121" s="1357"/>
      <c r="CR121" s="1357"/>
      <c r="CS121" s="1357"/>
    </row>
    <row r="122" spans="1:97" s="1291" customFormat="1" ht="13.5" customHeight="1">
      <c r="A122" s="1335">
        <v>33</v>
      </c>
      <c r="B122" s="1337">
        <v>731</v>
      </c>
      <c r="C122" s="1337" t="s">
        <v>2320</v>
      </c>
      <c r="D122" s="1337" t="s">
        <v>2321</v>
      </c>
      <c r="E122" s="1337" t="s">
        <v>49</v>
      </c>
      <c r="F122" s="1485">
        <f>ROUND(SUM(F124:F124),3)</f>
        <v>1</v>
      </c>
      <c r="G122" s="1339"/>
      <c r="H122" s="814">
        <f>ROUND(F122*G122,2)</f>
        <v>0</v>
      </c>
      <c r="I122" s="153" t="s">
        <v>112</v>
      </c>
      <c r="J122" s="1668"/>
      <c r="K122" s="1658"/>
      <c r="R122" s="1340"/>
    </row>
    <row r="123" spans="1:97" s="195" customFormat="1" ht="13.5" customHeight="1">
      <c r="A123" s="1005"/>
      <c r="B123" s="460"/>
      <c r="C123" s="466"/>
      <c r="D123" s="466" t="s">
        <v>2322</v>
      </c>
      <c r="E123" s="466"/>
      <c r="F123" s="1314"/>
      <c r="G123" s="1671"/>
      <c r="H123" s="1671"/>
      <c r="I123" s="153"/>
      <c r="J123" s="1322"/>
    </row>
    <row r="124" spans="1:97" s="1291" customFormat="1" ht="13.5" customHeight="1">
      <c r="A124" s="1335"/>
      <c r="B124" s="1337"/>
      <c r="C124" s="1337"/>
      <c r="D124" s="1343" t="s">
        <v>2323</v>
      </c>
      <c r="E124" s="1659"/>
      <c r="F124" s="1344">
        <v>1</v>
      </c>
      <c r="G124" s="1339"/>
      <c r="H124" s="1339"/>
      <c r="I124" s="1345"/>
      <c r="J124" s="1672"/>
      <c r="K124" s="1658"/>
      <c r="R124" s="1340"/>
    </row>
    <row r="125" spans="1:97" s="1291" customFormat="1" ht="67.5" customHeight="1">
      <c r="A125" s="1673"/>
      <c r="B125" s="1659"/>
      <c r="C125" s="1659"/>
      <c r="D125" s="1674" t="s">
        <v>2324</v>
      </c>
      <c r="E125" s="1659"/>
      <c r="F125" s="1675"/>
      <c r="G125" s="1649"/>
      <c r="H125" s="1649"/>
      <c r="I125" s="1670"/>
      <c r="J125" s="1368"/>
    </row>
    <row r="126" spans="1:97" s="1368" customFormat="1" ht="13.5" customHeight="1">
      <c r="B126" s="1335"/>
      <c r="C126" s="1364"/>
      <c r="D126" s="1343" t="s">
        <v>2325</v>
      </c>
      <c r="E126" s="1337"/>
      <c r="F126" s="1669"/>
      <c r="G126" s="1649"/>
      <c r="H126" s="1597"/>
      <c r="I126" s="1670"/>
      <c r="J126" s="1357"/>
      <c r="K126" s="1357"/>
      <c r="L126" s="1357"/>
      <c r="M126" s="1357"/>
      <c r="N126" s="1357"/>
      <c r="O126" s="1357"/>
      <c r="P126" s="1357"/>
      <c r="Q126" s="1357"/>
      <c r="R126" s="1357"/>
      <c r="S126" s="1357"/>
      <c r="T126" s="1357"/>
      <c r="U126" s="1357"/>
      <c r="V126" s="1357"/>
      <c r="W126" s="1357"/>
      <c r="X126" s="1357"/>
      <c r="Y126" s="1357"/>
      <c r="Z126" s="1357"/>
      <c r="AA126" s="1357"/>
      <c r="AB126" s="1357"/>
      <c r="AC126" s="1357"/>
      <c r="AD126" s="1357"/>
      <c r="AE126" s="1357"/>
      <c r="AF126" s="1357"/>
      <c r="AG126" s="1357"/>
      <c r="AH126" s="1357"/>
      <c r="AI126" s="1357"/>
      <c r="AJ126" s="1357"/>
      <c r="AK126" s="1357"/>
      <c r="AL126" s="1357"/>
      <c r="AM126" s="1357"/>
      <c r="AN126" s="1357"/>
      <c r="AO126" s="1357"/>
      <c r="AP126" s="1357"/>
      <c r="AQ126" s="1357"/>
      <c r="AR126" s="1357"/>
      <c r="AS126" s="1357"/>
      <c r="AT126" s="1357"/>
      <c r="AU126" s="1357"/>
      <c r="AV126" s="1357"/>
      <c r="AW126" s="1357"/>
      <c r="AX126" s="1357"/>
      <c r="AY126" s="1357"/>
      <c r="AZ126" s="1357"/>
      <c r="BA126" s="1357"/>
      <c r="BB126" s="1357"/>
      <c r="BC126" s="1357"/>
      <c r="BD126" s="1357"/>
      <c r="BE126" s="1357"/>
      <c r="BF126" s="1357"/>
      <c r="BG126" s="1357"/>
      <c r="BH126" s="1357"/>
      <c r="BI126" s="1357"/>
      <c r="BJ126" s="1357"/>
      <c r="BK126" s="1357"/>
      <c r="BL126" s="1357"/>
      <c r="BM126" s="1357"/>
      <c r="BN126" s="1357"/>
      <c r="BO126" s="1357"/>
      <c r="BP126" s="1357"/>
      <c r="BQ126" s="1357"/>
      <c r="BR126" s="1357"/>
      <c r="BS126" s="1357"/>
      <c r="BT126" s="1357"/>
      <c r="BU126" s="1357"/>
      <c r="BV126" s="1357"/>
      <c r="BW126" s="1357"/>
      <c r="BX126" s="1357"/>
      <c r="BY126" s="1357"/>
      <c r="BZ126" s="1357"/>
      <c r="CA126" s="1357"/>
      <c r="CB126" s="1357"/>
      <c r="CC126" s="1357"/>
      <c r="CD126" s="1357"/>
      <c r="CE126" s="1357"/>
      <c r="CF126" s="1357"/>
      <c r="CG126" s="1357"/>
      <c r="CH126" s="1357"/>
      <c r="CI126" s="1357"/>
      <c r="CJ126" s="1357"/>
      <c r="CK126" s="1357"/>
      <c r="CL126" s="1357"/>
      <c r="CM126" s="1357"/>
      <c r="CN126" s="1357"/>
      <c r="CO126" s="1357"/>
      <c r="CP126" s="1357"/>
      <c r="CQ126" s="1357"/>
      <c r="CR126" s="1357"/>
      <c r="CS126" s="1357"/>
    </row>
    <row r="127" spans="1:97" s="1291" customFormat="1" ht="67.5" customHeight="1">
      <c r="A127" s="739"/>
      <c r="B127" s="1646"/>
      <c r="C127" s="1352"/>
      <c r="D127" s="251" t="s">
        <v>317</v>
      </c>
      <c r="E127" s="1343"/>
      <c r="F127" s="1676"/>
      <c r="G127" s="1355"/>
      <c r="H127" s="1355"/>
      <c r="I127" s="1356"/>
      <c r="J127" s="1677"/>
      <c r="K127" s="1678"/>
      <c r="L127" s="1679"/>
      <c r="M127" s="1679"/>
      <c r="Q127" s="1760"/>
    </row>
    <row r="128" spans="1:97" s="1368" customFormat="1" ht="13.5" customHeight="1">
      <c r="B128" s="1335"/>
      <c r="C128" s="1364"/>
      <c r="D128" s="1343" t="s">
        <v>2319</v>
      </c>
      <c r="E128" s="1337"/>
      <c r="F128" s="1669"/>
      <c r="G128" s="1649"/>
      <c r="H128" s="1597"/>
      <c r="I128" s="1670"/>
      <c r="J128" s="1357"/>
      <c r="K128" s="1357"/>
      <c r="L128" s="1357"/>
      <c r="M128" s="1357"/>
      <c r="N128" s="1357"/>
      <c r="O128" s="1357"/>
      <c r="P128" s="1357"/>
      <c r="Q128" s="1357"/>
      <c r="R128" s="1357"/>
      <c r="S128" s="1357"/>
      <c r="T128" s="1357"/>
      <c r="U128" s="1357"/>
      <c r="V128" s="1357"/>
      <c r="W128" s="1357"/>
      <c r="X128" s="1357"/>
      <c r="Y128" s="1357"/>
      <c r="Z128" s="1357"/>
      <c r="AA128" s="1357"/>
      <c r="AB128" s="1357"/>
      <c r="AC128" s="1357"/>
      <c r="AD128" s="1357"/>
      <c r="AE128" s="1357"/>
      <c r="AF128" s="1357"/>
      <c r="AG128" s="1357"/>
      <c r="AH128" s="1357"/>
      <c r="AI128" s="1357"/>
      <c r="AJ128" s="1357"/>
      <c r="AK128" s="1357"/>
      <c r="AL128" s="1357"/>
      <c r="AM128" s="1357"/>
      <c r="AN128" s="1357"/>
      <c r="AO128" s="1357"/>
      <c r="AP128" s="1357"/>
      <c r="AQ128" s="1357"/>
      <c r="AR128" s="1357"/>
      <c r="AS128" s="1357"/>
      <c r="AT128" s="1357"/>
      <c r="AU128" s="1357"/>
      <c r="AV128" s="1357"/>
      <c r="AW128" s="1357"/>
      <c r="AX128" s="1357"/>
      <c r="AY128" s="1357"/>
      <c r="AZ128" s="1357"/>
      <c r="BA128" s="1357"/>
      <c r="BB128" s="1357"/>
      <c r="BC128" s="1357"/>
      <c r="BD128" s="1357"/>
      <c r="BE128" s="1357"/>
      <c r="BF128" s="1357"/>
      <c r="BG128" s="1357"/>
      <c r="BH128" s="1357"/>
      <c r="BI128" s="1357"/>
      <c r="BJ128" s="1357"/>
      <c r="BK128" s="1357"/>
      <c r="BL128" s="1357"/>
      <c r="BM128" s="1357"/>
      <c r="BN128" s="1357"/>
      <c r="BO128" s="1357"/>
      <c r="BP128" s="1357"/>
      <c r="BQ128" s="1357"/>
      <c r="BR128" s="1357"/>
      <c r="BS128" s="1357"/>
      <c r="BT128" s="1357"/>
      <c r="BU128" s="1357"/>
      <c r="BV128" s="1357"/>
      <c r="BW128" s="1357"/>
      <c r="BX128" s="1357"/>
      <c r="BY128" s="1357"/>
      <c r="BZ128" s="1357"/>
      <c r="CA128" s="1357"/>
      <c r="CB128" s="1357"/>
      <c r="CC128" s="1357"/>
      <c r="CD128" s="1357"/>
      <c r="CE128" s="1357"/>
      <c r="CF128" s="1357"/>
      <c r="CG128" s="1357"/>
      <c r="CH128" s="1357"/>
      <c r="CI128" s="1357"/>
      <c r="CJ128" s="1357"/>
      <c r="CK128" s="1357"/>
      <c r="CL128" s="1357"/>
      <c r="CM128" s="1357"/>
      <c r="CN128" s="1357"/>
      <c r="CO128" s="1357"/>
      <c r="CP128" s="1357"/>
      <c r="CQ128" s="1357"/>
      <c r="CR128" s="1357"/>
      <c r="CS128" s="1357"/>
    </row>
    <row r="129" spans="1:23" s="1291" customFormat="1" ht="13.5" customHeight="1">
      <c r="A129" s="1347">
        <v>34</v>
      </c>
      <c r="B129" s="1337">
        <v>731</v>
      </c>
      <c r="C129" s="1337" t="s">
        <v>2326</v>
      </c>
      <c r="D129" s="1348" t="s">
        <v>1962</v>
      </c>
      <c r="E129" s="1348" t="s">
        <v>49</v>
      </c>
      <c r="F129" s="1349">
        <f>SUM(F131)</f>
        <v>1</v>
      </c>
      <c r="G129" s="1350"/>
      <c r="H129" s="814">
        <f>ROUND(F129*G129,2)</f>
        <v>0</v>
      </c>
      <c r="I129" s="153" t="s">
        <v>112</v>
      </c>
    </row>
    <row r="130" spans="1:23" s="1357" customFormat="1" ht="27" customHeight="1">
      <c r="A130" s="1351"/>
      <c r="B130" s="1352"/>
      <c r="C130" s="1352"/>
      <c r="D130" s="1353" t="s">
        <v>2327</v>
      </c>
      <c r="E130" s="1611"/>
      <c r="F130" s="1612"/>
      <c r="G130" s="1613"/>
      <c r="H130" s="1614"/>
      <c r="I130" s="1291"/>
    </row>
    <row r="131" spans="1:23" s="1357" customFormat="1" ht="13.5" customHeight="1">
      <c r="A131" s="1359"/>
      <c r="B131" s="1352"/>
      <c r="C131" s="1352"/>
      <c r="D131" s="1343" t="s">
        <v>1964</v>
      </c>
      <c r="E131" s="1352"/>
      <c r="F131" s="1344">
        <v>1</v>
      </c>
      <c r="G131" s="1360"/>
      <c r="H131" s="1339"/>
      <c r="I131" s="1291"/>
    </row>
    <row r="132" spans="1:23" s="1291" customFormat="1" ht="13.5" customHeight="1">
      <c r="A132" s="1347">
        <v>35</v>
      </c>
      <c r="B132" s="1337">
        <v>731</v>
      </c>
      <c r="C132" s="1337" t="s">
        <v>2328</v>
      </c>
      <c r="D132" s="1348" t="s">
        <v>2069</v>
      </c>
      <c r="E132" s="1348" t="s">
        <v>49</v>
      </c>
      <c r="F132" s="1349">
        <f>SUM(F133)</f>
        <v>1</v>
      </c>
      <c r="G132" s="1350"/>
      <c r="H132" s="814">
        <f>ROUND(F132*G132,2)</f>
        <v>0</v>
      </c>
      <c r="I132" s="153" t="s">
        <v>112</v>
      </c>
    </row>
    <row r="133" spans="1:23" s="1341" customFormat="1" ht="27" customHeight="1">
      <c r="A133" s="1335"/>
      <c r="B133" s="1336"/>
      <c r="C133" s="1337"/>
      <c r="D133" s="1343" t="s">
        <v>2070</v>
      </c>
      <c r="E133" s="1337"/>
      <c r="F133" s="1344">
        <v>1</v>
      </c>
      <c r="G133" s="1339"/>
      <c r="H133" s="1339"/>
      <c r="I133" s="1345"/>
      <c r="J133" s="1361"/>
      <c r="M133" s="1340"/>
    </row>
    <row r="134" spans="1:23" s="1341" customFormat="1" ht="27" customHeight="1">
      <c r="A134" s="1335"/>
      <c r="B134" s="1336"/>
      <c r="C134" s="1337"/>
      <c r="D134" s="1343" t="s">
        <v>2071</v>
      </c>
      <c r="E134" s="1337"/>
      <c r="F134" s="1344"/>
      <c r="G134" s="1339"/>
      <c r="H134" s="1339"/>
      <c r="I134" s="1345"/>
      <c r="J134" s="1361"/>
      <c r="M134" s="1340"/>
    </row>
    <row r="135" spans="1:23" s="195" customFormat="1" ht="13.5" customHeight="1">
      <c r="A135" s="1005">
        <v>36</v>
      </c>
      <c r="B135" s="460">
        <v>731</v>
      </c>
      <c r="C135" s="460">
        <v>998733202</v>
      </c>
      <c r="D135" s="460" t="s">
        <v>2329</v>
      </c>
      <c r="E135" s="460" t="s">
        <v>10</v>
      </c>
      <c r="F135" s="1311">
        <v>1.86</v>
      </c>
      <c r="G135" s="1011"/>
      <c r="H135" s="814">
        <f>ROUND(F135*G135,2)</f>
        <v>0</v>
      </c>
      <c r="I135" s="153" t="s">
        <v>138</v>
      </c>
      <c r="J135" s="1761"/>
    </row>
    <row r="136" spans="1:23" s="195" customFormat="1" ht="13.5" customHeight="1">
      <c r="A136" s="1005">
        <v>37</v>
      </c>
      <c r="B136" s="460" t="s">
        <v>369</v>
      </c>
      <c r="C136" s="460" t="s">
        <v>2257</v>
      </c>
      <c r="D136" s="460" t="s">
        <v>2258</v>
      </c>
      <c r="E136" s="460" t="s">
        <v>69</v>
      </c>
      <c r="F136" s="1311">
        <f>F137</f>
        <v>10</v>
      </c>
      <c r="G136" s="1011"/>
      <c r="H136" s="814">
        <f>ROUND(F136*G136,2)</f>
        <v>0</v>
      </c>
      <c r="I136" s="153" t="s">
        <v>138</v>
      </c>
      <c r="J136" s="1680"/>
    </row>
    <row r="137" spans="1:23" s="195" customFormat="1" ht="13.5" customHeight="1">
      <c r="A137" s="1005"/>
      <c r="B137" s="460"/>
      <c r="C137" s="466"/>
      <c r="D137" s="466" t="s">
        <v>2330</v>
      </c>
      <c r="E137" s="466"/>
      <c r="F137" s="1314">
        <v>10</v>
      </c>
      <c r="G137" s="1011"/>
      <c r="H137" s="1671"/>
      <c r="I137" s="153"/>
    </row>
    <row r="138" spans="1:23" s="195" customFormat="1" ht="27" customHeight="1">
      <c r="A138" s="1005"/>
      <c r="B138" s="460"/>
      <c r="C138" s="466"/>
      <c r="D138" s="466" t="s">
        <v>2260</v>
      </c>
      <c r="E138" s="466"/>
      <c r="F138" s="1681"/>
      <c r="G138" s="1671"/>
      <c r="H138" s="1671"/>
      <c r="I138" s="153"/>
    </row>
    <row r="139" spans="1:23" s="195" customFormat="1" ht="13.5" customHeight="1">
      <c r="A139" s="1005"/>
      <c r="B139" s="460"/>
      <c r="C139" s="455" t="s">
        <v>2331</v>
      </c>
      <c r="D139" s="455" t="s">
        <v>2332</v>
      </c>
      <c r="E139" s="455"/>
      <c r="F139" s="1642"/>
      <c r="G139" s="1007"/>
      <c r="H139" s="1007">
        <f>SUM(H140:H283)</f>
        <v>0</v>
      </c>
      <c r="I139" s="153"/>
    </row>
    <row r="140" spans="1:23" s="195" customFormat="1" ht="13.5" customHeight="1">
      <c r="A140" s="1005">
        <v>38</v>
      </c>
      <c r="B140" s="460" t="s">
        <v>2204</v>
      </c>
      <c r="C140" s="460" t="s">
        <v>2333</v>
      </c>
      <c r="D140" s="460" t="s">
        <v>2334</v>
      </c>
      <c r="E140" s="460" t="s">
        <v>210</v>
      </c>
      <c r="F140" s="1311">
        <f>SUM(F141)</f>
        <v>1</v>
      </c>
      <c r="G140" s="1011"/>
      <c r="H140" s="814">
        <f>ROUND(F140*G140,2)</f>
        <v>0</v>
      </c>
      <c r="I140" s="153" t="s">
        <v>112</v>
      </c>
      <c r="J140" s="1651"/>
      <c r="K140" s="1652"/>
    </row>
    <row r="141" spans="1:23" s="1636" customFormat="1" ht="13.5" customHeight="1">
      <c r="A141" s="1637"/>
      <c r="B141" s="1638"/>
      <c r="C141" s="1606"/>
      <c r="D141" s="342" t="s">
        <v>2335</v>
      </c>
      <c r="E141" s="466"/>
      <c r="F141" s="1314">
        <v>1</v>
      </c>
      <c r="G141" s="1639"/>
      <c r="H141" s="1640"/>
      <c r="I141" s="1641"/>
      <c r="J141" s="1749"/>
      <c r="U141" s="1750"/>
      <c r="W141" s="1750"/>
    </row>
    <row r="142" spans="1:23" s="195" customFormat="1" ht="27" customHeight="1">
      <c r="A142" s="1005"/>
      <c r="B142" s="460"/>
      <c r="C142" s="466"/>
      <c r="D142" s="466" t="s">
        <v>2336</v>
      </c>
      <c r="E142" s="466"/>
      <c r="F142" s="1681"/>
      <c r="G142" s="1671"/>
      <c r="H142" s="1671"/>
      <c r="I142" s="153"/>
    </row>
    <row r="143" spans="1:23" s="195" customFormat="1" ht="13.5" customHeight="1">
      <c r="A143" s="1005">
        <v>39</v>
      </c>
      <c r="B143" s="460" t="s">
        <v>2204</v>
      </c>
      <c r="C143" s="460" t="s">
        <v>2337</v>
      </c>
      <c r="D143" s="460" t="s">
        <v>2338</v>
      </c>
      <c r="E143" s="460" t="s">
        <v>210</v>
      </c>
      <c r="F143" s="1311">
        <f>SUM(F144)</f>
        <v>4</v>
      </c>
      <c r="G143" s="1011"/>
      <c r="H143" s="814">
        <f>ROUND(F143*G143,2)</f>
        <v>0</v>
      </c>
      <c r="I143" s="153" t="s">
        <v>112</v>
      </c>
      <c r="J143" s="1651"/>
      <c r="K143" s="1652"/>
    </row>
    <row r="144" spans="1:23" s="1636" customFormat="1" ht="13.5" customHeight="1">
      <c r="A144" s="1637"/>
      <c r="B144" s="1638"/>
      <c r="C144" s="1606"/>
      <c r="D144" s="342" t="s">
        <v>2339</v>
      </c>
      <c r="E144" s="466"/>
      <c r="F144" s="1314">
        <v>4</v>
      </c>
      <c r="G144" s="1639"/>
      <c r="H144" s="1640"/>
      <c r="I144" s="1641"/>
      <c r="J144" s="1749"/>
      <c r="U144" s="1750"/>
      <c r="W144" s="1750"/>
    </row>
    <row r="145" spans="1:23" s="195" customFormat="1" ht="27" customHeight="1">
      <c r="A145" s="1005"/>
      <c r="B145" s="460"/>
      <c r="C145" s="466"/>
      <c r="D145" s="466" t="s">
        <v>2336</v>
      </c>
      <c r="E145" s="466"/>
      <c r="F145" s="1681"/>
      <c r="G145" s="1671"/>
      <c r="H145" s="1671"/>
      <c r="I145" s="153"/>
    </row>
    <row r="146" spans="1:23" s="195" customFormat="1" ht="13.5" customHeight="1">
      <c r="A146" s="1005">
        <v>40</v>
      </c>
      <c r="B146" s="460" t="s">
        <v>2204</v>
      </c>
      <c r="C146" s="460" t="s">
        <v>2340</v>
      </c>
      <c r="D146" s="460" t="s">
        <v>2341</v>
      </c>
      <c r="E146" s="460" t="s">
        <v>210</v>
      </c>
      <c r="F146" s="1311">
        <f>SUM(F147)</f>
        <v>3</v>
      </c>
      <c r="G146" s="1011"/>
      <c r="H146" s="814">
        <f>ROUND(F146*G146,2)</f>
        <v>0</v>
      </c>
      <c r="I146" s="153" t="s">
        <v>112</v>
      </c>
      <c r="J146" s="1651"/>
      <c r="K146" s="1652"/>
    </row>
    <row r="147" spans="1:23" s="1636" customFormat="1" ht="13.5" customHeight="1">
      <c r="A147" s="1637"/>
      <c r="B147" s="1638"/>
      <c r="C147" s="1606"/>
      <c r="D147" s="342" t="s">
        <v>2342</v>
      </c>
      <c r="E147" s="466"/>
      <c r="F147" s="1314">
        <v>3</v>
      </c>
      <c r="G147" s="1639"/>
      <c r="H147" s="1640"/>
      <c r="I147" s="1641"/>
      <c r="J147" s="1749"/>
      <c r="U147" s="1750"/>
      <c r="W147" s="1750"/>
    </row>
    <row r="148" spans="1:23" s="195" customFormat="1" ht="27" customHeight="1">
      <c r="A148" s="1005"/>
      <c r="B148" s="460"/>
      <c r="C148" s="466"/>
      <c r="D148" s="466" t="s">
        <v>2336</v>
      </c>
      <c r="E148" s="466"/>
      <c r="F148" s="1681"/>
      <c r="G148" s="1671"/>
      <c r="H148" s="1671"/>
      <c r="I148" s="153"/>
    </row>
    <row r="149" spans="1:23" s="195" customFormat="1" ht="13.5" customHeight="1">
      <c r="A149" s="1005">
        <v>41</v>
      </c>
      <c r="B149" s="460" t="s">
        <v>2204</v>
      </c>
      <c r="C149" s="460" t="s">
        <v>2343</v>
      </c>
      <c r="D149" s="460" t="s">
        <v>2344</v>
      </c>
      <c r="E149" s="460" t="s">
        <v>210</v>
      </c>
      <c r="F149" s="1311">
        <f>SUM(F150)</f>
        <v>12</v>
      </c>
      <c r="G149" s="1011"/>
      <c r="H149" s="814">
        <f>ROUND(F149*G149,2)</f>
        <v>0</v>
      </c>
      <c r="I149" s="153" t="s">
        <v>112</v>
      </c>
      <c r="J149" s="1651"/>
      <c r="K149" s="1652"/>
    </row>
    <row r="150" spans="1:23" s="1636" customFormat="1" ht="13.5" customHeight="1">
      <c r="A150" s="1637"/>
      <c r="B150" s="1638"/>
      <c r="C150" s="1606"/>
      <c r="D150" s="342" t="s">
        <v>2345</v>
      </c>
      <c r="E150" s="466"/>
      <c r="F150" s="1314">
        <v>12</v>
      </c>
      <c r="G150" s="1639"/>
      <c r="H150" s="1640"/>
      <c r="I150" s="1641"/>
      <c r="J150" s="1651"/>
      <c r="K150" s="1652"/>
      <c r="U150" s="1750"/>
      <c r="W150" s="1750"/>
    </row>
    <row r="151" spans="1:23" s="195" customFormat="1" ht="27" customHeight="1">
      <c r="A151" s="1005"/>
      <c r="B151" s="460"/>
      <c r="C151" s="466"/>
      <c r="D151" s="466" t="s">
        <v>2336</v>
      </c>
      <c r="E151" s="466"/>
      <c r="F151" s="1681"/>
      <c r="G151" s="1671"/>
      <c r="H151" s="1671"/>
      <c r="I151" s="153"/>
      <c r="J151" s="1651"/>
      <c r="K151" s="1652"/>
    </row>
    <row r="152" spans="1:23" s="195" customFormat="1" ht="13.5" customHeight="1">
      <c r="A152" s="1005">
        <v>42</v>
      </c>
      <c r="B152" s="460" t="s">
        <v>2204</v>
      </c>
      <c r="C152" s="460" t="s">
        <v>2346</v>
      </c>
      <c r="D152" s="460" t="s">
        <v>2347</v>
      </c>
      <c r="E152" s="460" t="s">
        <v>210</v>
      </c>
      <c r="F152" s="1311">
        <f>SUM(F153)</f>
        <v>16</v>
      </c>
      <c r="G152" s="1011"/>
      <c r="H152" s="814">
        <f>ROUND(F152*G152,2)</f>
        <v>0</v>
      </c>
      <c r="I152" s="153" t="s">
        <v>112</v>
      </c>
      <c r="J152" s="1651"/>
      <c r="K152" s="1652"/>
    </row>
    <row r="153" spans="1:23" s="1636" customFormat="1" ht="13.5" customHeight="1">
      <c r="A153" s="1637"/>
      <c r="B153" s="1638"/>
      <c r="C153" s="1606"/>
      <c r="D153" s="342" t="s">
        <v>2348</v>
      </c>
      <c r="E153" s="466"/>
      <c r="F153" s="1314">
        <v>16</v>
      </c>
      <c r="G153" s="1639"/>
      <c r="H153" s="1640"/>
      <c r="I153" s="1641"/>
      <c r="J153" s="1749"/>
      <c r="U153" s="1750"/>
      <c r="W153" s="1750"/>
    </row>
    <row r="154" spans="1:23" s="195" customFormat="1" ht="27" customHeight="1">
      <c r="A154" s="1005"/>
      <c r="B154" s="460"/>
      <c r="C154" s="466"/>
      <c r="D154" s="466" t="s">
        <v>2336</v>
      </c>
      <c r="E154" s="466"/>
      <c r="F154" s="1681"/>
      <c r="G154" s="1671"/>
      <c r="H154" s="1671"/>
      <c r="I154" s="153"/>
    </row>
    <row r="155" spans="1:23" s="195" customFormat="1" ht="13.5" customHeight="1">
      <c r="A155" s="1005">
        <v>43</v>
      </c>
      <c r="B155" s="460" t="s">
        <v>2204</v>
      </c>
      <c r="C155" s="460" t="s">
        <v>2349</v>
      </c>
      <c r="D155" s="460" t="s">
        <v>2350</v>
      </c>
      <c r="E155" s="460" t="s">
        <v>210</v>
      </c>
      <c r="F155" s="1311">
        <f>SUM(F156)</f>
        <v>10</v>
      </c>
      <c r="G155" s="1011"/>
      <c r="H155" s="814">
        <f>ROUND(F155*G155,2)</f>
        <v>0</v>
      </c>
      <c r="I155" s="153" t="s">
        <v>112</v>
      </c>
      <c r="J155" s="1651"/>
      <c r="K155" s="1652"/>
    </row>
    <row r="156" spans="1:23" s="1636" customFormat="1" ht="13.5" customHeight="1">
      <c r="A156" s="1637"/>
      <c r="B156" s="1638"/>
      <c r="C156" s="1606"/>
      <c r="D156" s="342" t="s">
        <v>2351</v>
      </c>
      <c r="E156" s="466"/>
      <c r="F156" s="1314">
        <v>10</v>
      </c>
      <c r="G156" s="1639"/>
      <c r="H156" s="1640"/>
      <c r="I156" s="1641"/>
      <c r="J156" s="1749"/>
      <c r="U156" s="1750"/>
      <c r="W156" s="1750"/>
    </row>
    <row r="157" spans="1:23" s="195" customFormat="1" ht="27" customHeight="1">
      <c r="A157" s="1005"/>
      <c r="B157" s="460"/>
      <c r="C157" s="466"/>
      <c r="D157" s="466" t="s">
        <v>2336</v>
      </c>
      <c r="E157" s="466"/>
      <c r="F157" s="1681"/>
      <c r="G157" s="1671"/>
      <c r="H157" s="1671"/>
      <c r="I157" s="153"/>
    </row>
    <row r="158" spans="1:23" s="195" customFormat="1" ht="13.5" customHeight="1">
      <c r="A158" s="1005">
        <v>44</v>
      </c>
      <c r="B158" s="460" t="s">
        <v>2204</v>
      </c>
      <c r="C158" s="460" t="s">
        <v>2352</v>
      </c>
      <c r="D158" s="460" t="s">
        <v>2353</v>
      </c>
      <c r="E158" s="460" t="s">
        <v>210</v>
      </c>
      <c r="F158" s="1311">
        <f>SUM(F159)</f>
        <v>4</v>
      </c>
      <c r="G158" s="1011"/>
      <c r="H158" s="814">
        <f>ROUND(F158*G158,2)</f>
        <v>0</v>
      </c>
      <c r="I158" s="153" t="s">
        <v>112</v>
      </c>
      <c r="J158" s="1651"/>
      <c r="K158" s="1652"/>
    </row>
    <row r="159" spans="1:23" s="1636" customFormat="1" ht="13.5" customHeight="1">
      <c r="A159" s="1637"/>
      <c r="B159" s="1638"/>
      <c r="C159" s="1606"/>
      <c r="D159" s="342" t="s">
        <v>2354</v>
      </c>
      <c r="E159" s="466"/>
      <c r="F159" s="1314">
        <v>4</v>
      </c>
      <c r="G159" s="1639"/>
      <c r="H159" s="1640"/>
      <c r="I159" s="1641"/>
      <c r="J159" s="1749"/>
      <c r="U159" s="1750"/>
      <c r="W159" s="1750"/>
    </row>
    <row r="160" spans="1:23" s="195" customFormat="1" ht="27" customHeight="1">
      <c r="A160" s="1005"/>
      <c r="B160" s="460"/>
      <c r="C160" s="466"/>
      <c r="D160" s="466" t="s">
        <v>2336</v>
      </c>
      <c r="E160" s="466"/>
      <c r="F160" s="1681"/>
      <c r="G160" s="1671"/>
      <c r="H160" s="1671"/>
      <c r="I160" s="153"/>
    </row>
    <row r="161" spans="1:23" s="195" customFormat="1" ht="13.5" customHeight="1">
      <c r="A161" s="1005">
        <v>45</v>
      </c>
      <c r="B161" s="460" t="s">
        <v>2204</v>
      </c>
      <c r="C161" s="460" t="s">
        <v>2355</v>
      </c>
      <c r="D161" s="460" t="s">
        <v>2356</v>
      </c>
      <c r="E161" s="460" t="s">
        <v>210</v>
      </c>
      <c r="F161" s="1311">
        <f>SUM(F162)</f>
        <v>16</v>
      </c>
      <c r="G161" s="1011"/>
      <c r="H161" s="814">
        <f>ROUND(F161*G161,2)</f>
        <v>0</v>
      </c>
      <c r="I161" s="153" t="s">
        <v>112</v>
      </c>
      <c r="J161" s="1651"/>
      <c r="K161" s="1652"/>
    </row>
    <row r="162" spans="1:23" s="1636" customFormat="1" ht="13.5" customHeight="1">
      <c r="A162" s="1637"/>
      <c r="B162" s="1638"/>
      <c r="C162" s="1606"/>
      <c r="D162" s="342" t="s">
        <v>2357</v>
      </c>
      <c r="E162" s="466"/>
      <c r="F162" s="1314">
        <v>16</v>
      </c>
      <c r="G162" s="1639"/>
      <c r="H162" s="1640"/>
      <c r="I162" s="1641"/>
      <c r="J162" s="195"/>
      <c r="K162" s="195"/>
      <c r="L162" s="195"/>
      <c r="M162" s="195"/>
      <c r="N162" s="195"/>
      <c r="U162" s="1750"/>
      <c r="W162" s="1750"/>
    </row>
    <row r="163" spans="1:23" s="1636" customFormat="1" ht="13.5" customHeight="1">
      <c r="A163" s="1637"/>
      <c r="B163" s="1638"/>
      <c r="C163" s="1606"/>
      <c r="D163" s="342" t="s">
        <v>2358</v>
      </c>
      <c r="E163" s="466"/>
      <c r="F163" s="1314"/>
      <c r="G163" s="1639"/>
      <c r="H163" s="1640"/>
      <c r="I163" s="1641"/>
      <c r="J163" s="1682"/>
      <c r="U163" s="1750"/>
      <c r="W163" s="1750"/>
    </row>
    <row r="164" spans="1:23" s="195" customFormat="1" ht="13.5" customHeight="1">
      <c r="A164" s="1005">
        <v>46</v>
      </c>
      <c r="B164" s="460" t="s">
        <v>2204</v>
      </c>
      <c r="C164" s="460" t="s">
        <v>2359</v>
      </c>
      <c r="D164" s="460" t="s">
        <v>2360</v>
      </c>
      <c r="E164" s="460" t="s">
        <v>210</v>
      </c>
      <c r="F164" s="1311">
        <f>SUM(F165)</f>
        <v>3</v>
      </c>
      <c r="G164" s="1011"/>
      <c r="H164" s="814">
        <f>ROUND(F164*G164,2)</f>
        <v>0</v>
      </c>
      <c r="I164" s="153" t="s">
        <v>112</v>
      </c>
      <c r="J164" s="1651"/>
      <c r="K164" s="1652"/>
    </row>
    <row r="165" spans="1:23" s="1636" customFormat="1" ht="13.5" customHeight="1">
      <c r="A165" s="1637"/>
      <c r="B165" s="1638"/>
      <c r="C165" s="1606"/>
      <c r="D165" s="342" t="s">
        <v>2361</v>
      </c>
      <c r="E165" s="466"/>
      <c r="F165" s="1314">
        <v>3</v>
      </c>
      <c r="G165" s="1639"/>
      <c r="H165" s="1640"/>
      <c r="I165" s="1641"/>
      <c r="J165" s="195"/>
      <c r="K165" s="195"/>
      <c r="L165" s="195"/>
      <c r="M165" s="195"/>
      <c r="N165" s="195"/>
      <c r="U165" s="1750"/>
      <c r="W165" s="1750"/>
    </row>
    <row r="166" spans="1:23" s="1636" customFormat="1" ht="13.5" customHeight="1">
      <c r="A166" s="1637"/>
      <c r="B166" s="1638"/>
      <c r="C166" s="1606"/>
      <c r="D166" s="342" t="s">
        <v>2358</v>
      </c>
      <c r="E166" s="466"/>
      <c r="F166" s="1314"/>
      <c r="G166" s="1639"/>
      <c r="H166" s="1640"/>
      <c r="I166" s="1641"/>
      <c r="J166" s="1682"/>
      <c r="U166" s="1750"/>
      <c r="W166" s="1750"/>
    </row>
    <row r="167" spans="1:23" s="195" customFormat="1" ht="13.5" customHeight="1">
      <c r="A167" s="1005">
        <v>47</v>
      </c>
      <c r="B167" s="460" t="s">
        <v>2204</v>
      </c>
      <c r="C167" s="460" t="s">
        <v>2362</v>
      </c>
      <c r="D167" s="460" t="s">
        <v>2363</v>
      </c>
      <c r="E167" s="460" t="s">
        <v>210</v>
      </c>
      <c r="F167" s="1311">
        <f>SUM(F168)</f>
        <v>3</v>
      </c>
      <c r="G167" s="1011"/>
      <c r="H167" s="814">
        <f>ROUND(F167*G167,2)</f>
        <v>0</v>
      </c>
      <c r="I167" s="153" t="s">
        <v>112</v>
      </c>
      <c r="J167" s="1651"/>
      <c r="K167" s="1652"/>
      <c r="Q167" s="1762"/>
      <c r="R167" s="1683"/>
    </row>
    <row r="168" spans="1:23" s="1636" customFormat="1" ht="13.5" customHeight="1">
      <c r="A168" s="1637"/>
      <c r="B168" s="1638"/>
      <c r="C168" s="1606"/>
      <c r="D168" s="342" t="s">
        <v>2364</v>
      </c>
      <c r="E168" s="466"/>
      <c r="F168" s="1314">
        <v>3</v>
      </c>
      <c r="G168" s="1639"/>
      <c r="H168" s="1640"/>
      <c r="I168" s="1641"/>
      <c r="J168" s="195"/>
      <c r="K168" s="195"/>
      <c r="L168" s="195"/>
      <c r="M168" s="195"/>
      <c r="N168" s="195"/>
      <c r="Q168" s="1763"/>
      <c r="R168" s="1764"/>
      <c r="U168" s="1750"/>
      <c r="W168" s="1750"/>
    </row>
    <row r="169" spans="1:23" s="1636" customFormat="1" ht="13.5" customHeight="1">
      <c r="A169" s="1637"/>
      <c r="B169" s="1638"/>
      <c r="C169" s="1606"/>
      <c r="D169" s="342" t="s">
        <v>2365</v>
      </c>
      <c r="E169" s="466"/>
      <c r="F169" s="1314"/>
      <c r="G169" s="1639"/>
      <c r="H169" s="1640"/>
      <c r="I169" s="1641"/>
      <c r="J169" s="1682"/>
      <c r="Q169" s="1763"/>
      <c r="R169" s="1764"/>
      <c r="U169" s="1750"/>
      <c r="W169" s="1750"/>
    </row>
    <row r="170" spans="1:23" s="195" customFormat="1" ht="13.5" customHeight="1">
      <c r="A170" s="1005">
        <v>48</v>
      </c>
      <c r="B170" s="460" t="s">
        <v>2204</v>
      </c>
      <c r="C170" s="460" t="s">
        <v>2366</v>
      </c>
      <c r="D170" s="460" t="s">
        <v>2367</v>
      </c>
      <c r="E170" s="460" t="s">
        <v>210</v>
      </c>
      <c r="F170" s="1311">
        <f>SUM(F171)</f>
        <v>2</v>
      </c>
      <c r="G170" s="1011"/>
      <c r="H170" s="814">
        <f>ROUND(F170*G170,2)</f>
        <v>0</v>
      </c>
      <c r="I170" s="153" t="s">
        <v>112</v>
      </c>
      <c r="J170" s="1651"/>
      <c r="K170" s="1652"/>
      <c r="Q170" s="1762"/>
      <c r="R170" s="1683"/>
    </row>
    <row r="171" spans="1:23" s="1636" customFormat="1" ht="13.5" customHeight="1">
      <c r="A171" s="1637"/>
      <c r="B171" s="1638"/>
      <c r="C171" s="1606"/>
      <c r="D171" s="342" t="s">
        <v>2368</v>
      </c>
      <c r="E171" s="466"/>
      <c r="F171" s="1314">
        <v>2</v>
      </c>
      <c r="G171" s="1639"/>
      <c r="H171" s="1640"/>
      <c r="I171" s="1641"/>
      <c r="J171" s="195"/>
      <c r="K171" s="195"/>
      <c r="L171" s="195"/>
      <c r="M171" s="195"/>
      <c r="N171" s="195"/>
      <c r="Q171" s="1763"/>
      <c r="R171" s="1764"/>
      <c r="U171" s="1750"/>
      <c r="W171" s="1750"/>
    </row>
    <row r="172" spans="1:23" s="1636" customFormat="1" ht="13.5" customHeight="1">
      <c r="A172" s="1637"/>
      <c r="B172" s="1638"/>
      <c r="C172" s="1606"/>
      <c r="D172" s="342" t="s">
        <v>2365</v>
      </c>
      <c r="E172" s="466"/>
      <c r="F172" s="1314"/>
      <c r="G172" s="1639"/>
      <c r="H172" s="1640"/>
      <c r="I172" s="1641"/>
      <c r="J172" s="1682"/>
      <c r="Q172" s="1763"/>
      <c r="R172" s="1764"/>
      <c r="U172" s="1750"/>
      <c r="W172" s="1750"/>
    </row>
    <row r="173" spans="1:23" s="195" customFormat="1" ht="13.5" customHeight="1">
      <c r="A173" s="1005">
        <v>49</v>
      </c>
      <c r="B173" s="460" t="s">
        <v>2204</v>
      </c>
      <c r="C173" s="460" t="s">
        <v>2369</v>
      </c>
      <c r="D173" s="460" t="s">
        <v>2370</v>
      </c>
      <c r="E173" s="460" t="s">
        <v>210</v>
      </c>
      <c r="F173" s="1311">
        <f>SUM(F174)</f>
        <v>2</v>
      </c>
      <c r="G173" s="1011"/>
      <c r="H173" s="814">
        <f>ROUND(F173*G173,2)</f>
        <v>0</v>
      </c>
      <c r="I173" s="153" t="s">
        <v>112</v>
      </c>
      <c r="J173" s="1651"/>
      <c r="K173" s="1652"/>
      <c r="M173" s="1312"/>
      <c r="Q173" s="1762"/>
      <c r="R173" s="1683"/>
    </row>
    <row r="174" spans="1:23" s="1636" customFormat="1" ht="13.5" customHeight="1">
      <c r="A174" s="1637"/>
      <c r="B174" s="1638"/>
      <c r="C174" s="1606"/>
      <c r="D174" s="342" t="s">
        <v>2371</v>
      </c>
      <c r="E174" s="466"/>
      <c r="F174" s="1314">
        <v>2</v>
      </c>
      <c r="G174" s="1639"/>
      <c r="H174" s="1640"/>
      <c r="I174" s="1641"/>
      <c r="J174" s="195"/>
      <c r="K174" s="195"/>
      <c r="L174" s="195"/>
      <c r="M174" s="195"/>
      <c r="N174" s="195"/>
      <c r="Q174" s="1763"/>
      <c r="R174" s="1764"/>
      <c r="U174" s="1750"/>
      <c r="W174" s="1750"/>
    </row>
    <row r="175" spans="1:23" s="1636" customFormat="1" ht="13.5" customHeight="1">
      <c r="A175" s="1637"/>
      <c r="B175" s="1638"/>
      <c r="C175" s="1606"/>
      <c r="D175" s="342" t="s">
        <v>2365</v>
      </c>
      <c r="E175" s="466"/>
      <c r="F175" s="1314"/>
      <c r="G175" s="1639"/>
      <c r="H175" s="1640"/>
      <c r="I175" s="1641"/>
      <c r="J175" s="1682"/>
      <c r="Q175" s="1763"/>
      <c r="R175" s="1764"/>
      <c r="U175" s="1750"/>
      <c r="W175" s="1750"/>
    </row>
    <row r="176" spans="1:23" s="195" customFormat="1" ht="13.5" customHeight="1">
      <c r="A176" s="1005">
        <v>50</v>
      </c>
      <c r="B176" s="460" t="s">
        <v>2204</v>
      </c>
      <c r="C176" s="460" t="s">
        <v>2372</v>
      </c>
      <c r="D176" s="460" t="s">
        <v>2373</v>
      </c>
      <c r="E176" s="460" t="s">
        <v>210</v>
      </c>
      <c r="F176" s="1311">
        <f>SUM(F177)</f>
        <v>4</v>
      </c>
      <c r="G176" s="1011"/>
      <c r="H176" s="814">
        <f>ROUND(F176*G176,2)</f>
        <v>0</v>
      </c>
      <c r="I176" s="153" t="s">
        <v>112</v>
      </c>
      <c r="J176" s="1651"/>
      <c r="K176" s="1652"/>
      <c r="Q176" s="1762"/>
      <c r="R176" s="1683"/>
    </row>
    <row r="177" spans="1:23" s="1636" customFormat="1" ht="13.5" customHeight="1">
      <c r="A177" s="1637"/>
      <c r="B177" s="1638"/>
      <c r="C177" s="1606"/>
      <c r="D177" s="342" t="s">
        <v>2374</v>
      </c>
      <c r="E177" s="466"/>
      <c r="F177" s="1314">
        <v>4</v>
      </c>
      <c r="G177" s="1639"/>
      <c r="H177" s="1640"/>
      <c r="I177" s="1641"/>
      <c r="J177" s="195"/>
      <c r="K177" s="195"/>
      <c r="L177" s="195"/>
      <c r="M177" s="195"/>
      <c r="N177" s="195"/>
      <c r="Q177" s="1763"/>
      <c r="R177" s="1764"/>
      <c r="U177" s="1750"/>
      <c r="W177" s="1750"/>
    </row>
    <row r="178" spans="1:23" s="1636" customFormat="1" ht="13.5" customHeight="1">
      <c r="A178" s="1637"/>
      <c r="B178" s="1638"/>
      <c r="C178" s="1606"/>
      <c r="D178" s="342" t="s">
        <v>2365</v>
      </c>
      <c r="E178" s="466"/>
      <c r="F178" s="1314"/>
      <c r="G178" s="1639"/>
      <c r="H178" s="1640"/>
      <c r="I178" s="1641"/>
      <c r="J178" s="1682"/>
      <c r="Q178" s="1763"/>
      <c r="R178" s="1764"/>
      <c r="U178" s="1750"/>
      <c r="W178" s="1750"/>
    </row>
    <row r="179" spans="1:23" s="195" customFormat="1" ht="13.5" customHeight="1">
      <c r="A179" s="1005">
        <v>51</v>
      </c>
      <c r="B179" s="460" t="s">
        <v>2204</v>
      </c>
      <c r="C179" s="460" t="s">
        <v>2375</v>
      </c>
      <c r="D179" s="460" t="s">
        <v>2376</v>
      </c>
      <c r="E179" s="460" t="s">
        <v>210</v>
      </c>
      <c r="F179" s="1311">
        <f>SUM(F180)</f>
        <v>5</v>
      </c>
      <c r="G179" s="1011"/>
      <c r="H179" s="814">
        <f>ROUND(F179*G179,2)</f>
        <v>0</v>
      </c>
      <c r="I179" s="153" t="s">
        <v>112</v>
      </c>
      <c r="J179" s="1651"/>
      <c r="K179" s="1652"/>
      <c r="Q179" s="1762"/>
      <c r="R179" s="1683"/>
    </row>
    <row r="180" spans="1:23" s="1636" customFormat="1" ht="13.5" customHeight="1">
      <c r="A180" s="1637"/>
      <c r="B180" s="1638"/>
      <c r="C180" s="1606"/>
      <c r="D180" s="342" t="s">
        <v>2377</v>
      </c>
      <c r="E180" s="466"/>
      <c r="F180" s="1314">
        <v>5</v>
      </c>
      <c r="G180" s="1639"/>
      <c r="H180" s="1640"/>
      <c r="I180" s="1641"/>
      <c r="J180" s="195"/>
      <c r="K180" s="195"/>
      <c r="L180" s="195"/>
      <c r="M180" s="195"/>
      <c r="N180" s="195"/>
      <c r="Q180" s="1763"/>
      <c r="R180" s="1764"/>
      <c r="U180" s="1750"/>
      <c r="W180" s="1750"/>
    </row>
    <row r="181" spans="1:23" s="1636" customFormat="1" ht="13.5" customHeight="1">
      <c r="A181" s="1637"/>
      <c r="B181" s="1638"/>
      <c r="C181" s="1606"/>
      <c r="D181" s="342" t="s">
        <v>2365</v>
      </c>
      <c r="E181" s="466"/>
      <c r="F181" s="1314"/>
      <c r="G181" s="1639"/>
      <c r="H181" s="1640"/>
      <c r="I181" s="1641"/>
      <c r="J181" s="1682"/>
      <c r="Q181" s="1763"/>
      <c r="R181" s="1764"/>
      <c r="U181" s="1750"/>
      <c r="W181" s="1750"/>
    </row>
    <row r="182" spans="1:23" s="195" customFormat="1" ht="13.5" customHeight="1">
      <c r="A182" s="1005">
        <v>52</v>
      </c>
      <c r="B182" s="460" t="s">
        <v>2204</v>
      </c>
      <c r="C182" s="460" t="s">
        <v>2378</v>
      </c>
      <c r="D182" s="460" t="s">
        <v>2379</v>
      </c>
      <c r="E182" s="460" t="s">
        <v>210</v>
      </c>
      <c r="F182" s="1311">
        <f>SUM(F183)</f>
        <v>1</v>
      </c>
      <c r="G182" s="1011"/>
      <c r="H182" s="814">
        <f>ROUND(F182*G182,2)</f>
        <v>0</v>
      </c>
      <c r="I182" s="153" t="s">
        <v>112</v>
      </c>
      <c r="J182" s="1651"/>
      <c r="K182" s="1652"/>
      <c r="Q182" s="1762"/>
      <c r="R182" s="1683"/>
    </row>
    <row r="183" spans="1:23" s="1636" customFormat="1" ht="13.5" customHeight="1">
      <c r="A183" s="1637"/>
      <c r="B183" s="1638"/>
      <c r="C183" s="1606"/>
      <c r="D183" s="342" t="s">
        <v>2380</v>
      </c>
      <c r="E183" s="466"/>
      <c r="F183" s="1314">
        <v>1</v>
      </c>
      <c r="G183" s="1639"/>
      <c r="H183" s="1640"/>
      <c r="I183" s="1641"/>
      <c r="J183" s="1651"/>
      <c r="K183" s="195"/>
      <c r="L183" s="195"/>
      <c r="M183" s="195"/>
      <c r="N183" s="195"/>
      <c r="Q183" s="1763"/>
      <c r="R183" s="1764"/>
      <c r="U183" s="1750"/>
      <c r="W183" s="1750"/>
    </row>
    <row r="184" spans="1:23" s="1636" customFormat="1" ht="13.5" customHeight="1">
      <c r="A184" s="1637"/>
      <c r="B184" s="1638"/>
      <c r="C184" s="1606"/>
      <c r="D184" s="342" t="s">
        <v>2381</v>
      </c>
      <c r="E184" s="466"/>
      <c r="F184" s="1314"/>
      <c r="G184" s="1639"/>
      <c r="H184" s="1640"/>
      <c r="I184" s="1641"/>
      <c r="J184" s="1651"/>
      <c r="K184" s="914"/>
      <c r="Q184" s="1763"/>
      <c r="R184" s="1764"/>
      <c r="S184" s="1765"/>
      <c r="U184" s="1750"/>
      <c r="W184" s="1750"/>
    </row>
    <row r="185" spans="1:23" s="195" customFormat="1" ht="13.5" customHeight="1">
      <c r="A185" s="1005">
        <v>53</v>
      </c>
      <c r="B185" s="460" t="s">
        <v>2204</v>
      </c>
      <c r="C185" s="460" t="s">
        <v>2382</v>
      </c>
      <c r="D185" s="460" t="s">
        <v>2383</v>
      </c>
      <c r="E185" s="460" t="s">
        <v>210</v>
      </c>
      <c r="F185" s="1311">
        <f>SUM(F186)</f>
        <v>1</v>
      </c>
      <c r="G185" s="1011"/>
      <c r="H185" s="814">
        <f>ROUND(F185*G185,2)</f>
        <v>0</v>
      </c>
      <c r="I185" s="153" t="s">
        <v>112</v>
      </c>
      <c r="J185" s="1651"/>
      <c r="K185" s="1652"/>
      <c r="Q185" s="1762"/>
      <c r="R185" s="1683"/>
    </row>
    <row r="186" spans="1:23" s="1636" customFormat="1" ht="13.5" customHeight="1">
      <c r="A186" s="1637"/>
      <c r="B186" s="1638"/>
      <c r="C186" s="1606"/>
      <c r="D186" s="342" t="s">
        <v>2384</v>
      </c>
      <c r="E186" s="466"/>
      <c r="F186" s="1314">
        <v>1</v>
      </c>
      <c r="G186" s="1639"/>
      <c r="H186" s="1640"/>
      <c r="I186" s="1641"/>
      <c r="J186" s="1651"/>
      <c r="K186" s="195"/>
      <c r="L186" s="195"/>
      <c r="M186" s="195"/>
      <c r="N186" s="195"/>
      <c r="Q186" s="1763"/>
      <c r="R186" s="1764"/>
      <c r="U186" s="1750"/>
      <c r="W186" s="1750"/>
    </row>
    <row r="187" spans="1:23" s="1636" customFormat="1" ht="13.5" customHeight="1">
      <c r="A187" s="1637"/>
      <c r="B187" s="1638"/>
      <c r="C187" s="1606"/>
      <c r="D187" s="342" t="s">
        <v>2381</v>
      </c>
      <c r="E187" s="466"/>
      <c r="F187" s="1314"/>
      <c r="G187" s="1639"/>
      <c r="H187" s="1640"/>
      <c r="I187" s="1641"/>
      <c r="J187" s="1651"/>
      <c r="K187" s="914"/>
      <c r="Q187" s="1763"/>
      <c r="R187" s="1764"/>
      <c r="S187" s="1765"/>
      <c r="U187" s="1750"/>
      <c r="W187" s="1750"/>
    </row>
    <row r="188" spans="1:23" s="195" customFormat="1" ht="13.5" customHeight="1">
      <c r="A188" s="1005">
        <v>54</v>
      </c>
      <c r="B188" s="460" t="s">
        <v>2204</v>
      </c>
      <c r="C188" s="460" t="s">
        <v>2385</v>
      </c>
      <c r="D188" s="460" t="s">
        <v>2386</v>
      </c>
      <c r="E188" s="460" t="s">
        <v>210</v>
      </c>
      <c r="F188" s="1311">
        <f>SUM(F189)</f>
        <v>2</v>
      </c>
      <c r="G188" s="1011"/>
      <c r="H188" s="814">
        <f>ROUND(F188*G188,2)</f>
        <v>0</v>
      </c>
      <c r="I188" s="153" t="s">
        <v>112</v>
      </c>
      <c r="J188" s="1651"/>
      <c r="K188" s="1652"/>
      <c r="L188" s="914"/>
      <c r="Q188" s="1762"/>
      <c r="R188" s="1683"/>
    </row>
    <row r="189" spans="1:23" s="1636" customFormat="1" ht="13.5" customHeight="1">
      <c r="A189" s="1637"/>
      <c r="B189" s="1638"/>
      <c r="C189" s="1606"/>
      <c r="D189" s="342" t="s">
        <v>2387</v>
      </c>
      <c r="E189" s="466"/>
      <c r="F189" s="1314">
        <v>2</v>
      </c>
      <c r="G189" s="1639"/>
      <c r="H189" s="1640"/>
      <c r="I189" s="1641"/>
      <c r="J189" s="1651"/>
      <c r="K189" s="195"/>
      <c r="L189" s="195"/>
      <c r="M189" s="195"/>
      <c r="N189" s="195"/>
      <c r="Q189" s="1763"/>
      <c r="R189" s="1764"/>
      <c r="U189" s="1750"/>
      <c r="W189" s="1750"/>
    </row>
    <row r="190" spans="1:23" s="1636" customFormat="1" ht="13.5" customHeight="1">
      <c r="A190" s="1637"/>
      <c r="B190" s="1638"/>
      <c r="C190" s="1606"/>
      <c r="D190" s="342" t="s">
        <v>2381</v>
      </c>
      <c r="E190" s="466"/>
      <c r="F190" s="1314"/>
      <c r="G190" s="1639"/>
      <c r="H190" s="1640"/>
      <c r="I190" s="1641"/>
      <c r="J190" s="1651"/>
      <c r="K190" s="914"/>
      <c r="Q190" s="1763"/>
      <c r="R190" s="1764"/>
      <c r="S190" s="1765"/>
      <c r="U190" s="1750"/>
      <c r="W190" s="1750"/>
    </row>
    <row r="191" spans="1:23" s="195" customFormat="1" ht="13.5" customHeight="1">
      <c r="A191" s="1005">
        <v>55</v>
      </c>
      <c r="B191" s="460" t="s">
        <v>2204</v>
      </c>
      <c r="C191" s="460" t="s">
        <v>2388</v>
      </c>
      <c r="D191" s="460" t="s">
        <v>2389</v>
      </c>
      <c r="E191" s="460" t="s">
        <v>210</v>
      </c>
      <c r="F191" s="1311">
        <f>SUM(F192)</f>
        <v>3</v>
      </c>
      <c r="G191" s="1011"/>
      <c r="H191" s="814">
        <f>ROUND(F191*G191,2)</f>
        <v>0</v>
      </c>
      <c r="I191" s="153" t="s">
        <v>112</v>
      </c>
      <c r="J191" s="1651"/>
      <c r="K191" s="1652"/>
      <c r="Q191" s="1762"/>
      <c r="R191" s="1683"/>
    </row>
    <row r="192" spans="1:23" s="1636" customFormat="1" ht="13.5" customHeight="1">
      <c r="A192" s="1637"/>
      <c r="B192" s="1638"/>
      <c r="C192" s="1606"/>
      <c r="D192" s="342" t="s">
        <v>2390</v>
      </c>
      <c r="E192" s="466"/>
      <c r="F192" s="1314">
        <v>3</v>
      </c>
      <c r="G192" s="1639"/>
      <c r="H192" s="1640"/>
      <c r="I192" s="1641"/>
      <c r="J192" s="1651"/>
      <c r="K192" s="195"/>
      <c r="L192" s="195"/>
      <c r="M192" s="195"/>
      <c r="N192" s="195"/>
      <c r="Q192" s="1763"/>
      <c r="R192" s="1764"/>
      <c r="U192" s="1750"/>
      <c r="W192" s="1750"/>
    </row>
    <row r="193" spans="1:23" s="1636" customFormat="1" ht="13.5" customHeight="1">
      <c r="A193" s="1637"/>
      <c r="B193" s="1638"/>
      <c r="C193" s="1606"/>
      <c r="D193" s="342" t="s">
        <v>2381</v>
      </c>
      <c r="E193" s="466"/>
      <c r="F193" s="1314"/>
      <c r="G193" s="1639"/>
      <c r="H193" s="1640"/>
      <c r="I193" s="1641"/>
      <c r="J193" s="1651"/>
      <c r="K193" s="1752"/>
      <c r="Q193" s="1763"/>
      <c r="R193" s="1764"/>
      <c r="S193" s="1765"/>
      <c r="U193" s="1750"/>
      <c r="W193" s="1750"/>
    </row>
    <row r="194" spans="1:23" s="195" customFormat="1" ht="13.5" customHeight="1">
      <c r="A194" s="1005">
        <v>56</v>
      </c>
      <c r="B194" s="460" t="s">
        <v>2204</v>
      </c>
      <c r="C194" s="460" t="s">
        <v>2391</v>
      </c>
      <c r="D194" s="460" t="s">
        <v>2392</v>
      </c>
      <c r="E194" s="460" t="s">
        <v>210</v>
      </c>
      <c r="F194" s="1311">
        <f>SUM(F195)</f>
        <v>2</v>
      </c>
      <c r="G194" s="1011"/>
      <c r="H194" s="814">
        <f>ROUND(F194*G194,2)</f>
        <v>0</v>
      </c>
      <c r="I194" s="153" t="s">
        <v>112</v>
      </c>
      <c r="J194" s="1651"/>
      <c r="K194" s="1652"/>
      <c r="Q194" s="1762"/>
      <c r="R194" s="1683"/>
    </row>
    <row r="195" spans="1:23" s="1636" customFormat="1" ht="13.5" customHeight="1">
      <c r="A195" s="1637"/>
      <c r="B195" s="1638"/>
      <c r="C195" s="1606"/>
      <c r="D195" s="342" t="s">
        <v>2393</v>
      </c>
      <c r="E195" s="466"/>
      <c r="F195" s="1314">
        <v>2</v>
      </c>
      <c r="G195" s="1639"/>
      <c r="H195" s="1640"/>
      <c r="I195" s="1641"/>
      <c r="J195" s="1651"/>
      <c r="K195" s="195"/>
      <c r="L195" s="195"/>
      <c r="M195" s="195"/>
      <c r="N195" s="195"/>
      <c r="Q195" s="1763"/>
      <c r="R195" s="1764"/>
      <c r="U195" s="1750"/>
      <c r="W195" s="1750"/>
    </row>
    <row r="196" spans="1:23" s="1636" customFormat="1" ht="13.5" customHeight="1">
      <c r="A196" s="1637"/>
      <c r="B196" s="1638"/>
      <c r="C196" s="1606"/>
      <c r="D196" s="342" t="s">
        <v>2381</v>
      </c>
      <c r="E196" s="466"/>
      <c r="F196" s="1314"/>
      <c r="G196" s="1639"/>
      <c r="H196" s="1640"/>
      <c r="I196" s="1641"/>
      <c r="J196" s="1684"/>
      <c r="K196" s="1752"/>
      <c r="Q196" s="1763"/>
      <c r="R196" s="1764"/>
      <c r="S196" s="1765"/>
      <c r="U196" s="1750"/>
      <c r="W196" s="1750"/>
    </row>
    <row r="197" spans="1:23" s="195" customFormat="1" ht="27" customHeight="1">
      <c r="A197" s="1005">
        <v>57</v>
      </c>
      <c r="B197" s="460" t="s">
        <v>2204</v>
      </c>
      <c r="C197" s="460" t="s">
        <v>2394</v>
      </c>
      <c r="D197" s="460" t="s">
        <v>2395</v>
      </c>
      <c r="E197" s="460" t="s">
        <v>210</v>
      </c>
      <c r="F197" s="1311">
        <f>SUM(F198)</f>
        <v>13</v>
      </c>
      <c r="G197" s="1011"/>
      <c r="H197" s="814">
        <f>ROUND(F197*G197,2)</f>
        <v>0</v>
      </c>
      <c r="I197" s="153" t="s">
        <v>112</v>
      </c>
      <c r="J197" s="1651"/>
      <c r="K197" s="1652"/>
      <c r="Q197" s="1762"/>
      <c r="R197" s="1683"/>
    </row>
    <row r="198" spans="1:23" s="1636" customFormat="1" ht="13.5" customHeight="1">
      <c r="A198" s="1637"/>
      <c r="B198" s="1638"/>
      <c r="C198" s="1606"/>
      <c r="D198" s="342" t="s">
        <v>2396</v>
      </c>
      <c r="E198" s="466"/>
      <c r="F198" s="1314">
        <v>13</v>
      </c>
      <c r="G198" s="1639"/>
      <c r="H198" s="1640"/>
      <c r="I198" s="1641"/>
      <c r="J198" s="195"/>
      <c r="K198" s="195"/>
      <c r="L198" s="195"/>
      <c r="M198" s="195"/>
      <c r="N198" s="195"/>
      <c r="Q198" s="1763"/>
      <c r="R198" s="1764"/>
      <c r="U198" s="1750"/>
      <c r="W198" s="1750"/>
    </row>
    <row r="199" spans="1:23" s="1636" customFormat="1" ht="27" customHeight="1">
      <c r="A199" s="1637"/>
      <c r="B199" s="1638"/>
      <c r="C199" s="1606"/>
      <c r="D199" s="342" t="s">
        <v>2397</v>
      </c>
      <c r="E199" s="466"/>
      <c r="F199" s="1314"/>
      <c r="G199" s="1639"/>
      <c r="H199" s="1640"/>
      <c r="I199" s="1641"/>
      <c r="J199" s="195"/>
      <c r="K199" s="195"/>
      <c r="L199" s="195"/>
      <c r="M199" s="195"/>
      <c r="N199" s="195"/>
      <c r="Q199" s="1763"/>
      <c r="R199" s="1764"/>
      <c r="U199" s="1750"/>
      <c r="W199" s="1750"/>
    </row>
    <row r="200" spans="1:23" s="195" customFormat="1" ht="13.5" customHeight="1">
      <c r="A200" s="1005">
        <v>58</v>
      </c>
      <c r="B200" s="460" t="s">
        <v>2204</v>
      </c>
      <c r="C200" s="460" t="s">
        <v>2398</v>
      </c>
      <c r="D200" s="460" t="s">
        <v>2399</v>
      </c>
      <c r="E200" s="460" t="s">
        <v>210</v>
      </c>
      <c r="F200" s="1311">
        <f>SUM(F201)</f>
        <v>17</v>
      </c>
      <c r="G200" s="1011"/>
      <c r="H200" s="814">
        <f>ROUND(F200*G200,2)</f>
        <v>0</v>
      </c>
      <c r="I200" s="153" t="s">
        <v>112</v>
      </c>
      <c r="J200" s="1651"/>
      <c r="K200" s="1652"/>
      <c r="Q200" s="1762"/>
      <c r="R200" s="1683"/>
    </row>
    <row r="201" spans="1:23" s="1636" customFormat="1" ht="13.5" customHeight="1">
      <c r="A201" s="1637"/>
      <c r="B201" s="1638"/>
      <c r="C201" s="1606"/>
      <c r="D201" s="342" t="s">
        <v>2400</v>
      </c>
      <c r="E201" s="466"/>
      <c r="F201" s="1314">
        <v>17</v>
      </c>
      <c r="G201" s="1639"/>
      <c r="H201" s="1640"/>
      <c r="I201" s="1641"/>
      <c r="J201" s="195"/>
      <c r="K201" s="195"/>
      <c r="L201" s="195"/>
      <c r="M201" s="195"/>
      <c r="N201" s="195"/>
      <c r="Q201" s="1763"/>
      <c r="R201" s="1764"/>
      <c r="U201" s="1750"/>
      <c r="W201" s="1750"/>
    </row>
    <row r="202" spans="1:23" s="1636" customFormat="1" ht="13.5" customHeight="1">
      <c r="A202" s="1637"/>
      <c r="B202" s="1638"/>
      <c r="C202" s="1606"/>
      <c r="D202" s="342" t="s">
        <v>2401</v>
      </c>
      <c r="E202" s="466"/>
      <c r="F202" s="1314"/>
      <c r="G202" s="1639"/>
      <c r="H202" s="1640"/>
      <c r="I202" s="1641"/>
      <c r="J202" s="1684"/>
      <c r="K202" s="914"/>
      <c r="Q202" s="1763"/>
      <c r="R202" s="1764"/>
      <c r="S202" s="1765"/>
      <c r="U202" s="1750"/>
      <c r="W202" s="1750"/>
    </row>
    <row r="203" spans="1:23" s="195" customFormat="1" ht="13.5" customHeight="1">
      <c r="A203" s="1005">
        <v>59</v>
      </c>
      <c r="B203" s="460" t="s">
        <v>2204</v>
      </c>
      <c r="C203" s="460" t="s">
        <v>2402</v>
      </c>
      <c r="D203" s="460" t="s">
        <v>2403</v>
      </c>
      <c r="E203" s="460" t="s">
        <v>210</v>
      </c>
      <c r="F203" s="1311">
        <f>SUM(F204)</f>
        <v>14</v>
      </c>
      <c r="G203" s="1011"/>
      <c r="H203" s="814">
        <f>ROUND(F203*G203,2)</f>
        <v>0</v>
      </c>
      <c r="I203" s="153" t="s">
        <v>112</v>
      </c>
      <c r="J203" s="1651"/>
      <c r="K203" s="1652"/>
      <c r="Q203" s="1762"/>
      <c r="R203" s="1683"/>
    </row>
    <row r="204" spans="1:23" s="1636" customFormat="1" ht="13.5" customHeight="1">
      <c r="A204" s="1637"/>
      <c r="B204" s="1638"/>
      <c r="C204" s="1606"/>
      <c r="D204" s="342" t="s">
        <v>2404</v>
      </c>
      <c r="E204" s="466"/>
      <c r="F204" s="1314">
        <v>14</v>
      </c>
      <c r="G204" s="1639"/>
      <c r="H204" s="1640"/>
      <c r="I204" s="1641"/>
      <c r="J204" s="195"/>
      <c r="K204" s="195"/>
      <c r="L204" s="195"/>
      <c r="M204" s="195"/>
      <c r="N204" s="195"/>
      <c r="Q204" s="1763"/>
      <c r="R204" s="1764"/>
      <c r="U204" s="1750"/>
      <c r="W204" s="1750"/>
    </row>
    <row r="205" spans="1:23" s="1636" customFormat="1" ht="13.5" customHeight="1">
      <c r="A205" s="1637"/>
      <c r="B205" s="1638"/>
      <c r="C205" s="1606"/>
      <c r="D205" s="342" t="s">
        <v>2405</v>
      </c>
      <c r="E205" s="466"/>
      <c r="F205" s="1314"/>
      <c r="G205" s="1639"/>
      <c r="H205" s="1640"/>
      <c r="I205" s="1641"/>
      <c r="J205" s="1684"/>
      <c r="K205" s="914"/>
      <c r="Q205" s="1763"/>
      <c r="R205" s="1764"/>
      <c r="S205" s="1765"/>
      <c r="U205" s="1750"/>
      <c r="W205" s="1750"/>
    </row>
    <row r="206" spans="1:23" s="195" customFormat="1" ht="13.5" customHeight="1">
      <c r="A206" s="1005">
        <v>60</v>
      </c>
      <c r="B206" s="460" t="s">
        <v>2204</v>
      </c>
      <c r="C206" s="460" t="s">
        <v>2406</v>
      </c>
      <c r="D206" s="460" t="s">
        <v>2407</v>
      </c>
      <c r="E206" s="460" t="s">
        <v>210</v>
      </c>
      <c r="F206" s="1311">
        <f>SUM(F207)</f>
        <v>2</v>
      </c>
      <c r="G206" s="1011"/>
      <c r="H206" s="814">
        <f>ROUND(F206*G206,2)</f>
        <v>0</v>
      </c>
      <c r="I206" s="153" t="s">
        <v>112</v>
      </c>
      <c r="J206" s="1651"/>
      <c r="K206" s="1652"/>
      <c r="P206" s="1322"/>
    </row>
    <row r="207" spans="1:23" s="1636" customFormat="1" ht="13.5" customHeight="1">
      <c r="A207" s="1637"/>
      <c r="B207" s="1638"/>
      <c r="C207" s="1606"/>
      <c r="D207" s="342" t="s">
        <v>2408</v>
      </c>
      <c r="E207" s="466"/>
      <c r="F207" s="1314">
        <v>2</v>
      </c>
      <c r="G207" s="1639"/>
      <c r="H207" s="1640"/>
      <c r="I207" s="1641"/>
      <c r="K207" s="1652"/>
      <c r="P207" s="1766"/>
      <c r="U207" s="1750"/>
      <c r="W207" s="1750"/>
    </row>
    <row r="208" spans="1:23" s="195" customFormat="1" ht="27" customHeight="1">
      <c r="A208" s="1005"/>
      <c r="B208" s="460"/>
      <c r="C208" s="466"/>
      <c r="D208" s="466" t="s">
        <v>2409</v>
      </c>
      <c r="E208" s="466"/>
      <c r="F208" s="1681"/>
      <c r="G208" s="1671"/>
      <c r="H208" s="1671"/>
      <c r="I208" s="1641"/>
      <c r="J208" s="1651"/>
      <c r="K208" s="1652"/>
    </row>
    <row r="209" spans="1:23" s="195" customFormat="1" ht="13.5" customHeight="1">
      <c r="A209" s="1005">
        <v>61</v>
      </c>
      <c r="B209" s="460" t="s">
        <v>2204</v>
      </c>
      <c r="C209" s="460" t="s">
        <v>2410</v>
      </c>
      <c r="D209" s="460" t="s">
        <v>2411</v>
      </c>
      <c r="E209" s="460" t="s">
        <v>210</v>
      </c>
      <c r="F209" s="1311">
        <f>SUM(F210)</f>
        <v>2</v>
      </c>
      <c r="G209" s="1011"/>
      <c r="H209" s="814">
        <f>ROUND(F209*G209,2)</f>
        <v>0</v>
      </c>
      <c r="I209" s="153" t="s">
        <v>112</v>
      </c>
      <c r="J209" s="1651"/>
      <c r="K209" s="1652"/>
      <c r="P209" s="1322"/>
    </row>
    <row r="210" spans="1:23" s="1636" customFormat="1" ht="13.5" customHeight="1">
      <c r="A210" s="1637"/>
      <c r="B210" s="1638"/>
      <c r="C210" s="1606"/>
      <c r="D210" s="342" t="s">
        <v>2412</v>
      </c>
      <c r="E210" s="466"/>
      <c r="F210" s="1314">
        <v>2</v>
      </c>
      <c r="G210" s="1639"/>
      <c r="H210" s="1640"/>
      <c r="I210" s="1641"/>
      <c r="J210" s="1651"/>
      <c r="K210" s="1652"/>
      <c r="P210" s="1766"/>
      <c r="U210" s="1750"/>
      <c r="W210" s="1750"/>
    </row>
    <row r="211" spans="1:23" s="195" customFormat="1" ht="27" customHeight="1">
      <c r="A211" s="1005"/>
      <c r="B211" s="460"/>
      <c r="C211" s="466"/>
      <c r="D211" s="466" t="s">
        <v>2409</v>
      </c>
      <c r="E211" s="466"/>
      <c r="F211" s="1681"/>
      <c r="G211" s="1671"/>
      <c r="H211" s="1671"/>
      <c r="I211" s="1641"/>
      <c r="J211" s="1651"/>
      <c r="K211" s="1652"/>
    </row>
    <row r="212" spans="1:23" s="195" customFormat="1" ht="13.5" customHeight="1">
      <c r="A212" s="1005">
        <v>62</v>
      </c>
      <c r="B212" s="460" t="s">
        <v>2204</v>
      </c>
      <c r="C212" s="460" t="s">
        <v>2413</v>
      </c>
      <c r="D212" s="460" t="s">
        <v>2414</v>
      </c>
      <c r="E212" s="460" t="s">
        <v>210</v>
      </c>
      <c r="F212" s="1311">
        <f>SUM(F213)</f>
        <v>1</v>
      </c>
      <c r="G212" s="1011"/>
      <c r="H212" s="814">
        <f>ROUND(F212*G212,2)</f>
        <v>0</v>
      </c>
      <c r="I212" s="153" t="s">
        <v>112</v>
      </c>
      <c r="J212" s="1651"/>
      <c r="K212" s="1652"/>
      <c r="M212" s="1651"/>
      <c r="P212" s="1322"/>
    </row>
    <row r="213" spans="1:23" s="1636" customFormat="1" ht="13.5" customHeight="1">
      <c r="A213" s="1637"/>
      <c r="B213" s="1638"/>
      <c r="C213" s="1606"/>
      <c r="D213" s="342" t="s">
        <v>2415</v>
      </c>
      <c r="E213" s="466"/>
      <c r="F213" s="1314">
        <v>1</v>
      </c>
      <c r="G213" s="1639"/>
      <c r="H213" s="1640"/>
      <c r="I213" s="1641"/>
      <c r="J213" s="1651"/>
      <c r="K213" s="1652"/>
      <c r="P213" s="1766"/>
      <c r="U213" s="1750"/>
      <c r="W213" s="1750"/>
    </row>
    <row r="214" spans="1:23" s="195" customFormat="1" ht="27" customHeight="1">
      <c r="A214" s="1005"/>
      <c r="B214" s="460"/>
      <c r="C214" s="466"/>
      <c r="D214" s="466" t="s">
        <v>2409</v>
      </c>
      <c r="E214" s="466"/>
      <c r="F214" s="1681"/>
      <c r="G214" s="1671"/>
      <c r="H214" s="1671"/>
      <c r="I214" s="1641"/>
      <c r="J214" s="1651"/>
      <c r="K214" s="1652"/>
    </row>
    <row r="215" spans="1:23" s="195" customFormat="1" ht="13.5" customHeight="1">
      <c r="A215" s="1005">
        <v>63</v>
      </c>
      <c r="B215" s="460" t="s">
        <v>2204</v>
      </c>
      <c r="C215" s="460" t="s">
        <v>2416</v>
      </c>
      <c r="D215" s="460" t="s">
        <v>2417</v>
      </c>
      <c r="E215" s="460" t="s">
        <v>210</v>
      </c>
      <c r="F215" s="1311">
        <f>SUM(F216)</f>
        <v>2</v>
      </c>
      <c r="G215" s="1011"/>
      <c r="H215" s="814">
        <f>ROUND(F215*G215,2)</f>
        <v>0</v>
      </c>
      <c r="I215" s="153" t="s">
        <v>112</v>
      </c>
      <c r="J215" s="1651"/>
      <c r="K215" s="1652"/>
      <c r="P215" s="1322"/>
    </row>
    <row r="216" spans="1:23" s="1636" customFormat="1" ht="13.5" customHeight="1">
      <c r="A216" s="1637"/>
      <c r="B216" s="1638"/>
      <c r="C216" s="1606"/>
      <c r="D216" s="342" t="s">
        <v>2418</v>
      </c>
      <c r="E216" s="466"/>
      <c r="F216" s="1314">
        <v>2</v>
      </c>
      <c r="G216" s="1639"/>
      <c r="H216" s="1640"/>
      <c r="I216" s="1641"/>
      <c r="J216" s="1685"/>
      <c r="K216" s="1652"/>
      <c r="P216" s="1766"/>
      <c r="U216" s="1750"/>
      <c r="W216" s="1750"/>
    </row>
    <row r="217" spans="1:23" s="195" customFormat="1" ht="27" customHeight="1">
      <c r="A217" s="1005"/>
      <c r="B217" s="460"/>
      <c r="C217" s="466"/>
      <c r="D217" s="466" t="s">
        <v>2409</v>
      </c>
      <c r="E217" s="466"/>
      <c r="F217" s="1681"/>
      <c r="G217" s="1671"/>
      <c r="H217" s="1671"/>
      <c r="I217" s="1641"/>
      <c r="J217" s="1651"/>
      <c r="K217" s="1652"/>
    </row>
    <row r="218" spans="1:23" s="195" customFormat="1" ht="13.5" customHeight="1">
      <c r="A218" s="1005">
        <v>64</v>
      </c>
      <c r="B218" s="460" t="s">
        <v>2204</v>
      </c>
      <c r="C218" s="460" t="s">
        <v>2419</v>
      </c>
      <c r="D218" s="460" t="s">
        <v>2420</v>
      </c>
      <c r="E218" s="460" t="s">
        <v>210</v>
      </c>
      <c r="F218" s="1311">
        <f>SUM(F219)</f>
        <v>3</v>
      </c>
      <c r="G218" s="1011"/>
      <c r="H218" s="814">
        <f>ROUND(F218*G218,2)</f>
        <v>0</v>
      </c>
      <c r="I218" s="153" t="s">
        <v>112</v>
      </c>
      <c r="J218" s="1651"/>
      <c r="K218" s="1652"/>
      <c r="P218" s="1322"/>
    </row>
    <row r="219" spans="1:23" s="1636" customFormat="1" ht="13.5" customHeight="1">
      <c r="A219" s="1637"/>
      <c r="B219" s="1638"/>
      <c r="C219" s="1606"/>
      <c r="D219" s="342" t="s">
        <v>2421</v>
      </c>
      <c r="E219" s="466"/>
      <c r="F219" s="1314">
        <v>3</v>
      </c>
      <c r="G219" s="1639"/>
      <c r="H219" s="1640"/>
      <c r="I219" s="1641"/>
      <c r="J219" s="1651"/>
      <c r="K219" s="1652"/>
      <c r="P219" s="1319"/>
      <c r="U219" s="1750"/>
      <c r="W219" s="1750"/>
    </row>
    <row r="220" spans="1:23" s="195" customFormat="1" ht="27" customHeight="1">
      <c r="A220" s="1005"/>
      <c r="B220" s="460"/>
      <c r="C220" s="466"/>
      <c r="D220" s="466" t="s">
        <v>2409</v>
      </c>
      <c r="E220" s="466"/>
      <c r="F220" s="1681"/>
      <c r="G220" s="1671"/>
      <c r="H220" s="1671"/>
      <c r="I220" s="1641"/>
      <c r="J220" s="1651"/>
      <c r="K220" s="1652"/>
    </row>
    <row r="221" spans="1:23" s="195" customFormat="1" ht="13.5" customHeight="1">
      <c r="A221" s="1005">
        <v>65</v>
      </c>
      <c r="B221" s="460" t="s">
        <v>2204</v>
      </c>
      <c r="C221" s="460" t="s">
        <v>2422</v>
      </c>
      <c r="D221" s="460" t="s">
        <v>2423</v>
      </c>
      <c r="E221" s="460" t="s">
        <v>210</v>
      </c>
      <c r="F221" s="1311">
        <f>F222</f>
        <v>4</v>
      </c>
      <c r="G221" s="1011"/>
      <c r="H221" s="814">
        <f>ROUND(F221*G221,2)</f>
        <v>0</v>
      </c>
      <c r="I221" s="153" t="s">
        <v>112</v>
      </c>
      <c r="J221" s="1651"/>
      <c r="K221" s="1652"/>
      <c r="O221" s="1636"/>
      <c r="P221" s="1636"/>
      <c r="Q221" s="1763"/>
      <c r="R221" s="1764"/>
    </row>
    <row r="222" spans="1:23" s="1636" customFormat="1" ht="13.5" customHeight="1">
      <c r="A222" s="1637"/>
      <c r="B222" s="1638"/>
      <c r="C222" s="1606"/>
      <c r="D222" s="342" t="s">
        <v>2424</v>
      </c>
      <c r="E222" s="466"/>
      <c r="F222" s="1314">
        <v>4</v>
      </c>
      <c r="G222" s="1639"/>
      <c r="H222" s="1640"/>
      <c r="I222" s="1641"/>
      <c r="J222" s="1651"/>
      <c r="K222" s="1652"/>
      <c r="L222" s="195"/>
      <c r="M222" s="195"/>
      <c r="N222" s="195"/>
      <c r="O222" s="195"/>
      <c r="P222" s="195"/>
      <c r="Q222" s="1762"/>
      <c r="R222" s="1683"/>
      <c r="S222" s="195"/>
      <c r="U222" s="1750"/>
      <c r="W222" s="1750"/>
    </row>
    <row r="223" spans="1:23" ht="13.5" customHeight="1">
      <c r="A223" s="1335">
        <v>67</v>
      </c>
      <c r="B223" s="1336" t="s">
        <v>2204</v>
      </c>
      <c r="C223" s="1337" t="s">
        <v>2425</v>
      </c>
      <c r="D223" s="1337" t="s">
        <v>2426</v>
      </c>
      <c r="E223" s="1337" t="s">
        <v>210</v>
      </c>
      <c r="F223" s="1666">
        <f>SUM(F224)</f>
        <v>2</v>
      </c>
      <c r="G223" s="1339"/>
      <c r="H223" s="1339">
        <f>F223*G223</f>
        <v>0</v>
      </c>
      <c r="I223" s="153" t="s">
        <v>112</v>
      </c>
      <c r="K223" s="1647"/>
      <c r="P223" s="1767"/>
    </row>
    <row r="224" spans="1:23" s="1368" customFormat="1">
      <c r="A224" s="1335"/>
      <c r="B224" s="1336"/>
      <c r="C224" s="1337"/>
      <c r="D224" s="1686" t="s">
        <v>2427</v>
      </c>
      <c r="E224" s="1337"/>
      <c r="F224" s="1687">
        <v>2</v>
      </c>
      <c r="G224" s="1339"/>
      <c r="H224" s="1339"/>
      <c r="I224" s="1688"/>
      <c r="J224" s="1689"/>
      <c r="P224" s="1768"/>
      <c r="R224" s="1768"/>
      <c r="U224" s="1768"/>
    </row>
    <row r="225" spans="1:27" ht="13.5" customHeight="1">
      <c r="A225" s="1335">
        <v>68</v>
      </c>
      <c r="B225" s="1336" t="s">
        <v>2204</v>
      </c>
      <c r="C225" s="1337" t="s">
        <v>2428</v>
      </c>
      <c r="D225" s="1337" t="s">
        <v>2429</v>
      </c>
      <c r="E225" s="1337" t="s">
        <v>210</v>
      </c>
      <c r="F225" s="1666">
        <f>SUM(F226)</f>
        <v>1</v>
      </c>
      <c r="G225" s="1339"/>
      <c r="H225" s="1339">
        <f>F225*G225</f>
        <v>0</v>
      </c>
      <c r="I225" s="153" t="s">
        <v>112</v>
      </c>
      <c r="K225" s="1647"/>
      <c r="R225" s="1768"/>
    </row>
    <row r="226" spans="1:27" s="1368" customFormat="1" ht="13.5" customHeight="1">
      <c r="A226" s="1335"/>
      <c r="B226" s="1337"/>
      <c r="C226" s="1337"/>
      <c r="D226" s="1343" t="s">
        <v>2430</v>
      </c>
      <c r="E226" s="1337"/>
      <c r="F226" s="1687">
        <v>1</v>
      </c>
      <c r="G226" s="1339"/>
      <c r="H226" s="1339"/>
      <c r="I226" s="1367"/>
      <c r="J226" s="1689"/>
      <c r="K226" s="1647"/>
      <c r="L226" s="1287"/>
      <c r="M226" s="1768"/>
      <c r="N226" s="1690"/>
      <c r="O226" s="1287"/>
      <c r="P226" s="1647"/>
      <c r="Q226" s="1287"/>
      <c r="R226" s="1287"/>
      <c r="S226" s="1287"/>
      <c r="T226" s="1287"/>
      <c r="U226" s="1287"/>
      <c r="V226" s="1287"/>
      <c r="W226" s="1287"/>
      <c r="X226" s="1287"/>
      <c r="Y226" s="1287"/>
      <c r="Z226" s="1287"/>
      <c r="AA226" s="1691"/>
    </row>
    <row r="227" spans="1:27" ht="27" customHeight="1">
      <c r="A227" s="1335"/>
      <c r="B227" s="1337"/>
      <c r="C227" s="1337"/>
      <c r="D227" s="1343" t="s">
        <v>2431</v>
      </c>
      <c r="E227" s="1337"/>
      <c r="F227" s="1687"/>
      <c r="G227" s="1339"/>
      <c r="H227" s="1339"/>
      <c r="I227" s="1367"/>
      <c r="J227" s="1769"/>
    </row>
    <row r="228" spans="1:27" ht="13.5" customHeight="1">
      <c r="A228" s="1335">
        <v>69</v>
      </c>
      <c r="B228" s="1336" t="s">
        <v>2204</v>
      </c>
      <c r="C228" s="1337" t="s">
        <v>2432</v>
      </c>
      <c r="D228" s="1337" t="s">
        <v>2433</v>
      </c>
      <c r="E228" s="1337" t="s">
        <v>210</v>
      </c>
      <c r="F228" s="1666">
        <f>SUM(F229)</f>
        <v>1</v>
      </c>
      <c r="G228" s="1339"/>
      <c r="H228" s="1339">
        <f>F228*G228</f>
        <v>0</v>
      </c>
      <c r="I228" s="153" t="s">
        <v>112</v>
      </c>
      <c r="K228" s="1647"/>
      <c r="R228" s="1768"/>
      <c r="V228" s="1691"/>
    </row>
    <row r="229" spans="1:27" s="1368" customFormat="1" ht="13.5" customHeight="1">
      <c r="A229" s="1335"/>
      <c r="B229" s="1337"/>
      <c r="C229" s="1337"/>
      <c r="D229" s="1343" t="s">
        <v>2434</v>
      </c>
      <c r="E229" s="1337"/>
      <c r="F229" s="1687">
        <v>1</v>
      </c>
      <c r="G229" s="1339"/>
      <c r="H229" s="1339"/>
      <c r="I229" s="1367"/>
      <c r="J229" s="1689"/>
      <c r="K229" s="1647"/>
      <c r="L229" s="1287"/>
      <c r="M229" s="1768"/>
      <c r="N229" s="1690"/>
      <c r="O229" s="1690"/>
      <c r="P229" s="1768"/>
      <c r="Q229" s="1690"/>
      <c r="R229" s="1690"/>
      <c r="S229" s="1690"/>
    </row>
    <row r="230" spans="1:27" ht="27" customHeight="1">
      <c r="A230" s="1335"/>
      <c r="B230" s="1337"/>
      <c r="C230" s="1337"/>
      <c r="D230" s="1343" t="s">
        <v>2431</v>
      </c>
      <c r="E230" s="1337"/>
      <c r="F230" s="1687"/>
      <c r="G230" s="1339"/>
      <c r="H230" s="1339"/>
      <c r="I230" s="1367"/>
      <c r="J230" s="1689"/>
      <c r="K230" s="1647"/>
      <c r="M230" s="1768"/>
      <c r="P230" s="1768"/>
    </row>
    <row r="231" spans="1:27" ht="13.5" customHeight="1">
      <c r="A231" s="1335">
        <v>70</v>
      </c>
      <c r="B231" s="1336" t="s">
        <v>2204</v>
      </c>
      <c r="C231" s="1337" t="s">
        <v>2435</v>
      </c>
      <c r="D231" s="1337" t="s">
        <v>2436</v>
      </c>
      <c r="E231" s="1337" t="s">
        <v>210</v>
      </c>
      <c r="F231" s="1666">
        <f>SUM(F232)</f>
        <v>1</v>
      </c>
      <c r="G231" s="1339"/>
      <c r="H231" s="1339">
        <f>F231*G231</f>
        <v>0</v>
      </c>
      <c r="I231" s="153" t="s">
        <v>112</v>
      </c>
      <c r="J231" s="1770"/>
      <c r="K231" s="1647"/>
      <c r="P231" s="1767"/>
    </row>
    <row r="232" spans="1:27" s="1368" customFormat="1">
      <c r="A232" s="1335"/>
      <c r="B232" s="1336"/>
      <c r="C232" s="1337"/>
      <c r="D232" s="1686" t="s">
        <v>2437</v>
      </c>
      <c r="E232" s="1337"/>
      <c r="F232" s="1687">
        <v>1</v>
      </c>
      <c r="G232" s="1339"/>
      <c r="H232" s="1339"/>
      <c r="I232" s="1688"/>
      <c r="J232" s="1287"/>
      <c r="K232" s="1647"/>
      <c r="L232" s="1287"/>
      <c r="M232" s="1287"/>
      <c r="N232" s="1287"/>
      <c r="O232" s="1287"/>
      <c r="P232" s="1767"/>
      <c r="Q232" s="1287"/>
      <c r="R232" s="1287"/>
      <c r="U232" s="1768"/>
    </row>
    <row r="233" spans="1:27" s="1610" customFormat="1" ht="13.5" customHeight="1">
      <c r="A233" s="1335">
        <v>71</v>
      </c>
      <c r="B233" s="1336" t="s">
        <v>2204</v>
      </c>
      <c r="C233" s="1337" t="s">
        <v>2438</v>
      </c>
      <c r="D233" s="1605" t="s">
        <v>2439</v>
      </c>
      <c r="E233" s="1605" t="s">
        <v>210</v>
      </c>
      <c r="F233" s="1692">
        <f>F234</f>
        <v>1</v>
      </c>
      <c r="G233" s="1608"/>
      <c r="H233" s="1608">
        <f>F233*G233</f>
        <v>0</v>
      </c>
      <c r="I233" s="153" t="s">
        <v>112</v>
      </c>
      <c r="J233" s="1602"/>
      <c r="K233" s="1652"/>
      <c r="L233" s="1602"/>
      <c r="M233" s="1602"/>
      <c r="N233" s="1602"/>
      <c r="O233" s="1602"/>
      <c r="P233" s="1602"/>
      <c r="Q233" s="1771"/>
      <c r="R233" s="1772"/>
    </row>
    <row r="234" spans="1:27" s="1610" customFormat="1" ht="13.5" customHeight="1">
      <c r="A234" s="1604"/>
      <c r="B234" s="1605"/>
      <c r="C234" s="1605"/>
      <c r="D234" s="1686" t="s">
        <v>2440</v>
      </c>
      <c r="E234" s="1605"/>
      <c r="F234" s="1693">
        <v>1</v>
      </c>
      <c r="G234" s="1608"/>
      <c r="H234" s="1608"/>
      <c r="I234" s="1694"/>
      <c r="J234" s="1695"/>
      <c r="K234" s="158"/>
      <c r="L234" s="158"/>
      <c r="M234" s="158"/>
      <c r="N234" s="158"/>
      <c r="O234" s="158"/>
      <c r="Q234" s="1773"/>
    </row>
    <row r="235" spans="1:27" s="1610" customFormat="1" ht="13.5" customHeight="1">
      <c r="A235" s="1335">
        <v>72</v>
      </c>
      <c r="B235" s="1336" t="s">
        <v>2204</v>
      </c>
      <c r="C235" s="1337" t="s">
        <v>2441</v>
      </c>
      <c r="D235" s="1605" t="s">
        <v>2442</v>
      </c>
      <c r="E235" s="1605" t="s">
        <v>210</v>
      </c>
      <c r="F235" s="1692">
        <f>F236</f>
        <v>1</v>
      </c>
      <c r="G235" s="1608"/>
      <c r="H235" s="1608">
        <f>F235*G235</f>
        <v>0</v>
      </c>
      <c r="I235" s="153" t="s">
        <v>112</v>
      </c>
      <c r="J235" s="1602"/>
      <c r="R235" s="1772"/>
    </row>
    <row r="236" spans="1:27" s="1610" customFormat="1" ht="13.5" customHeight="1">
      <c r="A236" s="1604"/>
      <c r="B236" s="1605"/>
      <c r="C236" s="1605"/>
      <c r="D236" s="1686" t="s">
        <v>2440</v>
      </c>
      <c r="E236" s="1605"/>
      <c r="F236" s="1693">
        <v>1</v>
      </c>
      <c r="G236" s="1608"/>
      <c r="H236" s="1608"/>
      <c r="I236" s="1694"/>
      <c r="J236" s="1695"/>
      <c r="O236" s="1774"/>
      <c r="Q236" s="1773"/>
    </row>
    <row r="237" spans="1:27" s="1610" customFormat="1" ht="13.5" customHeight="1">
      <c r="A237" s="1335">
        <v>73</v>
      </c>
      <c r="B237" s="1336" t="s">
        <v>2204</v>
      </c>
      <c r="C237" s="1337" t="s">
        <v>2443</v>
      </c>
      <c r="D237" s="1605" t="s">
        <v>2444</v>
      </c>
      <c r="E237" s="1605" t="s">
        <v>210</v>
      </c>
      <c r="F237" s="1692">
        <f>F238</f>
        <v>1</v>
      </c>
      <c r="G237" s="1608"/>
      <c r="H237" s="1608">
        <f>F237*G237</f>
        <v>0</v>
      </c>
      <c r="I237" s="153" t="s">
        <v>112</v>
      </c>
      <c r="J237" s="1602"/>
      <c r="K237" s="1291"/>
      <c r="L237" s="1291"/>
      <c r="M237" s="1291"/>
      <c r="N237" s="1291"/>
      <c r="O237" s="1291"/>
      <c r="P237" s="1291"/>
      <c r="Q237" s="1291"/>
      <c r="R237" s="1291"/>
      <c r="S237" s="1291"/>
      <c r="T237" s="1291"/>
    </row>
    <row r="238" spans="1:27" s="1610" customFormat="1" ht="13.5" customHeight="1">
      <c r="A238" s="1604"/>
      <c r="B238" s="1605"/>
      <c r="C238" s="1605"/>
      <c r="D238" s="1686" t="s">
        <v>2440</v>
      </c>
      <c r="E238" s="1605"/>
      <c r="F238" s="1693">
        <v>1</v>
      </c>
      <c r="G238" s="1608"/>
      <c r="H238" s="1608"/>
      <c r="I238" s="1694"/>
      <c r="J238" s="1695"/>
      <c r="K238" s="158"/>
      <c r="L238" s="158"/>
      <c r="M238" s="158"/>
      <c r="N238" s="158"/>
      <c r="O238" s="158"/>
      <c r="P238" s="158"/>
      <c r="Q238" s="158"/>
      <c r="R238" s="158"/>
      <c r="S238" s="158"/>
      <c r="T238" s="1771"/>
    </row>
    <row r="239" spans="1:27" s="1610" customFormat="1" ht="13.5" customHeight="1">
      <c r="A239" s="1335">
        <v>74</v>
      </c>
      <c r="B239" s="1336" t="s">
        <v>2204</v>
      </c>
      <c r="C239" s="1337" t="s">
        <v>2445</v>
      </c>
      <c r="D239" s="1605" t="s">
        <v>2446</v>
      </c>
      <c r="E239" s="1605" t="s">
        <v>210</v>
      </c>
      <c r="F239" s="1692">
        <f>F240</f>
        <v>1</v>
      </c>
      <c r="G239" s="1608"/>
      <c r="H239" s="1608">
        <f>F239*G239</f>
        <v>0</v>
      </c>
      <c r="I239" s="153" t="s">
        <v>112</v>
      </c>
      <c r="J239" s="1602"/>
      <c r="K239" s="1291"/>
      <c r="L239" s="1291"/>
      <c r="M239" s="1291"/>
      <c r="N239" s="1291"/>
      <c r="O239" s="1291"/>
      <c r="P239" s="1291"/>
      <c r="Q239" s="1291"/>
      <c r="R239" s="1291"/>
      <c r="S239" s="1291"/>
      <c r="T239" s="1291"/>
    </row>
    <row r="240" spans="1:27" s="1610" customFormat="1" ht="13.5" customHeight="1">
      <c r="A240" s="1604"/>
      <c r="B240" s="1605"/>
      <c r="C240" s="1605"/>
      <c r="D240" s="1686" t="s">
        <v>2440</v>
      </c>
      <c r="E240" s="1605"/>
      <c r="F240" s="1693">
        <v>1</v>
      </c>
      <c r="G240" s="1608"/>
      <c r="H240" s="1608"/>
      <c r="I240" s="1694"/>
      <c r="J240" s="1695"/>
      <c r="K240" s="158"/>
      <c r="L240" s="158"/>
      <c r="M240" s="158"/>
      <c r="N240" s="158"/>
      <c r="O240" s="158"/>
      <c r="P240" s="158"/>
      <c r="Q240" s="158"/>
      <c r="R240" s="158"/>
      <c r="S240" s="158"/>
      <c r="T240" s="1771"/>
    </row>
    <row r="241" spans="1:19" s="1610" customFormat="1" ht="13.5" customHeight="1">
      <c r="A241" s="1335">
        <v>75</v>
      </c>
      <c r="B241" s="1336" t="s">
        <v>2204</v>
      </c>
      <c r="C241" s="1337" t="s">
        <v>2447</v>
      </c>
      <c r="D241" s="1605" t="s">
        <v>2448</v>
      </c>
      <c r="E241" s="1605" t="s">
        <v>210</v>
      </c>
      <c r="F241" s="1692">
        <f>F242</f>
        <v>1</v>
      </c>
      <c r="G241" s="1608"/>
      <c r="H241" s="1608">
        <f>F241*G241</f>
        <v>0</v>
      </c>
      <c r="I241" s="153" t="s">
        <v>112</v>
      </c>
      <c r="J241" s="1602"/>
      <c r="K241" s="1647"/>
      <c r="L241" s="1287"/>
      <c r="M241" s="1287"/>
      <c r="N241" s="1775"/>
      <c r="O241" s="1291"/>
      <c r="P241" s="1291"/>
      <c r="R241" s="1772"/>
    </row>
    <row r="242" spans="1:19" s="1610" customFormat="1" ht="13.5" customHeight="1">
      <c r="A242" s="1604"/>
      <c r="B242" s="1605"/>
      <c r="C242" s="1605"/>
      <c r="D242" s="1686" t="s">
        <v>2440</v>
      </c>
      <c r="E242" s="1605"/>
      <c r="F242" s="1693">
        <v>1</v>
      </c>
      <c r="G242" s="1608"/>
      <c r="H242" s="1608"/>
      <c r="I242" s="1694"/>
      <c r="J242" s="1695"/>
      <c r="K242" s="158"/>
      <c r="L242" s="158"/>
      <c r="M242" s="158"/>
      <c r="N242" s="158"/>
      <c r="O242" s="158"/>
      <c r="P242" s="1776"/>
    </row>
    <row r="243" spans="1:19" s="1610" customFormat="1" ht="13.5" customHeight="1">
      <c r="A243" s="1335">
        <v>76</v>
      </c>
      <c r="B243" s="1336" t="s">
        <v>2204</v>
      </c>
      <c r="C243" s="1337" t="s">
        <v>2449</v>
      </c>
      <c r="D243" s="1605" t="s">
        <v>2450</v>
      </c>
      <c r="E243" s="1605" t="s">
        <v>210</v>
      </c>
      <c r="F243" s="1692">
        <f>F244</f>
        <v>1</v>
      </c>
      <c r="G243" s="1608"/>
      <c r="H243" s="1608">
        <f>F243*G243</f>
        <v>0</v>
      </c>
      <c r="I243" s="153" t="s">
        <v>112</v>
      </c>
      <c r="J243" s="1602"/>
      <c r="K243" s="1647"/>
      <c r="L243" s="1287"/>
      <c r="M243" s="1287"/>
      <c r="N243" s="1775"/>
      <c r="O243" s="1287"/>
      <c r="P243" s="1287"/>
      <c r="R243" s="1772"/>
    </row>
    <row r="244" spans="1:19" s="1610" customFormat="1" ht="13.5" customHeight="1">
      <c r="A244" s="1604"/>
      <c r="B244" s="1605"/>
      <c r="C244" s="1605"/>
      <c r="D244" s="1686" t="s">
        <v>2440</v>
      </c>
      <c r="E244" s="1605"/>
      <c r="F244" s="1693">
        <v>1</v>
      </c>
      <c r="G244" s="1608"/>
      <c r="H244" s="1608"/>
      <c r="I244" s="1694"/>
      <c r="J244" s="1695"/>
      <c r="K244" s="158"/>
      <c r="L244" s="158"/>
      <c r="M244" s="158"/>
      <c r="N244" s="158"/>
      <c r="O244" s="158"/>
      <c r="P244" s="1776"/>
    </row>
    <row r="245" spans="1:19" s="1610" customFormat="1" ht="27" customHeight="1">
      <c r="A245" s="1335">
        <v>77</v>
      </c>
      <c r="B245" s="1336" t="s">
        <v>2204</v>
      </c>
      <c r="C245" s="1337" t="s">
        <v>2451</v>
      </c>
      <c r="D245" s="1605" t="s">
        <v>2452</v>
      </c>
      <c r="E245" s="1605" t="s">
        <v>210</v>
      </c>
      <c r="F245" s="1692">
        <f>F246</f>
        <v>1</v>
      </c>
      <c r="G245" s="1608"/>
      <c r="H245" s="1608">
        <f>F245*G245</f>
        <v>0</v>
      </c>
      <c r="I245" s="153" t="s">
        <v>112</v>
      </c>
      <c r="J245" s="1602"/>
      <c r="K245" s="1652"/>
      <c r="L245" s="1602"/>
      <c r="M245" s="1602"/>
      <c r="N245" s="1602"/>
      <c r="O245" s="1602"/>
      <c r="P245" s="1602"/>
      <c r="Q245" s="1771"/>
      <c r="R245" s="1602"/>
      <c r="S245" s="1602"/>
    </row>
    <row r="246" spans="1:19" s="1610" customFormat="1" ht="13.5" customHeight="1">
      <c r="A246" s="1604"/>
      <c r="B246" s="1605"/>
      <c r="C246" s="1605"/>
      <c r="D246" s="1686" t="s">
        <v>2440</v>
      </c>
      <c r="E246" s="1605"/>
      <c r="F246" s="1693">
        <v>1</v>
      </c>
      <c r="G246" s="1608"/>
      <c r="H246" s="1608"/>
      <c r="I246" s="1694"/>
      <c r="J246" s="1695"/>
      <c r="K246" s="762"/>
      <c r="L246" s="762"/>
      <c r="M246" s="762"/>
      <c r="N246" s="762"/>
      <c r="O246" s="762"/>
      <c r="P246" s="762"/>
      <c r="Q246" s="762"/>
      <c r="R246" s="762"/>
      <c r="S246" s="1771"/>
    </row>
    <row r="247" spans="1:19" s="1610" customFormat="1" ht="13.5" customHeight="1">
      <c r="A247" s="1335">
        <v>78</v>
      </c>
      <c r="B247" s="1336" t="s">
        <v>2204</v>
      </c>
      <c r="C247" s="1337" t="s">
        <v>2453</v>
      </c>
      <c r="D247" s="1605" t="s">
        <v>2454</v>
      </c>
      <c r="E247" s="1605" t="s">
        <v>210</v>
      </c>
      <c r="F247" s="1692">
        <f>F248</f>
        <v>1</v>
      </c>
      <c r="G247" s="1608"/>
      <c r="H247" s="1608">
        <f>F247*G247</f>
        <v>0</v>
      </c>
      <c r="I247" s="153" t="s">
        <v>112</v>
      </c>
      <c r="J247" s="1602"/>
      <c r="K247" s="1652"/>
      <c r="L247" s="1602"/>
      <c r="M247" s="1602"/>
      <c r="N247" s="1602"/>
      <c r="O247" s="1602"/>
      <c r="P247" s="1602"/>
      <c r="Q247" s="1771"/>
      <c r="R247" s="1602"/>
      <c r="S247" s="1602"/>
    </row>
    <row r="248" spans="1:19" s="1610" customFormat="1" ht="13.5" customHeight="1">
      <c r="A248" s="1604"/>
      <c r="B248" s="1605"/>
      <c r="C248" s="1605"/>
      <c r="D248" s="1686" t="s">
        <v>2440</v>
      </c>
      <c r="E248" s="1605"/>
      <c r="F248" s="1693">
        <v>1</v>
      </c>
      <c r="G248" s="1608"/>
      <c r="H248" s="1608"/>
      <c r="I248" s="1694"/>
      <c r="J248" s="1695"/>
      <c r="K248" s="762"/>
      <c r="L248" s="762"/>
      <c r="M248" s="762"/>
      <c r="N248" s="762"/>
      <c r="O248" s="762"/>
      <c r="P248" s="762"/>
      <c r="Q248" s="762"/>
      <c r="R248" s="762"/>
      <c r="S248" s="1771"/>
    </row>
    <row r="249" spans="1:19" s="1610" customFormat="1" ht="13.5" customHeight="1">
      <c r="A249" s="1335">
        <v>79</v>
      </c>
      <c r="B249" s="1336" t="s">
        <v>2204</v>
      </c>
      <c r="C249" s="1337" t="s">
        <v>2455</v>
      </c>
      <c r="D249" s="1605" t="s">
        <v>2456</v>
      </c>
      <c r="E249" s="1605" t="s">
        <v>210</v>
      </c>
      <c r="F249" s="1692">
        <f>F250</f>
        <v>1</v>
      </c>
      <c r="G249" s="1608"/>
      <c r="H249" s="1608">
        <f>F249*G249</f>
        <v>0</v>
      </c>
      <c r="I249" s="153" t="s">
        <v>112</v>
      </c>
      <c r="J249" s="1602"/>
      <c r="K249" s="1652"/>
      <c r="L249" s="1602"/>
      <c r="M249" s="1602"/>
      <c r="N249" s="1602"/>
      <c r="O249" s="1602"/>
      <c r="P249" s="1602"/>
      <c r="Q249" s="1771"/>
      <c r="R249" s="1602"/>
      <c r="S249" s="1602"/>
    </row>
    <row r="250" spans="1:19" s="1610" customFormat="1" ht="13.5" customHeight="1">
      <c r="A250" s="1604"/>
      <c r="B250" s="1605"/>
      <c r="C250" s="1605"/>
      <c r="D250" s="1686" t="s">
        <v>2440</v>
      </c>
      <c r="E250" s="1605"/>
      <c r="F250" s="1693">
        <v>1</v>
      </c>
      <c r="G250" s="1608"/>
      <c r="H250" s="1608"/>
      <c r="I250" s="1694"/>
      <c r="J250" s="1695"/>
      <c r="K250" s="762"/>
      <c r="L250" s="762"/>
      <c r="M250" s="762"/>
      <c r="N250" s="762"/>
      <c r="O250" s="762"/>
      <c r="P250" s="762"/>
      <c r="Q250" s="762"/>
      <c r="R250" s="762"/>
      <c r="S250" s="1771"/>
    </row>
    <row r="251" spans="1:19" s="1610" customFormat="1" ht="13.5" customHeight="1">
      <c r="A251" s="1335">
        <v>80</v>
      </c>
      <c r="B251" s="1336" t="s">
        <v>2204</v>
      </c>
      <c r="C251" s="1337" t="s">
        <v>2457</v>
      </c>
      <c r="D251" s="1605" t="s">
        <v>2458</v>
      </c>
      <c r="E251" s="1605" t="s">
        <v>210</v>
      </c>
      <c r="F251" s="1692">
        <f>F252</f>
        <v>1</v>
      </c>
      <c r="G251" s="1608"/>
      <c r="H251" s="1608">
        <f>F251*G251</f>
        <v>0</v>
      </c>
      <c r="I251" s="153" t="s">
        <v>112</v>
      </c>
      <c r="J251" s="1602"/>
      <c r="K251" s="1652"/>
      <c r="L251" s="1602"/>
      <c r="M251" s="1602"/>
      <c r="N251" s="1602"/>
      <c r="O251" s="1602"/>
      <c r="P251" s="1602"/>
      <c r="Q251" s="1771"/>
      <c r="R251" s="1602"/>
      <c r="S251" s="1602"/>
    </row>
    <row r="252" spans="1:19" s="1610" customFormat="1" ht="13.5" customHeight="1">
      <c r="A252" s="1604"/>
      <c r="B252" s="1605"/>
      <c r="C252" s="1605"/>
      <c r="D252" s="1686" t="s">
        <v>2440</v>
      </c>
      <c r="E252" s="1605"/>
      <c r="F252" s="1693">
        <v>1</v>
      </c>
      <c r="G252" s="1608"/>
      <c r="H252" s="1608"/>
      <c r="I252" s="1694"/>
      <c r="J252" s="1695"/>
      <c r="K252" s="762"/>
      <c r="L252" s="762"/>
      <c r="M252" s="762"/>
      <c r="N252" s="762"/>
      <c r="O252" s="762"/>
      <c r="P252" s="762"/>
      <c r="Q252" s="762"/>
      <c r="R252" s="762"/>
      <c r="S252" s="1771"/>
    </row>
    <row r="253" spans="1:19" s="1610" customFormat="1" ht="13.5" customHeight="1">
      <c r="A253" s="1335">
        <v>81</v>
      </c>
      <c r="B253" s="1336" t="s">
        <v>2204</v>
      </c>
      <c r="C253" s="1337" t="s">
        <v>2428</v>
      </c>
      <c r="D253" s="1605" t="s">
        <v>2459</v>
      </c>
      <c r="E253" s="1605" t="s">
        <v>210</v>
      </c>
      <c r="F253" s="1692">
        <f>F254</f>
        <v>1</v>
      </c>
      <c r="G253" s="1608"/>
      <c r="H253" s="1608">
        <f>F253*G253</f>
        <v>0</v>
      </c>
      <c r="I253" s="153" t="s">
        <v>112</v>
      </c>
      <c r="J253" s="1602"/>
      <c r="K253" s="1652"/>
      <c r="L253" s="1602"/>
      <c r="M253" s="1602"/>
      <c r="N253" s="1602"/>
      <c r="O253" s="1602"/>
      <c r="P253" s="1602"/>
      <c r="Q253" s="1771"/>
      <c r="R253" s="1602"/>
      <c r="S253" s="1602"/>
    </row>
    <row r="254" spans="1:19" s="1610" customFormat="1" ht="13.5" customHeight="1">
      <c r="A254" s="1604"/>
      <c r="B254" s="1605"/>
      <c r="C254" s="1605"/>
      <c r="D254" s="1686" t="s">
        <v>2440</v>
      </c>
      <c r="E254" s="1605"/>
      <c r="F254" s="1693">
        <v>1</v>
      </c>
      <c r="G254" s="1608"/>
      <c r="H254" s="1608"/>
      <c r="I254" s="1694"/>
      <c r="J254" s="1695"/>
      <c r="K254" s="762"/>
      <c r="L254" s="762"/>
      <c r="M254" s="762"/>
      <c r="N254" s="762"/>
      <c r="O254" s="762"/>
      <c r="P254" s="762"/>
      <c r="Q254" s="762"/>
      <c r="R254" s="762"/>
      <c r="S254" s="1771"/>
    </row>
    <row r="255" spans="1:19" s="1610" customFormat="1" ht="27" customHeight="1">
      <c r="A255" s="1335">
        <v>82</v>
      </c>
      <c r="B255" s="1336" t="s">
        <v>2204</v>
      </c>
      <c r="C255" s="1337" t="s">
        <v>2432</v>
      </c>
      <c r="D255" s="1605" t="s">
        <v>2460</v>
      </c>
      <c r="E255" s="1605" t="s">
        <v>210</v>
      </c>
      <c r="F255" s="1692">
        <f>F256</f>
        <v>1</v>
      </c>
      <c r="G255" s="1608"/>
      <c r="H255" s="1608">
        <f>F255*G255</f>
        <v>0</v>
      </c>
      <c r="I255" s="153" t="s">
        <v>112</v>
      </c>
      <c r="J255" s="1602"/>
      <c r="K255" s="1652"/>
      <c r="L255" s="1602"/>
      <c r="M255" s="1602"/>
      <c r="N255" s="1602"/>
      <c r="O255" s="1602"/>
      <c r="P255" s="1602"/>
      <c r="Q255" s="1771"/>
      <c r="R255" s="1602"/>
      <c r="S255" s="1602"/>
    </row>
    <row r="256" spans="1:19" s="1610" customFormat="1" ht="13.5" customHeight="1">
      <c r="A256" s="1604"/>
      <c r="B256" s="1605"/>
      <c r="C256" s="1605"/>
      <c r="D256" s="1686" t="s">
        <v>2440</v>
      </c>
      <c r="E256" s="1605"/>
      <c r="F256" s="1693">
        <v>1</v>
      </c>
      <c r="G256" s="1608"/>
      <c r="H256" s="1608"/>
      <c r="I256" s="1694"/>
      <c r="J256" s="1695"/>
      <c r="K256" s="762"/>
      <c r="L256" s="762"/>
      <c r="M256" s="762"/>
      <c r="N256" s="762"/>
      <c r="O256" s="762"/>
      <c r="P256" s="762"/>
      <c r="Q256" s="762"/>
      <c r="R256" s="762"/>
      <c r="S256" s="1771"/>
    </row>
    <row r="257" spans="1:23" s="1610" customFormat="1" ht="27" customHeight="1">
      <c r="A257" s="1335">
        <v>83</v>
      </c>
      <c r="B257" s="1336" t="s">
        <v>2204</v>
      </c>
      <c r="C257" s="1337" t="s">
        <v>2435</v>
      </c>
      <c r="D257" s="1605" t="s">
        <v>2461</v>
      </c>
      <c r="E257" s="1605" t="s">
        <v>210</v>
      </c>
      <c r="F257" s="1692">
        <f>F258</f>
        <v>1</v>
      </c>
      <c r="G257" s="1608"/>
      <c r="H257" s="1608">
        <f>F257*G257</f>
        <v>0</v>
      </c>
      <c r="I257" s="153" t="s">
        <v>112</v>
      </c>
      <c r="J257" s="1602"/>
      <c r="K257" s="1652"/>
      <c r="L257" s="1602"/>
      <c r="M257" s="1602"/>
      <c r="N257" s="1602"/>
      <c r="O257" s="1602"/>
      <c r="P257" s="1602"/>
      <c r="Q257" s="1771"/>
      <c r="R257" s="1602"/>
      <c r="S257" s="1602"/>
    </row>
    <row r="258" spans="1:23" s="1610" customFormat="1" ht="13.5" customHeight="1">
      <c r="A258" s="1604"/>
      <c r="B258" s="1605"/>
      <c r="C258" s="1605"/>
      <c r="D258" s="1686" t="s">
        <v>2440</v>
      </c>
      <c r="E258" s="1605"/>
      <c r="F258" s="1693">
        <v>1</v>
      </c>
      <c r="G258" s="1608"/>
      <c r="H258" s="1608"/>
      <c r="I258" s="1694"/>
      <c r="J258" s="1695"/>
      <c r="K258" s="762"/>
      <c r="L258" s="762"/>
      <c r="M258" s="762"/>
      <c r="N258" s="762"/>
      <c r="O258" s="762"/>
      <c r="P258" s="762"/>
      <c r="Q258" s="762"/>
      <c r="R258" s="762"/>
      <c r="S258" s="1771"/>
    </row>
    <row r="259" spans="1:23" s="1610" customFormat="1" ht="27" customHeight="1">
      <c r="A259" s="1335">
        <v>84</v>
      </c>
      <c r="B259" s="1336" t="s">
        <v>2204</v>
      </c>
      <c r="C259" s="1337" t="s">
        <v>2462</v>
      </c>
      <c r="D259" s="1605" t="s">
        <v>2463</v>
      </c>
      <c r="E259" s="1605" t="s">
        <v>210</v>
      </c>
      <c r="F259" s="1692">
        <f>F260</f>
        <v>1</v>
      </c>
      <c r="G259" s="1608"/>
      <c r="H259" s="1608">
        <f>F259*G259</f>
        <v>0</v>
      </c>
      <c r="I259" s="153" t="s">
        <v>112</v>
      </c>
      <c r="J259" s="1602"/>
      <c r="K259" s="1652"/>
      <c r="L259" s="1602"/>
      <c r="M259" s="1602"/>
      <c r="N259" s="1602"/>
      <c r="O259" s="1602"/>
      <c r="P259" s="1602"/>
      <c r="Q259" s="1771"/>
      <c r="R259" s="1602"/>
      <c r="S259" s="1602"/>
    </row>
    <row r="260" spans="1:23" s="1610" customFormat="1" ht="13.5" customHeight="1">
      <c r="A260" s="1604"/>
      <c r="B260" s="1605"/>
      <c r="C260" s="1605"/>
      <c r="D260" s="1686" t="s">
        <v>2440</v>
      </c>
      <c r="E260" s="1605"/>
      <c r="F260" s="1693">
        <v>1</v>
      </c>
      <c r="G260" s="1608"/>
      <c r="H260" s="1608"/>
      <c r="I260" s="1694"/>
      <c r="J260" s="1695"/>
      <c r="K260" s="762"/>
      <c r="L260" s="762"/>
      <c r="M260" s="762"/>
      <c r="N260" s="762"/>
      <c r="O260" s="762"/>
      <c r="P260" s="762"/>
      <c r="Q260" s="762"/>
      <c r="R260" s="762"/>
      <c r="S260" s="1771"/>
    </row>
    <row r="261" spans="1:23" s="1610" customFormat="1" ht="13.5" customHeight="1">
      <c r="A261" s="1335">
        <v>85</v>
      </c>
      <c r="B261" s="1336" t="s">
        <v>2204</v>
      </c>
      <c r="C261" s="1337" t="s">
        <v>2464</v>
      </c>
      <c r="D261" s="1605" t="s">
        <v>2465</v>
      </c>
      <c r="E261" s="1605" t="s">
        <v>210</v>
      </c>
      <c r="F261" s="1692">
        <f>F262</f>
        <v>1</v>
      </c>
      <c r="G261" s="1608"/>
      <c r="H261" s="1608">
        <f>F261*G261</f>
        <v>0</v>
      </c>
      <c r="I261" s="153" t="s">
        <v>112</v>
      </c>
      <c r="J261" s="1602"/>
      <c r="K261" s="1647"/>
      <c r="L261" s="1287"/>
      <c r="M261" s="1287"/>
      <c r="N261" s="1775"/>
      <c r="O261" s="1287"/>
      <c r="P261" s="1287"/>
      <c r="R261" s="1602"/>
      <c r="S261" s="1602"/>
    </row>
    <row r="262" spans="1:23" s="1610" customFormat="1" ht="13.5" customHeight="1">
      <c r="A262" s="1604"/>
      <c r="B262" s="1605"/>
      <c r="C262" s="1605"/>
      <c r="D262" s="1686" t="s">
        <v>2440</v>
      </c>
      <c r="E262" s="1605"/>
      <c r="F262" s="1693">
        <v>1</v>
      </c>
      <c r="G262" s="1608"/>
      <c r="H262" s="1608"/>
      <c r="I262" s="1694"/>
      <c r="J262" s="1695"/>
      <c r="K262" s="158"/>
      <c r="L262" s="158"/>
      <c r="M262" s="158"/>
      <c r="N262" s="158"/>
      <c r="O262" s="158"/>
      <c r="P262" s="1776"/>
      <c r="R262" s="762"/>
      <c r="S262" s="1771"/>
    </row>
    <row r="263" spans="1:23" s="1610" customFormat="1" ht="13.5" customHeight="1">
      <c r="A263" s="1335">
        <v>86</v>
      </c>
      <c r="B263" s="1336" t="s">
        <v>2204</v>
      </c>
      <c r="C263" s="1337" t="s">
        <v>2466</v>
      </c>
      <c r="D263" s="1605" t="s">
        <v>2467</v>
      </c>
      <c r="E263" s="1605" t="s">
        <v>210</v>
      </c>
      <c r="F263" s="1692">
        <f>F264</f>
        <v>1</v>
      </c>
      <c r="G263" s="1608"/>
      <c r="H263" s="1608">
        <f>F263*G263</f>
        <v>0</v>
      </c>
      <c r="I263" s="153" t="s">
        <v>112</v>
      </c>
      <c r="J263" s="1602"/>
      <c r="K263" s="1647"/>
      <c r="L263" s="1287"/>
      <c r="M263" s="1287"/>
      <c r="N263" s="1775"/>
      <c r="O263" s="1287"/>
      <c r="P263" s="1287"/>
      <c r="R263" s="1602"/>
      <c r="S263" s="1602"/>
    </row>
    <row r="264" spans="1:23" s="1610" customFormat="1" ht="13.5" customHeight="1">
      <c r="A264" s="1604"/>
      <c r="B264" s="1605"/>
      <c r="C264" s="1605"/>
      <c r="D264" s="1686" t="s">
        <v>2440</v>
      </c>
      <c r="E264" s="1605"/>
      <c r="F264" s="1693">
        <v>1</v>
      </c>
      <c r="G264" s="1608"/>
      <c r="H264" s="1608"/>
      <c r="I264" s="1694"/>
      <c r="J264" s="1695"/>
      <c r="K264" s="158"/>
      <c r="L264" s="158"/>
      <c r="M264" s="158"/>
      <c r="N264" s="158"/>
      <c r="O264" s="158"/>
      <c r="P264" s="1776"/>
      <c r="R264" s="762"/>
      <c r="S264" s="1771"/>
    </row>
    <row r="265" spans="1:23" s="195" customFormat="1" ht="13.5" customHeight="1">
      <c r="A265" s="1005">
        <v>87</v>
      </c>
      <c r="B265" s="460" t="s">
        <v>2204</v>
      </c>
      <c r="C265" s="460" t="s">
        <v>2468</v>
      </c>
      <c r="D265" s="460" t="s">
        <v>2469</v>
      </c>
      <c r="E265" s="460" t="s">
        <v>210</v>
      </c>
      <c r="F265" s="1311">
        <f>SUM(F266)</f>
        <v>1</v>
      </c>
      <c r="G265" s="1011"/>
      <c r="H265" s="814">
        <f>ROUND(F265*G265,2)</f>
        <v>0</v>
      </c>
      <c r="I265" s="153" t="s">
        <v>112</v>
      </c>
      <c r="J265" s="1696"/>
      <c r="K265" s="655"/>
      <c r="N265" s="1636"/>
      <c r="O265" s="1777"/>
      <c r="Q265" s="1763"/>
      <c r="R265" s="1764"/>
    </row>
    <row r="266" spans="1:23" s="1636" customFormat="1" ht="27" customHeight="1">
      <c r="A266" s="1637"/>
      <c r="B266" s="1638"/>
      <c r="C266" s="1606"/>
      <c r="D266" s="342" t="s">
        <v>2470</v>
      </c>
      <c r="E266" s="466"/>
      <c r="F266" s="1314">
        <v>1</v>
      </c>
      <c r="G266" s="1639"/>
      <c r="H266" s="1640"/>
      <c r="I266" s="1640"/>
      <c r="J266" s="1696"/>
      <c r="K266" s="655"/>
      <c r="L266" s="195"/>
      <c r="M266" s="195"/>
      <c r="N266" s="195"/>
      <c r="O266" s="195"/>
      <c r="P266" s="195"/>
      <c r="Q266" s="1762"/>
      <c r="R266" s="1683"/>
      <c r="S266" s="195"/>
      <c r="U266" s="1750"/>
      <c r="W266" s="1750"/>
    </row>
    <row r="267" spans="1:23" s="1636" customFormat="1" ht="13.5" customHeight="1">
      <c r="A267" s="1637"/>
      <c r="B267" s="1638"/>
      <c r="C267" s="1606"/>
      <c r="D267" s="342" t="s">
        <v>2208</v>
      </c>
      <c r="E267" s="466"/>
      <c r="F267" s="1314"/>
      <c r="G267" s="1639"/>
      <c r="H267" s="1640"/>
      <c r="I267" s="1641"/>
      <c r="J267" s="1696"/>
      <c r="K267" s="1651"/>
      <c r="L267" s="1652"/>
      <c r="M267" s="195"/>
      <c r="N267" s="195"/>
      <c r="O267" s="195"/>
      <c r="P267" s="195"/>
      <c r="Q267" s="1762"/>
      <c r="R267" s="1683"/>
      <c r="S267" s="195"/>
      <c r="U267" s="1750"/>
      <c r="W267" s="1750"/>
    </row>
    <row r="268" spans="1:23" s="195" customFormat="1" ht="13.5" customHeight="1">
      <c r="A268" s="1005">
        <v>88</v>
      </c>
      <c r="B268" s="460" t="s">
        <v>2204</v>
      </c>
      <c r="C268" s="460" t="s">
        <v>2471</v>
      </c>
      <c r="D268" s="460" t="s">
        <v>2472</v>
      </c>
      <c r="E268" s="460" t="s">
        <v>210</v>
      </c>
      <c r="F268" s="1311">
        <f>SUM(F269)</f>
        <v>1</v>
      </c>
      <c r="G268" s="1011"/>
      <c r="H268" s="814">
        <f>ROUND(F268*G268,2)</f>
        <v>0</v>
      </c>
      <c r="I268" s="153" t="s">
        <v>112</v>
      </c>
      <c r="J268" s="1696"/>
      <c r="K268" s="655"/>
      <c r="N268" s="1636"/>
      <c r="O268" s="1777"/>
      <c r="Q268" s="1763"/>
      <c r="R268" s="1764"/>
    </row>
    <row r="269" spans="1:23" s="1636" customFormat="1" ht="27" customHeight="1">
      <c r="A269" s="1637"/>
      <c r="B269" s="1638"/>
      <c r="C269" s="1606"/>
      <c r="D269" s="342" t="s">
        <v>2473</v>
      </c>
      <c r="E269" s="466"/>
      <c r="F269" s="1314">
        <v>1</v>
      </c>
      <c r="G269" s="1639"/>
      <c r="H269" s="1640"/>
      <c r="I269" s="1640"/>
      <c r="J269" s="1696"/>
      <c r="K269" s="655"/>
      <c r="L269" s="195"/>
      <c r="M269" s="195"/>
      <c r="N269" s="195"/>
      <c r="O269" s="195"/>
      <c r="P269" s="195"/>
      <c r="Q269" s="1762"/>
      <c r="R269" s="1683"/>
      <c r="S269" s="195"/>
      <c r="U269" s="1750"/>
      <c r="W269" s="1750"/>
    </row>
    <row r="270" spans="1:23" s="1636" customFormat="1" ht="13.5" customHeight="1">
      <c r="A270" s="1637"/>
      <c r="B270" s="1638"/>
      <c r="C270" s="1606"/>
      <c r="D270" s="342" t="s">
        <v>2208</v>
      </c>
      <c r="E270" s="466"/>
      <c r="F270" s="1314"/>
      <c r="G270" s="1639"/>
      <c r="H270" s="1640"/>
      <c r="I270" s="1641"/>
      <c r="J270" s="1696"/>
      <c r="K270" s="1651"/>
      <c r="L270" s="1652"/>
      <c r="M270" s="195"/>
      <c r="N270" s="195"/>
      <c r="O270" s="195"/>
      <c r="P270" s="195"/>
      <c r="Q270" s="1762"/>
      <c r="R270" s="1683"/>
      <c r="S270" s="195"/>
      <c r="U270" s="1750"/>
      <c r="W270" s="1750"/>
    </row>
    <row r="271" spans="1:23" s="195" customFormat="1" ht="13.5" customHeight="1">
      <c r="A271" s="1005">
        <v>89</v>
      </c>
      <c r="B271" s="460" t="s">
        <v>2204</v>
      </c>
      <c r="C271" s="460" t="s">
        <v>2474</v>
      </c>
      <c r="D271" s="460" t="s">
        <v>2475</v>
      </c>
      <c r="E271" s="460" t="s">
        <v>210</v>
      </c>
      <c r="F271" s="1311">
        <f>SUM(F272)</f>
        <v>1</v>
      </c>
      <c r="G271" s="1011"/>
      <c r="H271" s="814">
        <f>ROUND(F271*G271,2)</f>
        <v>0</v>
      </c>
      <c r="I271" s="153" t="s">
        <v>112</v>
      </c>
      <c r="J271" s="1696"/>
      <c r="K271" s="633"/>
      <c r="N271" s="1636"/>
      <c r="O271" s="1777"/>
      <c r="Q271" s="1763"/>
      <c r="R271" s="1764"/>
    </row>
    <row r="272" spans="1:23" s="1636" customFormat="1" ht="27" customHeight="1">
      <c r="A272" s="1637"/>
      <c r="B272" s="1638"/>
      <c r="C272" s="1606"/>
      <c r="D272" s="342" t="s">
        <v>2476</v>
      </c>
      <c r="E272" s="466"/>
      <c r="F272" s="1314">
        <v>1</v>
      </c>
      <c r="G272" s="1639"/>
      <c r="H272" s="1640"/>
      <c r="I272" s="1640"/>
      <c r="J272" s="1696"/>
      <c r="K272" s="655"/>
      <c r="L272" s="195"/>
      <c r="M272" s="195"/>
      <c r="N272" s="195"/>
      <c r="O272" s="195"/>
      <c r="P272" s="195"/>
      <c r="Q272" s="1762"/>
      <c r="R272" s="1683"/>
      <c r="S272" s="195"/>
      <c r="U272" s="1750"/>
      <c r="W272" s="1750"/>
    </row>
    <row r="273" spans="1:23" s="1636" customFormat="1" ht="13.5" customHeight="1">
      <c r="A273" s="1637"/>
      <c r="B273" s="1638"/>
      <c r="C273" s="1606"/>
      <c r="D273" s="342" t="s">
        <v>2208</v>
      </c>
      <c r="E273" s="466"/>
      <c r="F273" s="1314"/>
      <c r="G273" s="1639"/>
      <c r="H273" s="1640"/>
      <c r="I273" s="1641"/>
      <c r="J273" s="1651"/>
      <c r="K273" s="1651"/>
      <c r="L273" s="1652"/>
      <c r="M273" s="195"/>
      <c r="N273" s="195"/>
      <c r="O273" s="195"/>
      <c r="P273" s="195"/>
      <c r="Q273" s="1762"/>
      <c r="R273" s="1683"/>
      <c r="S273" s="195"/>
      <c r="U273" s="1750"/>
      <c r="W273" s="1750"/>
    </row>
    <row r="274" spans="1:23" s="195" customFormat="1" ht="13.5" customHeight="1">
      <c r="A274" s="1005">
        <v>90</v>
      </c>
      <c r="B274" s="460" t="s">
        <v>2204</v>
      </c>
      <c r="C274" s="460" t="s">
        <v>2477</v>
      </c>
      <c r="D274" s="460" t="s">
        <v>2478</v>
      </c>
      <c r="E274" s="460" t="s">
        <v>210</v>
      </c>
      <c r="F274" s="1311">
        <f>SUM(F275)</f>
        <v>1</v>
      </c>
      <c r="G274" s="1011"/>
      <c r="H274" s="814">
        <f>ROUND(F274*G274,2)</f>
        <v>0</v>
      </c>
      <c r="I274" s="153" t="s">
        <v>112</v>
      </c>
      <c r="J274" s="1696"/>
      <c r="K274" s="633"/>
      <c r="N274" s="1636"/>
      <c r="O274" s="1777"/>
      <c r="Q274" s="1763"/>
      <c r="R274" s="1764"/>
    </row>
    <row r="275" spans="1:23" s="1636" customFormat="1" ht="27" customHeight="1">
      <c r="A275" s="1637"/>
      <c r="B275" s="1638"/>
      <c r="C275" s="1606"/>
      <c r="D275" s="342" t="s">
        <v>2479</v>
      </c>
      <c r="E275" s="466"/>
      <c r="F275" s="1314">
        <v>1</v>
      </c>
      <c r="G275" s="1639"/>
      <c r="H275" s="1640"/>
      <c r="I275" s="1640"/>
      <c r="J275" s="1696"/>
      <c r="K275" s="655"/>
      <c r="L275" s="195"/>
      <c r="M275" s="195"/>
      <c r="N275" s="195"/>
      <c r="O275" s="195"/>
      <c r="P275" s="195"/>
      <c r="Q275" s="1762"/>
      <c r="R275" s="1683"/>
      <c r="S275" s="195"/>
      <c r="U275" s="1750"/>
      <c r="W275" s="1750"/>
    </row>
    <row r="276" spans="1:23" s="1636" customFormat="1" ht="13.5" customHeight="1">
      <c r="A276" s="1637"/>
      <c r="B276" s="1638"/>
      <c r="C276" s="1606"/>
      <c r="D276" s="342" t="s">
        <v>2208</v>
      </c>
      <c r="E276" s="466"/>
      <c r="F276" s="1314"/>
      <c r="G276" s="1639"/>
      <c r="H276" s="1640"/>
      <c r="I276" s="1641"/>
      <c r="J276" s="1651"/>
      <c r="K276" s="1651"/>
      <c r="L276" s="1652"/>
      <c r="M276" s="195"/>
      <c r="N276" s="195"/>
      <c r="O276" s="195"/>
      <c r="P276" s="195"/>
      <c r="Q276" s="1762"/>
      <c r="R276" s="1683"/>
      <c r="S276" s="195"/>
      <c r="U276" s="1750"/>
      <c r="W276" s="1750"/>
    </row>
    <row r="277" spans="1:23" s="1291" customFormat="1" ht="13.5" customHeight="1">
      <c r="A277" s="1347">
        <v>91</v>
      </c>
      <c r="B277" s="460" t="s">
        <v>2204</v>
      </c>
      <c r="C277" s="460" t="s">
        <v>2480</v>
      </c>
      <c r="D277" s="1337" t="s">
        <v>2481</v>
      </c>
      <c r="E277" s="1348" t="s">
        <v>49</v>
      </c>
      <c r="F277" s="1349">
        <f>SUM(F278)</f>
        <v>1</v>
      </c>
      <c r="G277" s="1350"/>
      <c r="H277" s="814">
        <f>ROUND(F277*G277,2)</f>
        <v>0</v>
      </c>
      <c r="I277" s="153" t="s">
        <v>112</v>
      </c>
    </row>
    <row r="278" spans="1:23" s="1291" customFormat="1" ht="27" customHeight="1">
      <c r="A278" s="1335"/>
      <c r="B278" s="1337"/>
      <c r="C278" s="1337"/>
      <c r="D278" s="1343" t="s">
        <v>2482</v>
      </c>
      <c r="E278" s="1389"/>
      <c r="F278" s="1344">
        <v>1</v>
      </c>
      <c r="G278" s="1339"/>
      <c r="H278" s="1339"/>
      <c r="I278" s="1697"/>
      <c r="J278" s="1361"/>
      <c r="K278" s="1391"/>
    </row>
    <row r="279" spans="1:23" s="1291" customFormat="1" ht="67.5" customHeight="1">
      <c r="A279" s="739"/>
      <c r="B279" s="1646"/>
      <c r="C279" s="1352"/>
      <c r="D279" s="251" t="s">
        <v>2483</v>
      </c>
      <c r="E279" s="1343"/>
      <c r="F279" s="1676"/>
      <c r="G279" s="1355"/>
      <c r="H279" s="1355"/>
      <c r="I279" s="1356"/>
      <c r="J279" s="1677"/>
      <c r="K279" s="1678"/>
      <c r="L279" s="1679"/>
      <c r="M279" s="1679"/>
    </row>
    <row r="280" spans="1:23" s="195" customFormat="1" ht="13.5" customHeight="1">
      <c r="A280" s="1005">
        <v>92</v>
      </c>
      <c r="B280" s="460" t="s">
        <v>2204</v>
      </c>
      <c r="C280" s="460">
        <v>998734202</v>
      </c>
      <c r="D280" s="460" t="s">
        <v>2484</v>
      </c>
      <c r="E280" s="460" t="s">
        <v>10</v>
      </c>
      <c r="F280" s="1311">
        <v>0.27</v>
      </c>
      <c r="G280" s="1011"/>
      <c r="H280" s="814">
        <f>ROUND(F280*G280,2)</f>
        <v>0</v>
      </c>
      <c r="I280" s="153" t="s">
        <v>138</v>
      </c>
      <c r="J280" s="1698"/>
    </row>
    <row r="281" spans="1:23" s="195" customFormat="1" ht="13.5" customHeight="1">
      <c r="A281" s="1005">
        <v>93</v>
      </c>
      <c r="B281" s="460" t="s">
        <v>369</v>
      </c>
      <c r="C281" s="460" t="s">
        <v>2257</v>
      </c>
      <c r="D281" s="460" t="s">
        <v>2258</v>
      </c>
      <c r="E281" s="460" t="s">
        <v>69</v>
      </c>
      <c r="F281" s="1311">
        <f>F282</f>
        <v>10</v>
      </c>
      <c r="G281" s="1011"/>
      <c r="H281" s="814">
        <f>ROUND(F281*G281,2)</f>
        <v>0</v>
      </c>
      <c r="I281" s="153" t="s">
        <v>138</v>
      </c>
      <c r="J281" s="1680"/>
    </row>
    <row r="282" spans="1:23" s="1636" customFormat="1" ht="13.5" customHeight="1">
      <c r="A282" s="1637"/>
      <c r="B282" s="1638"/>
      <c r="C282" s="1606"/>
      <c r="D282" s="342" t="s">
        <v>2485</v>
      </c>
      <c r="E282" s="466"/>
      <c r="F282" s="1314">
        <v>10</v>
      </c>
      <c r="G282" s="1639"/>
      <c r="H282" s="1640"/>
      <c r="I282" s="1641"/>
      <c r="J282" s="1749"/>
      <c r="U282" s="1750"/>
      <c r="W282" s="1750"/>
    </row>
    <row r="283" spans="1:23" s="1636" customFormat="1" ht="13.5" customHeight="1">
      <c r="A283" s="1637"/>
      <c r="B283" s="1638"/>
      <c r="C283" s="1606"/>
      <c r="D283" s="342" t="s">
        <v>2486</v>
      </c>
      <c r="E283" s="466"/>
      <c r="F283" s="1314"/>
      <c r="G283" s="1639"/>
      <c r="H283" s="1640"/>
      <c r="I283" s="1641"/>
      <c r="J283" s="1749"/>
      <c r="U283" s="1750"/>
      <c r="W283" s="1750"/>
    </row>
    <row r="284" spans="1:23" s="195" customFormat="1" ht="13.5" customHeight="1">
      <c r="A284" s="1005"/>
      <c r="B284" s="460"/>
      <c r="C284" s="455">
        <v>735</v>
      </c>
      <c r="D284" s="455" t="s">
        <v>2487</v>
      </c>
      <c r="E284" s="455"/>
      <c r="F284" s="1642"/>
      <c r="G284" s="1007"/>
      <c r="H284" s="1007">
        <f>SUM(H285:H387)</f>
        <v>0</v>
      </c>
      <c r="I284" s="153"/>
    </row>
    <row r="285" spans="1:23" s="195" customFormat="1" ht="13.5" customHeight="1">
      <c r="A285" s="1005">
        <v>94</v>
      </c>
      <c r="B285" s="460">
        <v>731</v>
      </c>
      <c r="C285" s="460" t="s">
        <v>2488</v>
      </c>
      <c r="D285" s="460" t="s">
        <v>2489</v>
      </c>
      <c r="E285" s="460" t="s">
        <v>165</v>
      </c>
      <c r="F285" s="1311">
        <v>33.07</v>
      </c>
      <c r="G285" s="1011"/>
      <c r="H285" s="814">
        <f t="shared" ref="H285:H292" si="0">ROUND(F285*G285,2)</f>
        <v>0</v>
      </c>
      <c r="I285" s="1345" t="s">
        <v>112</v>
      </c>
      <c r="J285" s="1778"/>
      <c r="K285" s="1779"/>
      <c r="L285" s="1699"/>
    </row>
    <row r="286" spans="1:23" s="195" customFormat="1" ht="13.5" customHeight="1">
      <c r="A286" s="1005">
        <v>95</v>
      </c>
      <c r="B286" s="460">
        <v>731</v>
      </c>
      <c r="C286" s="460" t="s">
        <v>2490</v>
      </c>
      <c r="D286" s="460" t="s">
        <v>2491</v>
      </c>
      <c r="E286" s="460" t="s">
        <v>165</v>
      </c>
      <c r="F286" s="1311">
        <v>33.07</v>
      </c>
      <c r="G286" s="1011"/>
      <c r="H286" s="814">
        <f t="shared" si="0"/>
        <v>0</v>
      </c>
      <c r="I286" s="1345" t="s">
        <v>112</v>
      </c>
      <c r="J286" s="1780"/>
      <c r="K286" s="1781"/>
      <c r="L286" s="1700"/>
      <c r="M286" s="1701"/>
    </row>
    <row r="287" spans="1:23" s="195" customFormat="1" ht="13.5" customHeight="1">
      <c r="A287" s="1005">
        <v>96</v>
      </c>
      <c r="B287" s="460">
        <v>731</v>
      </c>
      <c r="C287" s="460">
        <v>735191905</v>
      </c>
      <c r="D287" s="460" t="s">
        <v>2492</v>
      </c>
      <c r="E287" s="460" t="s">
        <v>210</v>
      </c>
      <c r="F287" s="1311">
        <v>67</v>
      </c>
      <c r="G287" s="1011"/>
      <c r="H287" s="814">
        <f t="shared" si="0"/>
        <v>0</v>
      </c>
      <c r="I287" s="153" t="s">
        <v>138</v>
      </c>
      <c r="J287" s="1702"/>
      <c r="K287" s="1700"/>
      <c r="L287" s="1700"/>
      <c r="M287" s="1701"/>
    </row>
    <row r="288" spans="1:23" s="195" customFormat="1" ht="13.5" customHeight="1">
      <c r="A288" s="1005">
        <v>97</v>
      </c>
      <c r="B288" s="460">
        <v>731</v>
      </c>
      <c r="C288" s="460">
        <v>735191910</v>
      </c>
      <c r="D288" s="460" t="s">
        <v>2493</v>
      </c>
      <c r="E288" s="460" t="s">
        <v>165</v>
      </c>
      <c r="F288" s="1311">
        <v>33.07</v>
      </c>
      <c r="G288" s="1011"/>
      <c r="H288" s="814">
        <f t="shared" si="0"/>
        <v>0</v>
      </c>
      <c r="I288" s="153" t="s">
        <v>138</v>
      </c>
      <c r="J288" s="1680"/>
      <c r="L288" s="1700"/>
      <c r="M288" s="1700"/>
    </row>
    <row r="289" spans="1:24" s="195" customFormat="1" ht="13.5" customHeight="1">
      <c r="A289" s="1005">
        <v>98</v>
      </c>
      <c r="B289" s="460">
        <v>731</v>
      </c>
      <c r="C289" s="460" t="s">
        <v>2494</v>
      </c>
      <c r="D289" s="460" t="s">
        <v>2495</v>
      </c>
      <c r="E289" s="460" t="s">
        <v>210</v>
      </c>
      <c r="F289" s="1311">
        <v>67</v>
      </c>
      <c r="G289" s="1011"/>
      <c r="H289" s="814">
        <f t="shared" si="0"/>
        <v>0</v>
      </c>
      <c r="I289" s="1345" t="s">
        <v>112</v>
      </c>
      <c r="J289" s="1680"/>
      <c r="Q289" s="237"/>
    </row>
    <row r="290" spans="1:24" s="195" customFormat="1" ht="13.5" customHeight="1">
      <c r="A290" s="1005">
        <v>99</v>
      </c>
      <c r="B290" s="460">
        <v>731</v>
      </c>
      <c r="C290" s="460" t="s">
        <v>2496</v>
      </c>
      <c r="D290" s="460" t="s">
        <v>2497</v>
      </c>
      <c r="E290" s="460" t="s">
        <v>69</v>
      </c>
      <c r="F290" s="1311">
        <v>72</v>
      </c>
      <c r="G290" s="1011"/>
      <c r="H290" s="814">
        <f t="shared" si="0"/>
        <v>0</v>
      </c>
      <c r="I290" s="1345" t="s">
        <v>112</v>
      </c>
      <c r="J290" s="1680"/>
      <c r="Q290" s="237"/>
    </row>
    <row r="291" spans="1:24" s="195" customFormat="1" ht="13.5" customHeight="1">
      <c r="A291" s="1005">
        <v>100</v>
      </c>
      <c r="B291" s="460">
        <v>731</v>
      </c>
      <c r="C291" s="460" t="s">
        <v>2498</v>
      </c>
      <c r="D291" s="460" t="s">
        <v>2499</v>
      </c>
      <c r="E291" s="460" t="s">
        <v>49</v>
      </c>
      <c r="F291" s="1311">
        <v>1</v>
      </c>
      <c r="G291" s="1011"/>
      <c r="H291" s="814">
        <f t="shared" si="0"/>
        <v>0</v>
      </c>
      <c r="I291" s="1345" t="s">
        <v>112</v>
      </c>
      <c r="J291" s="1680"/>
    </row>
    <row r="292" spans="1:24" s="195" customFormat="1" ht="13.5" customHeight="1">
      <c r="A292" s="1005">
        <v>101</v>
      </c>
      <c r="B292" s="460">
        <v>731</v>
      </c>
      <c r="C292" s="460" t="s">
        <v>2500</v>
      </c>
      <c r="D292" s="460" t="s">
        <v>2501</v>
      </c>
      <c r="E292" s="460" t="s">
        <v>210</v>
      </c>
      <c r="F292" s="1311">
        <f>SUM(F294:F294)</f>
        <v>1</v>
      </c>
      <c r="G292" s="1011"/>
      <c r="H292" s="814">
        <f t="shared" si="0"/>
        <v>0</v>
      </c>
      <c r="I292" s="1345" t="s">
        <v>112</v>
      </c>
      <c r="J292" s="1782"/>
      <c r="K292" s="1703"/>
    </row>
    <row r="293" spans="1:24" s="1710" customFormat="1" ht="27" customHeight="1">
      <c r="A293" s="739"/>
      <c r="B293" s="1704"/>
      <c r="C293" s="1705"/>
      <c r="D293" s="1706" t="s">
        <v>2502</v>
      </c>
      <c r="E293" s="1704"/>
      <c r="F293" s="1707"/>
      <c r="G293" s="1708"/>
      <c r="H293" s="1708"/>
      <c r="I293" s="1709"/>
      <c r="J293" s="1782"/>
      <c r="K293" s="1783"/>
      <c r="L293" s="1784"/>
      <c r="M293" s="914"/>
      <c r="N293" s="1651"/>
      <c r="O293" s="655"/>
      <c r="P293" s="1651"/>
      <c r="Q293" s="1651"/>
      <c r="R293" s="1651"/>
      <c r="X293" s="1147"/>
    </row>
    <row r="294" spans="1:24" s="1291" customFormat="1" ht="13.5" customHeight="1">
      <c r="A294" s="1711"/>
      <c r="B294" s="1343"/>
      <c r="C294" s="1343"/>
      <c r="D294" s="1343" t="s">
        <v>1834</v>
      </c>
      <c r="E294" s="1343"/>
      <c r="F294" s="1344">
        <v>1</v>
      </c>
      <c r="G294" s="1712"/>
      <c r="H294" s="1712"/>
      <c r="I294" s="1713"/>
      <c r="J294" s="1782"/>
      <c r="K294" s="1783"/>
      <c r="R294" s="1340"/>
    </row>
    <row r="295" spans="1:24" s="1699" customFormat="1" ht="40.5" customHeight="1">
      <c r="A295" s="1714"/>
      <c r="B295" s="1536"/>
      <c r="C295" s="1536"/>
      <c r="D295" s="1715" t="s">
        <v>2503</v>
      </c>
      <c r="E295" s="1536"/>
      <c r="F295" s="1716"/>
      <c r="G295" s="1717"/>
      <c r="H295" s="1717"/>
      <c r="I295" s="1713"/>
      <c r="J295" s="1782"/>
      <c r="K295" s="1783"/>
      <c r="M295" s="1785"/>
      <c r="N295" s="1786"/>
    </row>
    <row r="296" spans="1:24" s="1699" customFormat="1" ht="13.5" customHeight="1">
      <c r="A296" s="1714"/>
      <c r="B296" s="1536"/>
      <c r="C296" s="1536"/>
      <c r="D296" s="1715" t="s">
        <v>2504</v>
      </c>
      <c r="E296" s="1536"/>
      <c r="F296" s="1716"/>
      <c r="G296" s="1717"/>
      <c r="H296" s="1717"/>
      <c r="I296" s="1713"/>
      <c r="J296" s="1713"/>
    </row>
    <row r="297" spans="1:24" s="195" customFormat="1" ht="13.5" customHeight="1">
      <c r="A297" s="1005">
        <v>102</v>
      </c>
      <c r="B297" s="460">
        <v>731</v>
      </c>
      <c r="C297" s="460" t="s">
        <v>2505</v>
      </c>
      <c r="D297" s="460" t="s">
        <v>2506</v>
      </c>
      <c r="E297" s="460" t="s">
        <v>210</v>
      </c>
      <c r="F297" s="1311">
        <f>SUM(F299:F300)</f>
        <v>4</v>
      </c>
      <c r="G297" s="1011"/>
      <c r="H297" s="814">
        <f>ROUND(F297*G297,2)</f>
        <v>0</v>
      </c>
      <c r="I297" s="1345" t="s">
        <v>112</v>
      </c>
      <c r="J297" s="1782"/>
      <c r="K297" s="1703"/>
    </row>
    <row r="298" spans="1:24" s="1710" customFormat="1" ht="27" customHeight="1">
      <c r="A298" s="739"/>
      <c r="B298" s="1704"/>
      <c r="C298" s="1705"/>
      <c r="D298" s="1706" t="s">
        <v>2502</v>
      </c>
      <c r="E298" s="1704"/>
      <c r="F298" s="1707"/>
      <c r="G298" s="1708"/>
      <c r="H298" s="1708"/>
      <c r="I298" s="1709"/>
      <c r="J298" s="1782"/>
      <c r="K298" s="1783"/>
      <c r="L298" s="1784"/>
      <c r="M298" s="914"/>
      <c r="N298" s="1651"/>
      <c r="O298" s="655"/>
      <c r="P298" s="1651"/>
      <c r="Q298" s="1651"/>
      <c r="R298" s="1651"/>
      <c r="X298" s="1147"/>
    </row>
    <row r="299" spans="1:24" s="1291" customFormat="1" ht="13.5" customHeight="1">
      <c r="A299" s="1711"/>
      <c r="B299" s="1343"/>
      <c r="C299" s="1343"/>
      <c r="D299" s="1343" t="s">
        <v>1834</v>
      </c>
      <c r="E299" s="1343"/>
      <c r="F299" s="1344">
        <v>2</v>
      </c>
      <c r="G299" s="1712"/>
      <c r="H299" s="1712"/>
      <c r="I299" s="1713"/>
      <c r="J299" s="1782"/>
      <c r="K299" s="1783"/>
      <c r="R299" s="1340"/>
    </row>
    <row r="300" spans="1:24" s="1291" customFormat="1" ht="13.5" customHeight="1">
      <c r="A300" s="1711"/>
      <c r="B300" s="1343"/>
      <c r="C300" s="1343"/>
      <c r="D300" s="1343" t="s">
        <v>1835</v>
      </c>
      <c r="E300" s="1343"/>
      <c r="F300" s="1344">
        <v>2</v>
      </c>
      <c r="G300" s="1712"/>
      <c r="H300" s="1712"/>
      <c r="I300" s="1713"/>
      <c r="J300" s="1782"/>
      <c r="K300" s="1783"/>
      <c r="R300" s="1340"/>
    </row>
    <row r="301" spans="1:24" s="1699" customFormat="1" ht="40.5" customHeight="1">
      <c r="A301" s="1714"/>
      <c r="B301" s="1536"/>
      <c r="C301" s="1536"/>
      <c r="D301" s="1715" t="s">
        <v>2503</v>
      </c>
      <c r="E301" s="1536"/>
      <c r="F301" s="1716"/>
      <c r="G301" s="1717"/>
      <c r="H301" s="1717"/>
      <c r="I301" s="1713"/>
      <c r="J301" s="1787"/>
      <c r="K301" s="1788"/>
      <c r="M301" s="1785"/>
      <c r="N301" s="1786"/>
    </row>
    <row r="302" spans="1:24" s="1699" customFormat="1" ht="13.5" customHeight="1">
      <c r="A302" s="1714"/>
      <c r="B302" s="1536"/>
      <c r="C302" s="1536"/>
      <c r="D302" s="1715" t="s">
        <v>2504</v>
      </c>
      <c r="E302" s="1536"/>
      <c r="F302" s="1716"/>
      <c r="G302" s="1717"/>
      <c r="H302" s="1717"/>
      <c r="I302" s="1713"/>
      <c r="J302" s="1713"/>
    </row>
    <row r="303" spans="1:24" s="195" customFormat="1" ht="13.5" customHeight="1">
      <c r="A303" s="1005">
        <v>103</v>
      </c>
      <c r="B303" s="460">
        <v>731</v>
      </c>
      <c r="C303" s="460" t="s">
        <v>2507</v>
      </c>
      <c r="D303" s="460" t="s">
        <v>2508</v>
      </c>
      <c r="E303" s="460" t="s">
        <v>210</v>
      </c>
      <c r="F303" s="1311">
        <f>SUM(F305:F306)</f>
        <v>7</v>
      </c>
      <c r="G303" s="1011"/>
      <c r="H303" s="814">
        <f>ROUND(F303*G303,2)</f>
        <v>0</v>
      </c>
      <c r="I303" s="1345" t="s">
        <v>112</v>
      </c>
      <c r="J303" s="1782"/>
      <c r="K303" s="1703"/>
    </row>
    <row r="304" spans="1:24" s="1710" customFormat="1" ht="27" customHeight="1">
      <c r="A304" s="739"/>
      <c r="B304" s="1704"/>
      <c r="C304" s="1705"/>
      <c r="D304" s="1706" t="s">
        <v>2509</v>
      </c>
      <c r="E304" s="1704"/>
      <c r="F304" s="1707"/>
      <c r="G304" s="1708"/>
      <c r="H304" s="1708"/>
      <c r="I304" s="1718"/>
      <c r="J304" s="1782"/>
      <c r="K304" s="1783"/>
      <c r="L304" s="1784"/>
      <c r="M304" s="914"/>
      <c r="N304" s="655"/>
      <c r="O304" s="655"/>
      <c r="P304" s="1651"/>
      <c r="Q304" s="1651"/>
      <c r="R304" s="1651"/>
      <c r="X304" s="1147"/>
    </row>
    <row r="305" spans="1:24" s="1291" customFormat="1" ht="13.5" customHeight="1">
      <c r="A305" s="1711"/>
      <c r="B305" s="1343"/>
      <c r="C305" s="1343"/>
      <c r="D305" s="1343" t="s">
        <v>1834</v>
      </c>
      <c r="E305" s="1343"/>
      <c r="F305" s="1344">
        <v>5</v>
      </c>
      <c r="G305" s="1712"/>
      <c r="H305" s="1712"/>
      <c r="I305" s="1713"/>
      <c r="J305" s="1782"/>
      <c r="K305" s="1783"/>
      <c r="N305" s="1603"/>
      <c r="P305" s="458"/>
      <c r="R305" s="1340"/>
    </row>
    <row r="306" spans="1:24" s="1291" customFormat="1" ht="13.5" customHeight="1">
      <c r="A306" s="1711"/>
      <c r="B306" s="1343"/>
      <c r="C306" s="1343"/>
      <c r="D306" s="1343" t="s">
        <v>1835</v>
      </c>
      <c r="E306" s="1343"/>
      <c r="F306" s="1344">
        <v>2</v>
      </c>
      <c r="G306" s="1712"/>
      <c r="H306" s="1712"/>
      <c r="I306" s="1713"/>
      <c r="J306" s="1782"/>
      <c r="K306" s="1783"/>
      <c r="N306" s="1603"/>
      <c r="P306" s="458"/>
      <c r="R306" s="1340"/>
    </row>
    <row r="307" spans="1:24" ht="40.5" customHeight="1">
      <c r="A307" s="1335"/>
      <c r="B307" s="1337"/>
      <c r="C307" s="1337"/>
      <c r="D307" s="1719" t="s">
        <v>2510</v>
      </c>
      <c r="E307" s="1337"/>
      <c r="F307" s="1354"/>
      <c r="G307" s="1339"/>
      <c r="H307" s="1339"/>
      <c r="I307" s="1713"/>
      <c r="J307" s="1789"/>
      <c r="K307" s="1790"/>
      <c r="L307" s="1790"/>
      <c r="M307" s="655"/>
    </row>
    <row r="308" spans="1:24" s="1699" customFormat="1" ht="13.5" customHeight="1">
      <c r="A308" s="1714"/>
      <c r="B308" s="1536"/>
      <c r="C308" s="1536"/>
      <c r="D308" s="1715" t="s">
        <v>2504</v>
      </c>
      <c r="E308" s="1536"/>
      <c r="F308" s="1716"/>
      <c r="G308" s="1717"/>
      <c r="H308" s="1717"/>
      <c r="I308" s="1713"/>
    </row>
    <row r="309" spans="1:24" s="195" customFormat="1" ht="13.5" customHeight="1">
      <c r="A309" s="1005">
        <v>104</v>
      </c>
      <c r="B309" s="460">
        <v>731</v>
      </c>
      <c r="C309" s="460" t="s">
        <v>2511</v>
      </c>
      <c r="D309" s="460" t="s">
        <v>2512</v>
      </c>
      <c r="E309" s="460" t="s">
        <v>210</v>
      </c>
      <c r="F309" s="1311">
        <f>SUM(F311:F311)</f>
        <v>2</v>
      </c>
      <c r="G309" s="1011"/>
      <c r="H309" s="814">
        <f>ROUND(F309*G309,2)</f>
        <v>0</v>
      </c>
      <c r="I309" s="1345" t="s">
        <v>112</v>
      </c>
      <c r="J309" s="1782"/>
      <c r="K309" s="1703"/>
    </row>
    <row r="310" spans="1:24" s="1710" customFormat="1" ht="27" customHeight="1">
      <c r="A310" s="739"/>
      <c r="B310" s="1704"/>
      <c r="C310" s="1705"/>
      <c r="D310" s="1706" t="s">
        <v>2509</v>
      </c>
      <c r="E310" s="1704"/>
      <c r="F310" s="1707"/>
      <c r="G310" s="1708"/>
      <c r="H310" s="1708"/>
      <c r="I310" s="1718"/>
      <c r="J310" s="1782"/>
      <c r="K310" s="1783"/>
      <c r="L310" s="1784"/>
      <c r="M310" s="914"/>
      <c r="N310" s="655"/>
      <c r="O310" s="655"/>
      <c r="P310" s="1651"/>
      <c r="Q310" s="1651"/>
      <c r="R310" s="1651"/>
      <c r="X310" s="1147"/>
    </row>
    <row r="311" spans="1:24" s="1291" customFormat="1" ht="13.5" customHeight="1">
      <c r="A311" s="1711"/>
      <c r="B311" s="1343"/>
      <c r="C311" s="1343"/>
      <c r="D311" s="1343" t="s">
        <v>1834</v>
      </c>
      <c r="E311" s="1343"/>
      <c r="F311" s="1344">
        <v>2</v>
      </c>
      <c r="G311" s="1712"/>
      <c r="H311" s="1712"/>
      <c r="I311" s="1713"/>
      <c r="J311" s="1782"/>
      <c r="K311" s="1783"/>
      <c r="N311" s="1603"/>
      <c r="P311" s="458"/>
      <c r="R311" s="1340"/>
    </row>
    <row r="312" spans="1:24" ht="40.5" customHeight="1">
      <c r="A312" s="1335"/>
      <c r="B312" s="1337"/>
      <c r="C312" s="1337"/>
      <c r="D312" s="1719" t="s">
        <v>2510</v>
      </c>
      <c r="E312" s="1337"/>
      <c r="F312" s="1354"/>
      <c r="G312" s="1339"/>
      <c r="H312" s="1339"/>
      <c r="I312" s="1713"/>
      <c r="J312" s="1782"/>
      <c r="K312" s="1783"/>
      <c r="L312" s="1790"/>
      <c r="M312" s="655"/>
    </row>
    <row r="313" spans="1:24" s="1699" customFormat="1" ht="13.5" customHeight="1">
      <c r="A313" s="1714"/>
      <c r="B313" s="1536"/>
      <c r="C313" s="1536"/>
      <c r="D313" s="1715" t="s">
        <v>2504</v>
      </c>
      <c r="E313" s="1536"/>
      <c r="F313" s="1716"/>
      <c r="G313" s="1717"/>
      <c r="H313" s="1717"/>
      <c r="I313" s="1713"/>
    </row>
    <row r="314" spans="1:24" s="195" customFormat="1" ht="13.5" customHeight="1">
      <c r="A314" s="1005">
        <v>105</v>
      </c>
      <c r="B314" s="460">
        <v>731</v>
      </c>
      <c r="C314" s="460" t="s">
        <v>2513</v>
      </c>
      <c r="D314" s="460" t="s">
        <v>2514</v>
      </c>
      <c r="E314" s="460" t="s">
        <v>210</v>
      </c>
      <c r="F314" s="1311">
        <f>SUM(F316:F317)</f>
        <v>11</v>
      </c>
      <c r="G314" s="1011"/>
      <c r="H314" s="814">
        <f>ROUND(F314*G314,2)</f>
        <v>0</v>
      </c>
      <c r="I314" s="1345" t="s">
        <v>112</v>
      </c>
      <c r="J314" s="1782"/>
      <c r="K314" s="1703"/>
    </row>
    <row r="315" spans="1:24" s="1710" customFormat="1" ht="27" customHeight="1">
      <c r="A315" s="739"/>
      <c r="B315" s="1704"/>
      <c r="C315" s="1705"/>
      <c r="D315" s="1706" t="s">
        <v>2509</v>
      </c>
      <c r="E315" s="1704"/>
      <c r="F315" s="1707"/>
      <c r="G315" s="1708"/>
      <c r="H315" s="1708"/>
      <c r="I315" s="1718"/>
      <c r="J315" s="1782"/>
      <c r="K315" s="1783"/>
      <c r="L315" s="1784"/>
      <c r="M315" s="914"/>
      <c r="N315" s="655"/>
      <c r="O315" s="655"/>
      <c r="P315" s="1651"/>
      <c r="Q315" s="1651"/>
      <c r="R315" s="1651"/>
      <c r="X315" s="1147"/>
    </row>
    <row r="316" spans="1:24" s="1291" customFormat="1" ht="13.5" customHeight="1">
      <c r="A316" s="1711"/>
      <c r="B316" s="1343"/>
      <c r="C316" s="1343"/>
      <c r="D316" s="1343" t="s">
        <v>1834</v>
      </c>
      <c r="E316" s="1343"/>
      <c r="F316" s="1344">
        <v>4</v>
      </c>
      <c r="G316" s="1712"/>
      <c r="H316" s="1712"/>
      <c r="I316" s="1713"/>
      <c r="J316" s="1782"/>
      <c r="K316" s="1783"/>
      <c r="N316" s="1603"/>
      <c r="P316" s="458"/>
      <c r="R316" s="1340"/>
    </row>
    <row r="317" spans="1:24" s="1291" customFormat="1" ht="13.5" customHeight="1">
      <c r="A317" s="1711"/>
      <c r="B317" s="1343"/>
      <c r="C317" s="1343"/>
      <c r="D317" s="1343" t="s">
        <v>1835</v>
      </c>
      <c r="E317" s="1343"/>
      <c r="F317" s="1344">
        <v>7</v>
      </c>
      <c r="G317" s="1712"/>
      <c r="H317" s="1712"/>
      <c r="I317" s="1713"/>
      <c r="J317" s="1782"/>
      <c r="K317" s="1783"/>
      <c r="N317" s="1603"/>
      <c r="P317" s="458"/>
      <c r="R317" s="1340"/>
    </row>
    <row r="318" spans="1:24" ht="40.5" customHeight="1">
      <c r="A318" s="1335"/>
      <c r="B318" s="1337"/>
      <c r="C318" s="1337"/>
      <c r="D318" s="1719" t="s">
        <v>2510</v>
      </c>
      <c r="E318" s="1337"/>
      <c r="F318" s="1354"/>
      <c r="G318" s="1339"/>
      <c r="H318" s="1339"/>
      <c r="I318" s="1713"/>
      <c r="J318" s="1789"/>
      <c r="K318" s="1790"/>
      <c r="L318" s="1790"/>
      <c r="M318" s="655"/>
    </row>
    <row r="319" spans="1:24" s="1699" customFormat="1" ht="13.5" customHeight="1">
      <c r="A319" s="1714"/>
      <c r="B319" s="1536"/>
      <c r="C319" s="1536"/>
      <c r="D319" s="1715" t="s">
        <v>2504</v>
      </c>
      <c r="E319" s="1536"/>
      <c r="F319" s="1716"/>
      <c r="G319" s="1717"/>
      <c r="H319" s="1717"/>
      <c r="I319" s="1713"/>
    </row>
    <row r="320" spans="1:24" s="195" customFormat="1" ht="13.5" customHeight="1">
      <c r="A320" s="1005">
        <v>106</v>
      </c>
      <c r="B320" s="460">
        <v>731</v>
      </c>
      <c r="C320" s="460" t="s">
        <v>2515</v>
      </c>
      <c r="D320" s="460" t="s">
        <v>2516</v>
      </c>
      <c r="E320" s="460" t="s">
        <v>210</v>
      </c>
      <c r="F320" s="1311">
        <f>SUM(F322:F323)</f>
        <v>9</v>
      </c>
      <c r="G320" s="1011"/>
      <c r="H320" s="814">
        <f>ROUND(F320*G320,2)</f>
        <v>0</v>
      </c>
      <c r="I320" s="1345" t="s">
        <v>112</v>
      </c>
      <c r="J320" s="1782"/>
      <c r="K320" s="1703"/>
    </row>
    <row r="321" spans="1:24" s="1710" customFormat="1" ht="27" customHeight="1">
      <c r="A321" s="739"/>
      <c r="B321" s="1704"/>
      <c r="C321" s="1705"/>
      <c r="D321" s="1706" t="s">
        <v>2509</v>
      </c>
      <c r="E321" s="1704"/>
      <c r="F321" s="1707"/>
      <c r="G321" s="1708"/>
      <c r="H321" s="1708"/>
      <c r="I321" s="1718"/>
      <c r="J321" s="1782"/>
      <c r="K321" s="1783"/>
      <c r="L321" s="1784"/>
      <c r="M321" s="914"/>
      <c r="N321" s="655"/>
      <c r="O321" s="655"/>
      <c r="P321" s="1651"/>
      <c r="Q321" s="1651"/>
      <c r="R321" s="1651"/>
      <c r="X321" s="1147"/>
    </row>
    <row r="322" spans="1:24" s="1291" customFormat="1" ht="13.5" customHeight="1">
      <c r="A322" s="1711"/>
      <c r="B322" s="1343"/>
      <c r="C322" s="1343"/>
      <c r="D322" s="1343" t="s">
        <v>1834</v>
      </c>
      <c r="E322" s="1343"/>
      <c r="F322" s="1344">
        <v>1</v>
      </c>
      <c r="G322" s="1712"/>
      <c r="H322" s="1712"/>
      <c r="I322" s="1713"/>
      <c r="J322" s="1782"/>
      <c r="K322" s="1783"/>
      <c r="N322" s="1603"/>
      <c r="P322" s="458"/>
      <c r="R322" s="1340"/>
    </row>
    <row r="323" spans="1:24" s="1291" customFormat="1" ht="13.5" customHeight="1">
      <c r="A323" s="1711"/>
      <c r="B323" s="1343"/>
      <c r="C323" s="1343"/>
      <c r="D323" s="1343" t="s">
        <v>1835</v>
      </c>
      <c r="E323" s="1343"/>
      <c r="F323" s="1344">
        <v>8</v>
      </c>
      <c r="G323" s="1712"/>
      <c r="H323" s="1712"/>
      <c r="I323" s="1713"/>
      <c r="J323" s="1782"/>
      <c r="K323" s="1783"/>
      <c r="N323" s="1603"/>
      <c r="P323" s="458"/>
      <c r="R323" s="1340"/>
    </row>
    <row r="324" spans="1:24" ht="40.5" customHeight="1">
      <c r="A324" s="1335"/>
      <c r="B324" s="1337"/>
      <c r="C324" s="1337"/>
      <c r="D324" s="1719" t="s">
        <v>2510</v>
      </c>
      <c r="E324" s="1337"/>
      <c r="F324" s="1354"/>
      <c r="G324" s="1339"/>
      <c r="H324" s="1339"/>
      <c r="I324" s="1713"/>
      <c r="J324" s="1789"/>
      <c r="K324" s="1790"/>
      <c r="L324" s="1790"/>
      <c r="M324" s="655"/>
    </row>
    <row r="325" spans="1:24" s="1699" customFormat="1" ht="13.5" customHeight="1">
      <c r="A325" s="1714"/>
      <c r="B325" s="1536"/>
      <c r="C325" s="1536"/>
      <c r="D325" s="1715" t="s">
        <v>2504</v>
      </c>
      <c r="E325" s="1536"/>
      <c r="F325" s="1716"/>
      <c r="G325" s="1717"/>
      <c r="H325" s="1717"/>
      <c r="I325" s="1713"/>
    </row>
    <row r="326" spans="1:24" s="195" customFormat="1" ht="13.5" customHeight="1">
      <c r="A326" s="1005">
        <v>107</v>
      </c>
      <c r="B326" s="460">
        <v>731</v>
      </c>
      <c r="C326" s="460" t="s">
        <v>2517</v>
      </c>
      <c r="D326" s="460" t="s">
        <v>2518</v>
      </c>
      <c r="E326" s="460" t="s">
        <v>210</v>
      </c>
      <c r="F326" s="1311">
        <f>SUM(F328:F328)</f>
        <v>8</v>
      </c>
      <c r="G326" s="1011"/>
      <c r="H326" s="814">
        <f>ROUND(F326*G326,2)</f>
        <v>0</v>
      </c>
      <c r="I326" s="1345" t="s">
        <v>112</v>
      </c>
      <c r="J326" s="1782"/>
      <c r="K326" s="1703"/>
    </row>
    <row r="327" spans="1:24" s="1710" customFormat="1" ht="27" customHeight="1">
      <c r="A327" s="739"/>
      <c r="B327" s="1704"/>
      <c r="C327" s="1705"/>
      <c r="D327" s="1706" t="s">
        <v>2509</v>
      </c>
      <c r="E327" s="1704"/>
      <c r="F327" s="1707"/>
      <c r="G327" s="1708"/>
      <c r="H327" s="1708"/>
      <c r="I327" s="1718"/>
      <c r="J327" s="1782"/>
      <c r="K327" s="1783"/>
      <c r="L327" s="1784"/>
      <c r="M327" s="914"/>
      <c r="N327" s="655"/>
      <c r="O327" s="655"/>
      <c r="P327" s="1651"/>
      <c r="Q327" s="1651"/>
      <c r="R327" s="1651"/>
      <c r="X327" s="1147"/>
    </row>
    <row r="328" spans="1:24" s="1291" customFormat="1" ht="13.5" customHeight="1">
      <c r="A328" s="1711"/>
      <c r="B328" s="1343"/>
      <c r="C328" s="1343"/>
      <c r="D328" s="1343" t="s">
        <v>1835</v>
      </c>
      <c r="E328" s="1343"/>
      <c r="F328" s="1344">
        <v>8</v>
      </c>
      <c r="G328" s="1712"/>
      <c r="H328" s="1712"/>
      <c r="I328" s="1713"/>
      <c r="J328" s="1782"/>
      <c r="K328" s="1783"/>
      <c r="N328" s="1603"/>
      <c r="P328" s="458"/>
      <c r="R328" s="1340"/>
    </row>
    <row r="329" spans="1:24" ht="40.5" customHeight="1">
      <c r="A329" s="1335"/>
      <c r="B329" s="1337"/>
      <c r="C329" s="1337"/>
      <c r="D329" s="1719" t="s">
        <v>2510</v>
      </c>
      <c r="E329" s="1337"/>
      <c r="F329" s="1354"/>
      <c r="G329" s="1339"/>
      <c r="H329" s="1339"/>
      <c r="I329" s="1713"/>
      <c r="J329" s="1782"/>
      <c r="K329" s="1783"/>
      <c r="L329" s="1790"/>
      <c r="M329" s="655"/>
    </row>
    <row r="330" spans="1:24" s="1699" customFormat="1" ht="13.5" customHeight="1">
      <c r="A330" s="1714"/>
      <c r="B330" s="1536"/>
      <c r="C330" s="1536"/>
      <c r="D330" s="1715" t="s">
        <v>2504</v>
      </c>
      <c r="E330" s="1536"/>
      <c r="F330" s="1716"/>
      <c r="G330" s="1717"/>
      <c r="H330" s="1717"/>
      <c r="I330" s="1713"/>
    </row>
    <row r="331" spans="1:24" s="195" customFormat="1" ht="13.5" customHeight="1">
      <c r="A331" s="1005">
        <v>108</v>
      </c>
      <c r="B331" s="460">
        <v>731</v>
      </c>
      <c r="C331" s="460" t="s">
        <v>2519</v>
      </c>
      <c r="D331" s="460" t="s">
        <v>2520</v>
      </c>
      <c r="E331" s="460" t="s">
        <v>210</v>
      </c>
      <c r="F331" s="1311">
        <f>SUM(F333:F334)</f>
        <v>2</v>
      </c>
      <c r="G331" s="1011"/>
      <c r="H331" s="814">
        <f>ROUND(F331*G331,2)</f>
        <v>0</v>
      </c>
      <c r="I331" s="1345" t="s">
        <v>112</v>
      </c>
      <c r="J331" s="1782"/>
      <c r="K331" s="1703"/>
    </row>
    <row r="332" spans="1:24" s="1710" customFormat="1" ht="27" customHeight="1">
      <c r="A332" s="739"/>
      <c r="B332" s="1704"/>
      <c r="C332" s="1705"/>
      <c r="D332" s="1706" t="s">
        <v>2509</v>
      </c>
      <c r="E332" s="1704"/>
      <c r="F332" s="1707"/>
      <c r="G332" s="1708"/>
      <c r="H332" s="1708"/>
      <c r="I332" s="1718"/>
      <c r="J332" s="1782"/>
      <c r="K332" s="1783"/>
      <c r="L332" s="1784"/>
      <c r="M332" s="914"/>
      <c r="N332" s="655"/>
      <c r="O332" s="655"/>
      <c r="P332" s="1651"/>
      <c r="Q332" s="1651"/>
      <c r="R332" s="1651"/>
      <c r="X332" s="1147"/>
    </row>
    <row r="333" spans="1:24" s="1291" customFormat="1" ht="13.5" customHeight="1">
      <c r="A333" s="1711"/>
      <c r="B333" s="1343"/>
      <c r="C333" s="1343"/>
      <c r="D333" s="1343" t="s">
        <v>1834</v>
      </c>
      <c r="E333" s="1343"/>
      <c r="F333" s="1344">
        <v>1</v>
      </c>
      <c r="G333" s="1712"/>
      <c r="H333" s="1712"/>
      <c r="I333" s="1713"/>
      <c r="J333" s="1782"/>
      <c r="K333" s="1783"/>
      <c r="N333" s="1603"/>
      <c r="P333" s="458"/>
      <c r="R333" s="1340"/>
    </row>
    <row r="334" spans="1:24" s="1291" customFormat="1" ht="13.5" customHeight="1">
      <c r="A334" s="1711"/>
      <c r="B334" s="1343"/>
      <c r="C334" s="1343"/>
      <c r="D334" s="1343" t="s">
        <v>1835</v>
      </c>
      <c r="E334" s="1343"/>
      <c r="F334" s="1344">
        <v>1</v>
      </c>
      <c r="G334" s="1712"/>
      <c r="H334" s="1712"/>
      <c r="I334" s="1713"/>
      <c r="J334" s="1782"/>
      <c r="K334" s="1783"/>
      <c r="N334" s="1603"/>
      <c r="P334" s="458"/>
      <c r="R334" s="1340"/>
    </row>
    <row r="335" spans="1:24" ht="40.5" customHeight="1">
      <c r="A335" s="1335"/>
      <c r="B335" s="1337"/>
      <c r="C335" s="1337"/>
      <c r="D335" s="1719" t="s">
        <v>2510</v>
      </c>
      <c r="E335" s="1337"/>
      <c r="F335" s="1354"/>
      <c r="G335" s="1339"/>
      <c r="H335" s="1339"/>
      <c r="I335" s="1713"/>
      <c r="J335" s="1789"/>
      <c r="K335" s="1790"/>
      <c r="L335" s="1790"/>
      <c r="M335" s="655"/>
    </row>
    <row r="336" spans="1:24" s="1699" customFormat="1" ht="13.5" customHeight="1">
      <c r="A336" s="1714"/>
      <c r="B336" s="1536"/>
      <c r="C336" s="1536"/>
      <c r="D336" s="1715" t="s">
        <v>2504</v>
      </c>
      <c r="E336" s="1536"/>
      <c r="F336" s="1716"/>
      <c r="G336" s="1717"/>
      <c r="H336" s="1717"/>
      <c r="I336" s="1713"/>
    </row>
    <row r="337" spans="1:24" s="195" customFormat="1" ht="13.5" customHeight="1">
      <c r="A337" s="1005">
        <v>109</v>
      </c>
      <c r="B337" s="460">
        <v>731</v>
      </c>
      <c r="C337" s="460" t="s">
        <v>2521</v>
      </c>
      <c r="D337" s="460" t="s">
        <v>2522</v>
      </c>
      <c r="E337" s="460" t="s">
        <v>210</v>
      </c>
      <c r="F337" s="1311">
        <f>SUM(F339:F339)</f>
        <v>4</v>
      </c>
      <c r="G337" s="1011"/>
      <c r="H337" s="814">
        <f>ROUND(F337*G337,2)</f>
        <v>0</v>
      </c>
      <c r="I337" s="1345" t="s">
        <v>112</v>
      </c>
      <c r="J337" s="1782"/>
      <c r="K337" s="1703"/>
    </row>
    <row r="338" spans="1:24" s="1710" customFormat="1" ht="27" customHeight="1">
      <c r="A338" s="739"/>
      <c r="B338" s="1704"/>
      <c r="C338" s="1705"/>
      <c r="D338" s="1706" t="s">
        <v>2509</v>
      </c>
      <c r="E338" s="1704"/>
      <c r="F338" s="1707"/>
      <c r="G338" s="1708"/>
      <c r="H338" s="1708"/>
      <c r="I338" s="1718"/>
      <c r="J338" s="1782"/>
      <c r="K338" s="1783"/>
      <c r="L338" s="1784"/>
      <c r="M338" s="914"/>
      <c r="N338" s="655"/>
      <c r="O338" s="655"/>
      <c r="P338" s="1651"/>
      <c r="Q338" s="1651"/>
      <c r="R338" s="1651"/>
      <c r="X338" s="1147"/>
    </row>
    <row r="339" spans="1:24" s="1291" customFormat="1" ht="13.5" customHeight="1">
      <c r="A339" s="1711"/>
      <c r="B339" s="1343"/>
      <c r="C339" s="1343"/>
      <c r="D339" s="1343" t="s">
        <v>1834</v>
      </c>
      <c r="E339" s="1343"/>
      <c r="F339" s="1344">
        <v>4</v>
      </c>
      <c r="G339" s="1712"/>
      <c r="H339" s="1712"/>
      <c r="I339" s="1713"/>
      <c r="J339" s="1782"/>
      <c r="K339" s="1783"/>
      <c r="N339" s="1603"/>
      <c r="P339" s="458"/>
      <c r="R339" s="1340"/>
    </row>
    <row r="340" spans="1:24" ht="40.5" customHeight="1">
      <c r="A340" s="1335"/>
      <c r="B340" s="1337"/>
      <c r="C340" s="1337"/>
      <c r="D340" s="1719" t="s">
        <v>2510</v>
      </c>
      <c r="E340" s="1337"/>
      <c r="F340" s="1354"/>
      <c r="G340" s="1339"/>
      <c r="H340" s="1339"/>
      <c r="I340" s="1713"/>
      <c r="J340" s="1782"/>
      <c r="K340" s="1783"/>
      <c r="L340" s="1790"/>
      <c r="M340" s="655"/>
    </row>
    <row r="341" spans="1:24" s="1699" customFormat="1" ht="13.5" customHeight="1">
      <c r="A341" s="1714"/>
      <c r="B341" s="1536"/>
      <c r="C341" s="1536"/>
      <c r="D341" s="1715" t="s">
        <v>2504</v>
      </c>
      <c r="E341" s="1536"/>
      <c r="F341" s="1716"/>
      <c r="G341" s="1717"/>
      <c r="H341" s="1717"/>
      <c r="I341" s="1713"/>
    </row>
    <row r="342" spans="1:24" s="195" customFormat="1" ht="13.5" customHeight="1">
      <c r="A342" s="1005">
        <v>110</v>
      </c>
      <c r="B342" s="460">
        <v>731</v>
      </c>
      <c r="C342" s="460" t="s">
        <v>2523</v>
      </c>
      <c r="D342" s="460" t="s">
        <v>2524</v>
      </c>
      <c r="E342" s="460" t="s">
        <v>210</v>
      </c>
      <c r="F342" s="1311">
        <f>SUM(F344:F344)</f>
        <v>1</v>
      </c>
      <c r="G342" s="1011"/>
      <c r="H342" s="814">
        <f>ROUND(F342*G342,2)</f>
        <v>0</v>
      </c>
      <c r="I342" s="1345" t="s">
        <v>112</v>
      </c>
      <c r="J342" s="1782"/>
      <c r="K342" s="1703"/>
    </row>
    <row r="343" spans="1:24" s="1710" customFormat="1" ht="27" customHeight="1">
      <c r="A343" s="739"/>
      <c r="B343" s="1704"/>
      <c r="C343" s="1705"/>
      <c r="D343" s="1706" t="s">
        <v>2509</v>
      </c>
      <c r="E343" s="1704"/>
      <c r="F343" s="1707"/>
      <c r="G343" s="1708"/>
      <c r="H343" s="1708"/>
      <c r="I343" s="1718"/>
      <c r="J343" s="1782"/>
      <c r="K343" s="1783"/>
      <c r="L343" s="1784"/>
      <c r="M343" s="914"/>
      <c r="N343" s="655"/>
      <c r="O343" s="655"/>
      <c r="P343" s="1651"/>
      <c r="Q343" s="1651"/>
      <c r="R343" s="1651"/>
      <c r="X343" s="1147"/>
    </row>
    <row r="344" spans="1:24" s="1291" customFormat="1" ht="13.5" customHeight="1">
      <c r="A344" s="1711"/>
      <c r="B344" s="1343"/>
      <c r="C344" s="1343"/>
      <c r="D344" s="1343" t="s">
        <v>1834</v>
      </c>
      <c r="E344" s="1343"/>
      <c r="F344" s="1344">
        <v>1</v>
      </c>
      <c r="G344" s="1712"/>
      <c r="H344" s="1712"/>
      <c r="I344" s="1713"/>
      <c r="J344" s="1782"/>
      <c r="K344" s="1783"/>
      <c r="N344" s="1603"/>
      <c r="P344" s="458"/>
      <c r="R344" s="1340"/>
    </row>
    <row r="345" spans="1:24" ht="40.5" customHeight="1">
      <c r="A345" s="1335"/>
      <c r="B345" s="1337"/>
      <c r="C345" s="1337"/>
      <c r="D345" s="1719" t="s">
        <v>2510</v>
      </c>
      <c r="E345" s="1337"/>
      <c r="F345" s="1354"/>
      <c r="G345" s="1339"/>
      <c r="H345" s="1339"/>
      <c r="I345" s="1713"/>
      <c r="J345" s="1782"/>
      <c r="K345" s="1783"/>
      <c r="L345" s="1790"/>
      <c r="M345" s="655"/>
    </row>
    <row r="346" spans="1:24" s="1699" customFormat="1" ht="13.5" customHeight="1">
      <c r="A346" s="1714"/>
      <c r="B346" s="1536"/>
      <c r="C346" s="1536"/>
      <c r="D346" s="1715" t="s">
        <v>2504</v>
      </c>
      <c r="E346" s="1536"/>
      <c r="F346" s="1716"/>
      <c r="G346" s="1717"/>
      <c r="H346" s="1717"/>
      <c r="I346" s="1713"/>
    </row>
    <row r="347" spans="1:24" s="195" customFormat="1" ht="13.5" customHeight="1">
      <c r="A347" s="1005">
        <v>111</v>
      </c>
      <c r="B347" s="460">
        <v>731</v>
      </c>
      <c r="C347" s="460" t="s">
        <v>2525</v>
      </c>
      <c r="D347" s="460" t="s">
        <v>2526</v>
      </c>
      <c r="E347" s="460" t="s">
        <v>210</v>
      </c>
      <c r="F347" s="1311">
        <f>SUM(F349:F350)</f>
        <v>8</v>
      </c>
      <c r="G347" s="1011"/>
      <c r="H347" s="814">
        <f>ROUND(F347*G347,2)</f>
        <v>0</v>
      </c>
      <c r="I347" s="1345" t="s">
        <v>112</v>
      </c>
      <c r="J347" s="1782"/>
      <c r="K347" s="1703"/>
    </row>
    <row r="348" spans="1:24" s="1710" customFormat="1" ht="27" customHeight="1">
      <c r="A348" s="739"/>
      <c r="B348" s="1704"/>
      <c r="C348" s="1705"/>
      <c r="D348" s="1706" t="s">
        <v>2509</v>
      </c>
      <c r="E348" s="1704"/>
      <c r="F348" s="1707"/>
      <c r="G348" s="1708"/>
      <c r="H348" s="1708"/>
      <c r="I348" s="1718"/>
      <c r="J348" s="1782"/>
      <c r="K348" s="1783"/>
      <c r="L348" s="1784"/>
      <c r="M348" s="914"/>
      <c r="N348" s="655"/>
      <c r="O348" s="655"/>
      <c r="P348" s="1651"/>
      <c r="Q348" s="1651"/>
      <c r="R348" s="1651"/>
      <c r="X348" s="1147"/>
    </row>
    <row r="349" spans="1:24" s="1291" customFormat="1" ht="13.5" customHeight="1">
      <c r="A349" s="1711"/>
      <c r="B349" s="1343"/>
      <c r="C349" s="1343"/>
      <c r="D349" s="1343" t="s">
        <v>1834</v>
      </c>
      <c r="E349" s="1343"/>
      <c r="F349" s="1344">
        <v>7</v>
      </c>
      <c r="G349" s="1712"/>
      <c r="H349" s="1712"/>
      <c r="I349" s="1713"/>
      <c r="J349" s="1782"/>
      <c r="K349" s="1783"/>
      <c r="N349" s="1603"/>
      <c r="P349" s="458"/>
      <c r="R349" s="1340"/>
    </row>
    <row r="350" spans="1:24" s="1291" customFormat="1" ht="13.5" customHeight="1">
      <c r="A350" s="1711"/>
      <c r="B350" s="1343"/>
      <c r="C350" s="1343"/>
      <c r="D350" s="1343" t="s">
        <v>1835</v>
      </c>
      <c r="E350" s="1343"/>
      <c r="F350" s="1344">
        <v>1</v>
      </c>
      <c r="G350" s="1712"/>
      <c r="H350" s="1712"/>
      <c r="I350" s="1713"/>
      <c r="J350" s="1782"/>
      <c r="K350" s="1783"/>
      <c r="N350" s="1603"/>
      <c r="P350" s="458"/>
      <c r="R350" s="1340"/>
    </row>
    <row r="351" spans="1:24" ht="40.5" customHeight="1">
      <c r="A351" s="1335"/>
      <c r="B351" s="1337"/>
      <c r="C351" s="1337"/>
      <c r="D351" s="1719" t="s">
        <v>2510</v>
      </c>
      <c r="E351" s="1337"/>
      <c r="F351" s="1354"/>
      <c r="G351" s="1339"/>
      <c r="H351" s="1339"/>
      <c r="I351" s="1713"/>
      <c r="J351" s="1789"/>
      <c r="K351" s="1790"/>
      <c r="L351" s="1790"/>
      <c r="M351" s="655"/>
    </row>
    <row r="352" spans="1:24" s="1699" customFormat="1" ht="13.5" customHeight="1">
      <c r="A352" s="1714"/>
      <c r="B352" s="1536"/>
      <c r="C352" s="1536"/>
      <c r="D352" s="1715" t="s">
        <v>2504</v>
      </c>
      <c r="E352" s="1536"/>
      <c r="F352" s="1716"/>
      <c r="G352" s="1717"/>
      <c r="H352" s="1717"/>
      <c r="I352" s="1713"/>
    </row>
    <row r="353" spans="1:24" s="195" customFormat="1" ht="13.5" customHeight="1">
      <c r="A353" s="1005">
        <v>112</v>
      </c>
      <c r="B353" s="460">
        <v>731</v>
      </c>
      <c r="C353" s="460" t="s">
        <v>2527</v>
      </c>
      <c r="D353" s="460" t="s">
        <v>2528</v>
      </c>
      <c r="E353" s="460" t="s">
        <v>210</v>
      </c>
      <c r="F353" s="1311">
        <f>SUM(F355:F355)</f>
        <v>4</v>
      </c>
      <c r="G353" s="1011"/>
      <c r="H353" s="814">
        <f>ROUND(F353*G353,2)</f>
        <v>0</v>
      </c>
      <c r="I353" s="1345" t="s">
        <v>112</v>
      </c>
      <c r="J353" s="1782"/>
      <c r="K353" s="1703"/>
    </row>
    <row r="354" spans="1:24" s="1710" customFormat="1" ht="27" customHeight="1">
      <c r="A354" s="739"/>
      <c r="B354" s="1704"/>
      <c r="C354" s="1705"/>
      <c r="D354" s="1706" t="s">
        <v>2509</v>
      </c>
      <c r="E354" s="1704"/>
      <c r="F354" s="1707"/>
      <c r="G354" s="1708"/>
      <c r="H354" s="1708"/>
      <c r="I354" s="1718"/>
      <c r="J354" s="1782"/>
      <c r="K354" s="1783"/>
      <c r="L354" s="1784"/>
      <c r="M354" s="914"/>
      <c r="N354" s="655"/>
      <c r="O354" s="655"/>
      <c r="P354" s="1651"/>
      <c r="Q354" s="1651"/>
      <c r="R354" s="1651"/>
      <c r="X354" s="1147"/>
    </row>
    <row r="355" spans="1:24" s="1291" customFormat="1" ht="13.5" customHeight="1">
      <c r="A355" s="1711"/>
      <c r="B355" s="1343"/>
      <c r="C355" s="1343"/>
      <c r="D355" s="1343" t="s">
        <v>1834</v>
      </c>
      <c r="E355" s="1343"/>
      <c r="F355" s="1344">
        <v>4</v>
      </c>
      <c r="G355" s="1712"/>
      <c r="H355" s="1712"/>
      <c r="I355" s="1713"/>
      <c r="J355" s="1782"/>
      <c r="K355" s="1783"/>
      <c r="N355" s="1603"/>
      <c r="P355" s="458"/>
      <c r="R355" s="1340"/>
    </row>
    <row r="356" spans="1:24" ht="40.5" customHeight="1">
      <c r="A356" s="1335"/>
      <c r="B356" s="1337"/>
      <c r="C356" s="1337"/>
      <c r="D356" s="1719" t="s">
        <v>2510</v>
      </c>
      <c r="E356" s="1337"/>
      <c r="F356" s="1354"/>
      <c r="G356" s="1339"/>
      <c r="H356" s="1339"/>
      <c r="I356" s="1713"/>
      <c r="J356" s="1782"/>
      <c r="K356" s="1783"/>
      <c r="L356" s="1790"/>
      <c r="M356" s="655"/>
    </row>
    <row r="357" spans="1:24" s="1699" customFormat="1" ht="13.5" customHeight="1">
      <c r="A357" s="1714"/>
      <c r="B357" s="1536"/>
      <c r="C357" s="1536"/>
      <c r="D357" s="1715" t="s">
        <v>2504</v>
      </c>
      <c r="E357" s="1536"/>
      <c r="F357" s="1716"/>
      <c r="G357" s="1717"/>
      <c r="H357" s="1717"/>
      <c r="I357" s="1713"/>
    </row>
    <row r="358" spans="1:24" s="195" customFormat="1" ht="13.5" customHeight="1">
      <c r="A358" s="1005">
        <v>113</v>
      </c>
      <c r="B358" s="460">
        <v>731</v>
      </c>
      <c r="C358" s="460" t="s">
        <v>2529</v>
      </c>
      <c r="D358" s="460" t="s">
        <v>2530</v>
      </c>
      <c r="E358" s="460" t="s">
        <v>210</v>
      </c>
      <c r="F358" s="1311">
        <f>SUM(F360:F360)</f>
        <v>2</v>
      </c>
      <c r="G358" s="1011"/>
      <c r="H358" s="814">
        <f>ROUND(F358*G358,2)</f>
        <v>0</v>
      </c>
      <c r="I358" s="1345" t="s">
        <v>112</v>
      </c>
      <c r="J358" s="1782"/>
      <c r="K358" s="1703"/>
    </row>
    <row r="359" spans="1:24" s="1710" customFormat="1" ht="27" customHeight="1">
      <c r="A359" s="739"/>
      <c r="B359" s="1704"/>
      <c r="C359" s="1705"/>
      <c r="D359" s="1706" t="s">
        <v>2509</v>
      </c>
      <c r="E359" s="1704"/>
      <c r="F359" s="1707"/>
      <c r="G359" s="1708"/>
      <c r="H359" s="1708"/>
      <c r="I359" s="1718"/>
      <c r="J359" s="1782"/>
      <c r="K359" s="1783"/>
      <c r="L359" s="1784"/>
      <c r="M359" s="914"/>
      <c r="N359" s="655"/>
      <c r="O359" s="655"/>
      <c r="P359" s="1651"/>
      <c r="Q359" s="1651"/>
      <c r="R359" s="1651"/>
      <c r="X359" s="1147"/>
    </row>
    <row r="360" spans="1:24" s="1291" customFormat="1" ht="13.5" customHeight="1">
      <c r="A360" s="1711"/>
      <c r="B360" s="1343"/>
      <c r="C360" s="1343"/>
      <c r="D360" s="1343" t="s">
        <v>1834</v>
      </c>
      <c r="E360" s="1343"/>
      <c r="F360" s="1344">
        <v>2</v>
      </c>
      <c r="G360" s="1712"/>
      <c r="H360" s="1712"/>
      <c r="I360" s="1713"/>
      <c r="J360" s="1782"/>
      <c r="K360" s="1783"/>
      <c r="N360" s="1603"/>
      <c r="P360" s="458"/>
      <c r="R360" s="1340"/>
    </row>
    <row r="361" spans="1:24" ht="40.5" customHeight="1">
      <c r="A361" s="1335"/>
      <c r="B361" s="1337"/>
      <c r="C361" s="1337"/>
      <c r="D361" s="1719" t="s">
        <v>2510</v>
      </c>
      <c r="E361" s="1337"/>
      <c r="F361" s="1354"/>
      <c r="G361" s="1339"/>
      <c r="H361" s="1339"/>
      <c r="I361" s="1713"/>
      <c r="J361" s="1782"/>
      <c r="K361" s="1783"/>
      <c r="L361" s="1790"/>
      <c r="M361" s="655"/>
    </row>
    <row r="362" spans="1:24" s="1699" customFormat="1" ht="13.5" customHeight="1">
      <c r="A362" s="1714"/>
      <c r="B362" s="1536"/>
      <c r="C362" s="1536"/>
      <c r="D362" s="1715" t="s">
        <v>2504</v>
      </c>
      <c r="E362" s="1536"/>
      <c r="F362" s="1716"/>
      <c r="G362" s="1717"/>
      <c r="H362" s="1717"/>
      <c r="I362" s="1713"/>
    </row>
    <row r="363" spans="1:24" s="195" customFormat="1" ht="13.5" customHeight="1">
      <c r="A363" s="1005">
        <v>114</v>
      </c>
      <c r="B363" s="460">
        <v>731</v>
      </c>
      <c r="C363" s="460" t="s">
        <v>2531</v>
      </c>
      <c r="D363" s="460" t="s">
        <v>2532</v>
      </c>
      <c r="E363" s="460" t="s">
        <v>210</v>
      </c>
      <c r="F363" s="1311">
        <f>SUM(F365:F365)</f>
        <v>1</v>
      </c>
      <c r="G363" s="1011"/>
      <c r="H363" s="814">
        <f>ROUND(F363*G363,2)</f>
        <v>0</v>
      </c>
      <c r="I363" s="1345" t="s">
        <v>112</v>
      </c>
      <c r="J363" s="1782"/>
      <c r="K363" s="1703"/>
    </row>
    <row r="364" spans="1:24" s="1710" customFormat="1" ht="27" customHeight="1">
      <c r="A364" s="739"/>
      <c r="B364" s="1704"/>
      <c r="C364" s="1705"/>
      <c r="D364" s="1706" t="s">
        <v>2509</v>
      </c>
      <c r="E364" s="1704"/>
      <c r="F364" s="1707"/>
      <c r="G364" s="1708"/>
      <c r="H364" s="1708"/>
      <c r="I364" s="1718"/>
      <c r="J364" s="1782"/>
      <c r="K364" s="1783"/>
      <c r="L364" s="1784"/>
      <c r="M364" s="914"/>
      <c r="N364" s="655"/>
      <c r="O364" s="655"/>
      <c r="P364" s="1651"/>
      <c r="Q364" s="1651"/>
      <c r="R364" s="1651"/>
      <c r="X364" s="1147"/>
    </row>
    <row r="365" spans="1:24" s="1291" customFormat="1" ht="13.5" customHeight="1">
      <c r="A365" s="1711"/>
      <c r="B365" s="1343"/>
      <c r="C365" s="1343"/>
      <c r="D365" s="1343" t="s">
        <v>1834</v>
      </c>
      <c r="E365" s="1343"/>
      <c r="F365" s="1344">
        <v>1</v>
      </c>
      <c r="G365" s="1712"/>
      <c r="H365" s="1712"/>
      <c r="I365" s="1713"/>
      <c r="J365" s="1782"/>
      <c r="K365" s="1783"/>
      <c r="N365" s="1603"/>
      <c r="P365" s="458"/>
      <c r="R365" s="1340"/>
    </row>
    <row r="366" spans="1:24" ht="40.5" customHeight="1">
      <c r="A366" s="1335"/>
      <c r="B366" s="1337"/>
      <c r="C366" s="1337"/>
      <c r="D366" s="1719" t="s">
        <v>2510</v>
      </c>
      <c r="E366" s="1337"/>
      <c r="F366" s="1354"/>
      <c r="G366" s="1339"/>
      <c r="H366" s="1339"/>
      <c r="I366" s="1713"/>
      <c r="J366" s="1782"/>
      <c r="K366" s="1783"/>
      <c r="L366" s="1790"/>
      <c r="M366" s="655"/>
    </row>
    <row r="367" spans="1:24" s="1699" customFormat="1" ht="13.5" customHeight="1">
      <c r="A367" s="1714"/>
      <c r="B367" s="1536"/>
      <c r="C367" s="1536"/>
      <c r="D367" s="1715" t="s">
        <v>2504</v>
      </c>
      <c r="E367" s="1536"/>
      <c r="F367" s="1716"/>
      <c r="G367" s="1717"/>
      <c r="H367" s="1717"/>
      <c r="I367" s="1713"/>
    </row>
    <row r="368" spans="1:24" s="195" customFormat="1" ht="13.5" customHeight="1">
      <c r="A368" s="1005">
        <v>115</v>
      </c>
      <c r="B368" s="460">
        <v>731</v>
      </c>
      <c r="C368" s="460" t="s">
        <v>2533</v>
      </c>
      <c r="D368" s="460" t="s">
        <v>2534</v>
      </c>
      <c r="E368" s="460" t="s">
        <v>210</v>
      </c>
      <c r="F368" s="1311">
        <f>SUM(F370:F370)</f>
        <v>1</v>
      </c>
      <c r="G368" s="1011"/>
      <c r="H368" s="814">
        <f>ROUND(F368*G368,2)</f>
        <v>0</v>
      </c>
      <c r="I368" s="1345" t="s">
        <v>112</v>
      </c>
      <c r="J368" s="1782"/>
      <c r="K368" s="1703"/>
    </row>
    <row r="369" spans="1:24" s="1710" customFormat="1" ht="27" customHeight="1">
      <c r="A369" s="739"/>
      <c r="B369" s="1704"/>
      <c r="C369" s="1705"/>
      <c r="D369" s="1706" t="s">
        <v>2509</v>
      </c>
      <c r="E369" s="1704"/>
      <c r="F369" s="1707"/>
      <c r="G369" s="1708"/>
      <c r="H369" s="1708"/>
      <c r="I369" s="1718"/>
      <c r="J369" s="1782"/>
      <c r="K369" s="1783"/>
      <c r="L369" s="1784"/>
      <c r="M369" s="914"/>
      <c r="N369" s="1651"/>
      <c r="O369" s="655"/>
      <c r="P369" s="1651"/>
      <c r="Q369" s="1651"/>
      <c r="R369" s="1651"/>
      <c r="X369" s="1147"/>
    </row>
    <row r="370" spans="1:24" s="1291" customFormat="1" ht="13.5" customHeight="1">
      <c r="A370" s="1711"/>
      <c r="B370" s="1343"/>
      <c r="C370" s="1343"/>
      <c r="D370" s="1343" t="s">
        <v>1835</v>
      </c>
      <c r="E370" s="1343"/>
      <c r="F370" s="1344">
        <v>1</v>
      </c>
      <c r="G370" s="1712"/>
      <c r="H370" s="1712"/>
      <c r="I370" s="1713"/>
      <c r="J370" s="1782"/>
      <c r="K370" s="1783"/>
      <c r="N370" s="1742"/>
      <c r="P370" s="1720"/>
      <c r="R370" s="1340"/>
      <c r="T370" s="458"/>
    </row>
    <row r="371" spans="1:24" ht="40.5" customHeight="1">
      <c r="A371" s="1335"/>
      <c r="B371" s="1337"/>
      <c r="C371" s="1337"/>
      <c r="D371" s="1719" t="s">
        <v>2510</v>
      </c>
      <c r="E371" s="1337"/>
      <c r="F371" s="1354"/>
      <c r="G371" s="1339"/>
      <c r="H371" s="1339"/>
      <c r="I371" s="1713"/>
      <c r="J371" s="1782"/>
      <c r="K371" s="1783"/>
      <c r="L371" s="1790"/>
      <c r="M371" s="1721"/>
    </row>
    <row r="372" spans="1:24" s="1699" customFormat="1" ht="13.5" customHeight="1">
      <c r="A372" s="1714"/>
      <c r="B372" s="1536"/>
      <c r="C372" s="1536"/>
      <c r="D372" s="1715" t="s">
        <v>2504</v>
      </c>
      <c r="E372" s="1536"/>
      <c r="F372" s="1716"/>
      <c r="G372" s="1717"/>
      <c r="H372" s="1717"/>
      <c r="I372" s="1713"/>
    </row>
    <row r="373" spans="1:24" s="195" customFormat="1" ht="13.5" customHeight="1">
      <c r="A373" s="1005">
        <v>116</v>
      </c>
      <c r="B373" s="460">
        <v>731</v>
      </c>
      <c r="C373" s="460" t="s">
        <v>2535</v>
      </c>
      <c r="D373" s="460" t="s">
        <v>2536</v>
      </c>
      <c r="E373" s="460" t="s">
        <v>210</v>
      </c>
      <c r="F373" s="1311">
        <f>SUM(F375:F376)</f>
        <v>2</v>
      </c>
      <c r="G373" s="1011"/>
      <c r="H373" s="814">
        <f>ROUND(F373*G373,2)</f>
        <v>0</v>
      </c>
      <c r="I373" s="1345" t="s">
        <v>112</v>
      </c>
      <c r="J373" s="1782"/>
      <c r="K373" s="1703"/>
    </row>
    <row r="374" spans="1:24" s="1710" customFormat="1" ht="27" customHeight="1">
      <c r="A374" s="739"/>
      <c r="B374" s="1704"/>
      <c r="C374" s="1705"/>
      <c r="D374" s="1706" t="s">
        <v>2509</v>
      </c>
      <c r="E374" s="1704"/>
      <c r="F374" s="1707"/>
      <c r="G374" s="1708"/>
      <c r="H374" s="1708"/>
      <c r="I374" s="1718"/>
      <c r="J374" s="1782"/>
      <c r="K374" s="1783"/>
      <c r="L374" s="1784"/>
      <c r="M374" s="914"/>
      <c r="N374" s="1651"/>
      <c r="O374" s="655"/>
      <c r="P374" s="1651"/>
      <c r="Q374" s="1651"/>
      <c r="R374" s="1651"/>
      <c r="X374" s="1147"/>
    </row>
    <row r="375" spans="1:24" s="1291" customFormat="1" ht="13.5" customHeight="1">
      <c r="A375" s="1711"/>
      <c r="B375" s="1343"/>
      <c r="C375" s="1343"/>
      <c r="D375" s="1343" t="s">
        <v>2537</v>
      </c>
      <c r="E375" s="1343"/>
      <c r="F375" s="1344">
        <v>1</v>
      </c>
      <c r="G375" s="1712"/>
      <c r="H375" s="1712"/>
      <c r="I375" s="1713"/>
      <c r="J375" s="1782"/>
      <c r="K375" s="1783"/>
      <c r="N375" s="1742"/>
      <c r="P375" s="1720"/>
      <c r="R375" s="1340"/>
      <c r="T375" s="458"/>
    </row>
    <row r="376" spans="1:24" s="1291" customFormat="1" ht="13.5" customHeight="1">
      <c r="A376" s="1711"/>
      <c r="B376" s="1343"/>
      <c r="C376" s="1343"/>
      <c r="D376" s="1343" t="s">
        <v>1834</v>
      </c>
      <c r="E376" s="1343"/>
      <c r="F376" s="1344">
        <v>1</v>
      </c>
      <c r="G376" s="1712"/>
      <c r="H376" s="1712"/>
      <c r="I376" s="1713"/>
      <c r="J376" s="1782"/>
      <c r="K376" s="1783"/>
      <c r="N376" s="1742"/>
      <c r="P376" s="1720"/>
      <c r="R376" s="1340"/>
      <c r="T376" s="458"/>
    </row>
    <row r="377" spans="1:24" ht="40.5" customHeight="1">
      <c r="A377" s="1335"/>
      <c r="B377" s="1337"/>
      <c r="C377" s="1337"/>
      <c r="D377" s="1719" t="s">
        <v>2510</v>
      </c>
      <c r="E377" s="1337"/>
      <c r="F377" s="1354"/>
      <c r="G377" s="1339"/>
      <c r="H377" s="1339"/>
      <c r="I377" s="1713"/>
      <c r="J377" s="1789"/>
      <c r="K377" s="3080"/>
      <c r="L377" s="3080"/>
      <c r="M377" s="1721"/>
    </row>
    <row r="378" spans="1:24" s="1699" customFormat="1" ht="13.5" customHeight="1">
      <c r="A378" s="1714"/>
      <c r="B378" s="1536"/>
      <c r="C378" s="1536"/>
      <c r="D378" s="1715" t="s">
        <v>2504</v>
      </c>
      <c r="E378" s="1536"/>
      <c r="F378" s="1716"/>
      <c r="G378" s="1717"/>
      <c r="H378" s="1717"/>
      <c r="I378" s="1713"/>
    </row>
    <row r="379" spans="1:24" s="1610" customFormat="1" ht="13.5" customHeight="1">
      <c r="A379" s="1722">
        <v>117</v>
      </c>
      <c r="B379" s="1723">
        <v>731</v>
      </c>
      <c r="C379" s="1536" t="s">
        <v>2538</v>
      </c>
      <c r="D379" s="1724" t="s">
        <v>2539</v>
      </c>
      <c r="E379" s="1724" t="s">
        <v>49</v>
      </c>
      <c r="F379" s="1725">
        <v>1</v>
      </c>
      <c r="G379" s="1726"/>
      <c r="H379" s="814">
        <f>ROUND(F379*G379,2)</f>
        <v>0</v>
      </c>
      <c r="I379" s="1345" t="s">
        <v>112</v>
      </c>
      <c r="J379" s="1791"/>
      <c r="K379" s="1792"/>
      <c r="L379" s="762"/>
      <c r="M379" s="762"/>
      <c r="N379" s="762"/>
      <c r="O379" s="919"/>
      <c r="P379" s="762"/>
      <c r="Q379" s="1793"/>
      <c r="R379" s="762"/>
      <c r="S379" s="762"/>
    </row>
    <row r="380" spans="1:24" s="1291" customFormat="1" ht="27" customHeight="1">
      <c r="A380" s="1727"/>
      <c r="B380" s="1337"/>
      <c r="C380" s="1337"/>
      <c r="D380" s="1343" t="s">
        <v>2540</v>
      </c>
      <c r="E380" s="1728"/>
      <c r="F380" s="1344">
        <v>1</v>
      </c>
      <c r="G380" s="1614"/>
      <c r="H380" s="1614"/>
      <c r="I380" s="1697"/>
    </row>
    <row r="381" spans="1:24" s="1699" customFormat="1" ht="81" customHeight="1">
      <c r="A381" s="1714"/>
      <c r="B381" s="1536"/>
      <c r="C381" s="1536"/>
      <c r="D381" s="1674" t="s">
        <v>2541</v>
      </c>
      <c r="E381" s="1536"/>
      <c r="F381" s="1485"/>
      <c r="G381" s="1717"/>
      <c r="H381" s="1717"/>
      <c r="I381" s="1541"/>
      <c r="J381" s="1794"/>
      <c r="K381" s="1795"/>
    </row>
    <row r="382" spans="1:24" s="195" customFormat="1" ht="13.5" customHeight="1">
      <c r="A382" s="1005">
        <v>118</v>
      </c>
      <c r="B382" s="460" t="s">
        <v>2204</v>
      </c>
      <c r="C382" s="460" t="s">
        <v>2542</v>
      </c>
      <c r="D382" s="460" t="s">
        <v>2543</v>
      </c>
      <c r="E382" s="460" t="s">
        <v>49</v>
      </c>
      <c r="F382" s="1311">
        <f>F383</f>
        <v>1</v>
      </c>
      <c r="G382" s="1011"/>
      <c r="H382" s="814">
        <f>ROUND(F382*G382,2)</f>
        <v>0</v>
      </c>
      <c r="I382" s="153" t="s">
        <v>111</v>
      </c>
      <c r="J382" s="1680"/>
      <c r="Q382" s="237"/>
    </row>
    <row r="383" spans="1:24" s="1636" customFormat="1" ht="13.5" customHeight="1">
      <c r="A383" s="1637"/>
      <c r="B383" s="1638"/>
      <c r="C383" s="1606"/>
      <c r="D383" s="342" t="s">
        <v>2067</v>
      </c>
      <c r="E383" s="466"/>
      <c r="F383" s="1314">
        <v>1</v>
      </c>
      <c r="G383" s="1639"/>
      <c r="H383" s="1640"/>
      <c r="I383" s="1641"/>
      <c r="J383" s="1749"/>
      <c r="U383" s="1750"/>
      <c r="W383" s="1750"/>
    </row>
    <row r="384" spans="1:24" s="195" customFormat="1" ht="13.5" customHeight="1">
      <c r="A384" s="1005">
        <v>119</v>
      </c>
      <c r="B384" s="460">
        <v>731</v>
      </c>
      <c r="C384" s="460">
        <v>998735202</v>
      </c>
      <c r="D384" s="460" t="s">
        <v>2544</v>
      </c>
      <c r="E384" s="460" t="s">
        <v>10</v>
      </c>
      <c r="F384" s="1311">
        <v>1.31</v>
      </c>
      <c r="G384" s="1011"/>
      <c r="H384" s="814">
        <f>ROUND(F384*G384,2)</f>
        <v>0</v>
      </c>
      <c r="I384" s="153" t="s">
        <v>138</v>
      </c>
      <c r="J384" s="1698"/>
    </row>
    <row r="385" spans="1:23" s="195" customFormat="1" ht="13.5" customHeight="1">
      <c r="A385" s="1005">
        <v>120</v>
      </c>
      <c r="B385" s="460" t="s">
        <v>369</v>
      </c>
      <c r="C385" s="460" t="s">
        <v>2257</v>
      </c>
      <c r="D385" s="460" t="s">
        <v>2258</v>
      </c>
      <c r="E385" s="460" t="s">
        <v>69</v>
      </c>
      <c r="F385" s="1311">
        <f>F386</f>
        <v>10</v>
      </c>
      <c r="G385" s="1011"/>
      <c r="H385" s="814">
        <f>ROUND(F385*G385,2)</f>
        <v>0</v>
      </c>
      <c r="I385" s="153" t="s">
        <v>138</v>
      </c>
      <c r="J385" s="1680"/>
    </row>
    <row r="386" spans="1:23" s="1636" customFormat="1" ht="13.5" customHeight="1">
      <c r="A386" s="1637"/>
      <c r="B386" s="1638"/>
      <c r="C386" s="1606"/>
      <c r="D386" s="342" t="s">
        <v>2545</v>
      </c>
      <c r="E386" s="466"/>
      <c r="F386" s="1314">
        <v>10</v>
      </c>
      <c r="G386" s="1639"/>
      <c r="H386" s="1640"/>
      <c r="I386" s="1641"/>
      <c r="J386" s="1749"/>
      <c r="U386" s="1750"/>
      <c r="W386" s="1750"/>
    </row>
    <row r="387" spans="1:23" s="1636" customFormat="1" ht="13.5" customHeight="1">
      <c r="A387" s="1637"/>
      <c r="B387" s="1638"/>
      <c r="C387" s="1606"/>
      <c r="D387" s="342" t="s">
        <v>2486</v>
      </c>
      <c r="E387" s="466"/>
      <c r="F387" s="1314"/>
      <c r="G387" s="1639"/>
      <c r="H387" s="1640"/>
      <c r="I387" s="1641"/>
      <c r="J387" s="1749"/>
      <c r="U387" s="1750"/>
      <c r="W387" s="1750"/>
    </row>
    <row r="388" spans="1:23" ht="21" customHeight="1">
      <c r="A388" s="1392"/>
      <c r="B388" s="1393"/>
      <c r="C388" s="1393"/>
      <c r="D388" s="1393" t="s">
        <v>0</v>
      </c>
      <c r="E388" s="1393"/>
      <c r="F388" s="1729"/>
      <c r="G388" s="1395"/>
      <c r="H388" s="1395">
        <f>H7</f>
        <v>0</v>
      </c>
      <c r="I388" s="1396"/>
    </row>
    <row r="389" spans="1:23">
      <c r="A389" s="1397"/>
      <c r="B389" s="1397"/>
      <c r="C389" s="1398"/>
      <c r="D389" s="1398"/>
      <c r="E389" s="1399"/>
      <c r="F389" s="1730"/>
      <c r="G389" s="1401"/>
      <c r="H389" s="1401"/>
      <c r="I389" s="1402"/>
    </row>
    <row r="390" spans="1:23" ht="13.5" customHeight="1">
      <c r="A390" s="3072" t="s">
        <v>875</v>
      </c>
      <c r="B390" s="3073"/>
      <c r="C390" s="3074"/>
      <c r="D390" s="1403" t="s">
        <v>1654</v>
      </c>
      <c r="E390" s="1404"/>
      <c r="F390" s="1731"/>
      <c r="G390" s="1406"/>
      <c r="H390" s="1407">
        <f>H388</f>
        <v>0</v>
      </c>
      <c r="I390" s="1408"/>
    </row>
    <row r="391" spans="1:23" ht="13.5" customHeight="1">
      <c r="A391" s="1409"/>
      <c r="B391" s="1410"/>
      <c r="C391" s="1410"/>
      <c r="D391" s="1411"/>
      <c r="E391" s="1412"/>
      <c r="F391" s="1732"/>
      <c r="G391" s="1414"/>
      <c r="H391" s="1415"/>
      <c r="I391" s="1396"/>
    </row>
    <row r="392" spans="1:23" ht="13.5" customHeight="1">
      <c r="A392" s="129" t="s">
        <v>1</v>
      </c>
      <c r="B392" s="129"/>
      <c r="C392" s="129"/>
      <c r="D392" s="129"/>
      <c r="E392" s="129"/>
      <c r="F392" s="793"/>
      <c r="G392" s="129"/>
      <c r="H392" s="129"/>
      <c r="I392" s="129"/>
    </row>
    <row r="393" spans="1:23" ht="27" customHeight="1">
      <c r="A393" s="3018" t="s">
        <v>877</v>
      </c>
      <c r="B393" s="3018"/>
      <c r="C393" s="3018"/>
      <c r="D393" s="3018"/>
      <c r="E393" s="3018"/>
      <c r="F393" s="3018"/>
      <c r="G393" s="3018"/>
      <c r="H393" s="129"/>
      <c r="I393" s="1396"/>
    </row>
    <row r="394" spans="1:23" ht="93.75" customHeight="1">
      <c r="A394" s="3018" t="s">
        <v>104</v>
      </c>
      <c r="B394" s="3018"/>
      <c r="C394" s="3018"/>
      <c r="D394" s="3018"/>
      <c r="E394" s="3018"/>
      <c r="F394" s="3018"/>
      <c r="G394" s="3018"/>
      <c r="H394" s="129"/>
      <c r="I394" s="129"/>
    </row>
    <row r="395" spans="1:23" ht="13.5" customHeight="1">
      <c r="A395" s="3018" t="s">
        <v>105</v>
      </c>
      <c r="B395" s="3018"/>
      <c r="C395" s="3018"/>
      <c r="D395" s="3018"/>
      <c r="E395" s="3018"/>
      <c r="F395" s="3018"/>
      <c r="G395" s="3018"/>
      <c r="H395" s="507"/>
      <c r="I395" s="507"/>
    </row>
    <row r="396" spans="1:23" ht="13.5" customHeight="1">
      <c r="A396" s="3018" t="s">
        <v>106</v>
      </c>
      <c r="B396" s="3018"/>
      <c r="C396" s="3018"/>
      <c r="D396" s="3018"/>
      <c r="E396" s="3018"/>
      <c r="F396" s="3018"/>
      <c r="G396" s="3018"/>
      <c r="H396" s="507"/>
      <c r="I396" s="507"/>
    </row>
    <row r="397" spans="1:23" ht="94.5" customHeight="1">
      <c r="A397" s="3057" t="s">
        <v>1026</v>
      </c>
      <c r="B397" s="3057"/>
      <c r="C397" s="3057"/>
      <c r="D397" s="3057"/>
      <c r="E397" s="3057"/>
      <c r="F397" s="3057"/>
      <c r="G397" s="3057"/>
      <c r="H397" s="1368"/>
      <c r="I397" s="1733"/>
    </row>
  </sheetData>
  <mergeCells count="8">
    <mergeCell ref="A396:G396"/>
    <mergeCell ref="A397:G397"/>
    <mergeCell ref="A2:I2"/>
    <mergeCell ref="K377:L377"/>
    <mergeCell ref="A390:C390"/>
    <mergeCell ref="A393:G393"/>
    <mergeCell ref="A394:G394"/>
    <mergeCell ref="A395:G395"/>
  </mergeCells>
  <printOptions horizontalCentered="1" gridLines="1"/>
  <pageMargins left="0.39370078740157483" right="0.39370078740157483" top="0.78740157480314965" bottom="0.39370078740157483" header="0.31496062992125984" footer="0.31496062992125984"/>
  <pageSetup paperSize="9" scale="69" fitToHeight="9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2C35-619A-4A01-B069-D0F68C8F09D9}">
  <sheetPr>
    <pageSetUpPr fitToPage="1"/>
  </sheetPr>
  <dimension ref="A1:DQ94"/>
  <sheetViews>
    <sheetView zoomScaleNormal="100" workbookViewId="0"/>
  </sheetViews>
  <sheetFormatPr defaultRowHeight="15"/>
  <cols>
    <col min="1" max="1" width="4.83203125" style="1287" customWidth="1"/>
    <col min="2" max="2" width="5" style="1287" customWidth="1"/>
    <col min="3" max="3" width="16.83203125" style="1287" customWidth="1"/>
    <col min="4" max="4" width="75.83203125" style="1287" customWidth="1"/>
    <col min="5" max="5" width="7.83203125" style="1287" customWidth="1"/>
    <col min="6" max="6" width="11.83203125" style="1287" customWidth="1"/>
    <col min="7" max="7" width="13.6640625" style="1287" customWidth="1"/>
    <col min="8" max="8" width="18.33203125" style="1287" customWidth="1"/>
    <col min="9" max="9" width="20.1640625" style="1287" customWidth="1"/>
    <col min="10" max="10" width="19.33203125" style="1287" customWidth="1"/>
    <col min="11" max="11" width="14.6640625" style="1287" customWidth="1"/>
    <col min="12" max="12" width="13.83203125" style="1287" customWidth="1"/>
    <col min="13" max="13" width="21.1640625" style="1287" customWidth="1"/>
    <col min="14" max="14" width="14.1640625" style="1287" customWidth="1"/>
    <col min="15" max="15" width="13.1640625" style="1287" customWidth="1"/>
    <col min="16" max="16" width="9.33203125" style="1287"/>
    <col min="17" max="17" width="17.5" style="1287" customWidth="1"/>
    <col min="18" max="18" width="19.6640625" style="1287" customWidth="1"/>
    <col min="19" max="19" width="12.83203125" style="1287" customWidth="1"/>
    <col min="20" max="20" width="15.33203125" style="1287" customWidth="1"/>
    <col min="21" max="16384" width="9.33203125" style="1287"/>
  </cols>
  <sheetData>
    <row r="1" spans="1:23" ht="18.75">
      <c r="A1" s="133" t="s">
        <v>2956</v>
      </c>
      <c r="B1" s="509"/>
      <c r="C1" s="509"/>
      <c r="D1" s="510"/>
      <c r="E1" s="1187"/>
      <c r="F1" s="1187"/>
      <c r="G1" s="1187"/>
      <c r="H1" s="1187"/>
      <c r="I1" s="1187"/>
      <c r="J1" s="1286"/>
    </row>
    <row r="2" spans="1:23" ht="13.5" customHeight="1">
      <c r="A2" s="3065" t="s">
        <v>116</v>
      </c>
      <c r="B2" s="3079"/>
      <c r="C2" s="3079"/>
      <c r="D2" s="3079"/>
      <c r="E2" s="3079"/>
      <c r="F2" s="3079"/>
      <c r="G2" s="3079"/>
      <c r="H2" s="3079"/>
      <c r="I2" s="3079"/>
    </row>
    <row r="3" spans="1:23" ht="13.5" customHeight="1">
      <c r="A3" s="1288" t="s">
        <v>2037</v>
      </c>
      <c r="B3" s="1289"/>
      <c r="C3" s="1289"/>
      <c r="D3" s="1289"/>
      <c r="E3" s="1289"/>
      <c r="F3" s="1290"/>
      <c r="G3" s="1290"/>
      <c r="H3" s="1291"/>
      <c r="I3" s="1291"/>
    </row>
    <row r="4" spans="1:23">
      <c r="A4" s="1290"/>
      <c r="B4" s="1290"/>
      <c r="C4" s="1290"/>
      <c r="D4" s="1292"/>
      <c r="E4" s="1293"/>
      <c r="F4" s="1290"/>
      <c r="G4" s="1290"/>
      <c r="H4" s="1290"/>
      <c r="I4" s="1294"/>
    </row>
    <row r="5" spans="1:23" ht="22.5">
      <c r="A5" s="1295" t="s">
        <v>119</v>
      </c>
      <c r="B5" s="1295" t="s">
        <v>120</v>
      </c>
      <c r="C5" s="1295" t="s">
        <v>121</v>
      </c>
      <c r="D5" s="1295" t="s">
        <v>122</v>
      </c>
      <c r="E5" s="1295" t="s">
        <v>123</v>
      </c>
      <c r="F5" s="1295" t="s">
        <v>124</v>
      </c>
      <c r="G5" s="1295" t="s">
        <v>125</v>
      </c>
      <c r="H5" s="1296" t="s">
        <v>2</v>
      </c>
      <c r="I5" s="1297" t="s">
        <v>46</v>
      </c>
      <c r="J5" s="633"/>
    </row>
    <row r="6" spans="1:23">
      <c r="A6" s="1295" t="s">
        <v>126</v>
      </c>
      <c r="B6" s="1295" t="s">
        <v>127</v>
      </c>
      <c r="C6" s="1295">
        <v>3</v>
      </c>
      <c r="D6" s="1295">
        <v>4</v>
      </c>
      <c r="E6" s="1295">
        <v>5</v>
      </c>
      <c r="F6" s="1295">
        <v>6</v>
      </c>
      <c r="G6" s="1295">
        <v>7</v>
      </c>
      <c r="H6" s="1296">
        <v>8</v>
      </c>
      <c r="I6" s="1297">
        <v>9</v>
      </c>
    </row>
    <row r="7" spans="1:23" ht="21" customHeight="1">
      <c r="A7" s="1298"/>
      <c r="B7" s="1299"/>
      <c r="C7" s="1299" t="s">
        <v>373</v>
      </c>
      <c r="D7" s="1299" t="s">
        <v>374</v>
      </c>
      <c r="E7" s="1299"/>
      <c r="F7" s="1300"/>
      <c r="G7" s="1301"/>
      <c r="H7" s="1301">
        <f>H8+H42</f>
        <v>0</v>
      </c>
      <c r="I7" s="1302"/>
      <c r="J7" s="1303"/>
    </row>
    <row r="8" spans="1:23" s="227" customFormat="1" ht="13.5" customHeight="1">
      <c r="A8" s="1304"/>
      <c r="B8" s="1305"/>
      <c r="C8" s="1306">
        <v>723</v>
      </c>
      <c r="D8" s="1306" t="s">
        <v>2038</v>
      </c>
      <c r="E8" s="1306"/>
      <c r="F8" s="1307"/>
      <c r="G8" s="1308"/>
      <c r="H8" s="1308">
        <f>SUM(H9:H41)</f>
        <v>0</v>
      </c>
      <c r="I8" s="1309"/>
      <c r="J8" s="1310"/>
    </row>
    <row r="9" spans="1:23" s="195" customFormat="1" ht="13.5" customHeight="1">
      <c r="A9" s="1005">
        <v>1</v>
      </c>
      <c r="B9" s="460">
        <v>721</v>
      </c>
      <c r="C9" s="460">
        <v>723150303</v>
      </c>
      <c r="D9" s="460" t="s">
        <v>2039</v>
      </c>
      <c r="E9" s="460" t="s">
        <v>142</v>
      </c>
      <c r="F9" s="1311">
        <f>F10</f>
        <v>19.8</v>
      </c>
      <c r="G9" s="1011"/>
      <c r="H9" s="1011">
        <f>F9*G9</f>
        <v>0</v>
      </c>
      <c r="I9" s="153" t="s">
        <v>1927</v>
      </c>
      <c r="J9" s="1312"/>
      <c r="K9" s="1312"/>
      <c r="L9" s="1312"/>
      <c r="M9" s="1312"/>
      <c r="N9" s="1312"/>
      <c r="O9" s="1312"/>
      <c r="P9" s="1312"/>
      <c r="Q9" s="1312"/>
    </row>
    <row r="10" spans="1:23" s="174" customFormat="1" ht="13.5" customHeight="1">
      <c r="A10" s="168"/>
      <c r="B10" s="169"/>
      <c r="C10" s="1313"/>
      <c r="D10" s="342" t="s">
        <v>2040</v>
      </c>
      <c r="E10" s="466"/>
      <c r="F10" s="1314">
        <f>(18)*1.1</f>
        <v>19.8</v>
      </c>
      <c r="G10" s="171"/>
      <c r="H10" s="172"/>
      <c r="I10" s="173"/>
      <c r="J10" s="1315"/>
      <c r="U10" s="175"/>
      <c r="W10" s="175"/>
    </row>
    <row r="11" spans="1:23" s="174" customFormat="1" ht="13.5" customHeight="1">
      <c r="A11" s="168"/>
      <c r="B11" s="169"/>
      <c r="C11" s="170"/>
      <c r="D11" s="466" t="s">
        <v>2041</v>
      </c>
      <c r="E11" s="466"/>
      <c r="F11" s="1314"/>
      <c r="G11" s="171"/>
      <c r="H11" s="1316"/>
      <c r="I11" s="173"/>
      <c r="J11" s="1315"/>
      <c r="L11" s="1317"/>
      <c r="M11" s="1317"/>
      <c r="Q11" s="1318"/>
      <c r="R11" s="1318"/>
      <c r="U11" s="175"/>
      <c r="W11" s="175"/>
    </row>
    <row r="12" spans="1:23" s="195" customFormat="1" ht="27" customHeight="1">
      <c r="A12" s="1005">
        <v>2</v>
      </c>
      <c r="B12" s="460">
        <v>721</v>
      </c>
      <c r="C12" s="460" t="s">
        <v>2042</v>
      </c>
      <c r="D12" s="460" t="s">
        <v>2043</v>
      </c>
      <c r="E12" s="460" t="s">
        <v>142</v>
      </c>
      <c r="F12" s="1311">
        <f>F13</f>
        <v>0.88000000000000012</v>
      </c>
      <c r="G12" s="1011"/>
      <c r="H12" s="1011">
        <f>F12*G12</f>
        <v>0</v>
      </c>
      <c r="I12" s="153" t="s">
        <v>111</v>
      </c>
    </row>
    <row r="13" spans="1:23" s="174" customFormat="1" ht="13.5" customHeight="1">
      <c r="A13" s="168"/>
      <c r="B13" s="169"/>
      <c r="C13" s="1313"/>
      <c r="D13" s="342" t="s">
        <v>2044</v>
      </c>
      <c r="E13" s="466"/>
      <c r="F13" s="1314">
        <f>(0.8)*1.1</f>
        <v>0.88000000000000012</v>
      </c>
      <c r="G13" s="171"/>
      <c r="H13" s="172"/>
      <c r="I13" s="173"/>
      <c r="J13" s="1315"/>
      <c r="U13" s="175"/>
      <c r="W13" s="175"/>
    </row>
    <row r="14" spans="1:23" s="174" customFormat="1" ht="13.5" customHeight="1">
      <c r="A14" s="168"/>
      <c r="B14" s="169"/>
      <c r="C14" s="170"/>
      <c r="D14" s="466" t="s">
        <v>2041</v>
      </c>
      <c r="E14" s="466"/>
      <c r="F14" s="1314"/>
      <c r="G14" s="171"/>
      <c r="H14" s="1316"/>
      <c r="I14" s="173"/>
      <c r="J14" s="1315"/>
      <c r="L14" s="1317"/>
      <c r="M14" s="1317"/>
      <c r="Q14" s="1318"/>
      <c r="R14" s="1318"/>
      <c r="U14" s="175"/>
      <c r="W14" s="175"/>
    </row>
    <row r="15" spans="1:23" s="195" customFormat="1" ht="13.5" customHeight="1">
      <c r="A15" s="1005">
        <v>3</v>
      </c>
      <c r="B15" s="460">
        <v>721</v>
      </c>
      <c r="C15" s="460" t="s">
        <v>2045</v>
      </c>
      <c r="D15" s="460" t="s">
        <v>2046</v>
      </c>
      <c r="E15" s="460" t="s">
        <v>142</v>
      </c>
      <c r="F15" s="1311">
        <f>F16</f>
        <v>4.4000000000000004</v>
      </c>
      <c r="G15" s="1011"/>
      <c r="H15" s="1011">
        <f>F15*G15</f>
        <v>0</v>
      </c>
      <c r="I15" s="153" t="s">
        <v>1927</v>
      </c>
      <c r="J15" s="1319"/>
    </row>
    <row r="16" spans="1:23" s="174" customFormat="1" ht="13.5" customHeight="1">
      <c r="A16" s="168"/>
      <c r="B16" s="169"/>
      <c r="C16" s="1313"/>
      <c r="D16" s="342" t="s">
        <v>2047</v>
      </c>
      <c r="E16" s="466"/>
      <c r="F16" s="1314">
        <f>(4)*1.1</f>
        <v>4.4000000000000004</v>
      </c>
      <c r="G16" s="171"/>
      <c r="H16" s="172"/>
      <c r="I16" s="173"/>
      <c r="J16" s="1315"/>
      <c r="U16" s="175"/>
      <c r="W16" s="175"/>
    </row>
    <row r="17" spans="1:121" s="174" customFormat="1" ht="13.5" customHeight="1">
      <c r="A17" s="168"/>
      <c r="B17" s="169"/>
      <c r="C17" s="170"/>
      <c r="D17" s="466" t="s">
        <v>2041</v>
      </c>
      <c r="E17" s="466"/>
      <c r="F17" s="1314"/>
      <c r="G17" s="171"/>
      <c r="H17" s="1316"/>
      <c r="I17" s="173"/>
      <c r="J17" s="1315"/>
      <c r="L17" s="1320"/>
      <c r="P17" s="1321"/>
      <c r="Q17" s="1318"/>
      <c r="R17" s="1318"/>
      <c r="U17" s="175"/>
      <c r="W17" s="175"/>
    </row>
    <row r="18" spans="1:121" s="195" customFormat="1" ht="13.5" customHeight="1">
      <c r="A18" s="1005">
        <v>4</v>
      </c>
      <c r="B18" s="460" t="s">
        <v>2048</v>
      </c>
      <c r="C18" s="460" t="s">
        <v>2049</v>
      </c>
      <c r="D18" s="460" t="s">
        <v>2050</v>
      </c>
      <c r="E18" s="460" t="s">
        <v>142</v>
      </c>
      <c r="F18" s="1311">
        <f>F20</f>
        <v>4.4000000000000004</v>
      </c>
      <c r="G18" s="1011"/>
      <c r="H18" s="1011">
        <f>F18*G18</f>
        <v>0</v>
      </c>
      <c r="I18" s="153" t="s">
        <v>111</v>
      </c>
      <c r="J18" s="1322"/>
    </row>
    <row r="19" spans="1:121" s="174" customFormat="1" ht="13.5" customHeight="1">
      <c r="A19" s="168"/>
      <c r="B19" s="169"/>
      <c r="C19" s="1313"/>
      <c r="D19" s="342" t="s">
        <v>2051</v>
      </c>
      <c r="E19" s="466"/>
      <c r="G19" s="171"/>
      <c r="H19" s="172"/>
      <c r="I19" s="173"/>
      <c r="J19" s="1315"/>
      <c r="U19" s="175"/>
      <c r="W19" s="175"/>
    </row>
    <row r="20" spans="1:121" s="174" customFormat="1" ht="13.5" customHeight="1">
      <c r="A20" s="168"/>
      <c r="B20" s="169"/>
      <c r="C20" s="1313"/>
      <c r="D20" s="342" t="s">
        <v>2052</v>
      </c>
      <c r="E20" s="466"/>
      <c r="F20" s="1314">
        <f>(4)*1.1</f>
        <v>4.4000000000000004</v>
      </c>
      <c r="G20" s="171"/>
      <c r="H20" s="172"/>
      <c r="I20" s="173"/>
      <c r="J20" s="1315"/>
      <c r="U20" s="175"/>
      <c r="W20" s="175"/>
    </row>
    <row r="21" spans="1:121" s="174" customFormat="1" ht="13.5" customHeight="1">
      <c r="A21" s="168"/>
      <c r="B21" s="169"/>
      <c r="C21" s="170"/>
      <c r="D21" s="466" t="s">
        <v>2041</v>
      </c>
      <c r="E21" s="466"/>
      <c r="F21" s="1314"/>
      <c r="G21" s="171"/>
      <c r="H21" s="1316"/>
      <c r="I21" s="173"/>
      <c r="J21" s="1315"/>
      <c r="L21" s="1317"/>
      <c r="M21" s="1317"/>
      <c r="Q21" s="1318"/>
      <c r="R21" s="1318"/>
      <c r="U21" s="175"/>
      <c r="W21" s="175"/>
    </row>
    <row r="22" spans="1:121" s="1328" customFormat="1" ht="13.5" customHeight="1">
      <c r="A22" s="1323">
        <v>5</v>
      </c>
      <c r="B22" s="1324">
        <v>721</v>
      </c>
      <c r="C22" s="1325" t="s">
        <v>2053</v>
      </c>
      <c r="D22" s="1326" t="s">
        <v>2054</v>
      </c>
      <c r="E22" s="209" t="s">
        <v>210</v>
      </c>
      <c r="F22" s="1327">
        <f>SUM(F23)</f>
        <v>1</v>
      </c>
      <c r="G22" s="667"/>
      <c r="H22" s="1011">
        <f>F22*G22</f>
        <v>0</v>
      </c>
      <c r="I22" s="153" t="s">
        <v>111</v>
      </c>
      <c r="J22" s="670"/>
      <c r="K22" s="699"/>
      <c r="L22" s="699"/>
      <c r="M22" s="699"/>
      <c r="N22" s="699"/>
      <c r="O22" s="699"/>
      <c r="P22" s="670"/>
      <c r="R22" s="1329"/>
      <c r="S22" s="1329"/>
      <c r="T22" s="670"/>
      <c r="U22" s="670"/>
    </row>
    <row r="23" spans="1:121" s="668" customFormat="1" ht="13.5" customHeight="1">
      <c r="A23" s="670"/>
      <c r="B23" s="670"/>
      <c r="C23" s="670"/>
      <c r="D23" s="221" t="s">
        <v>2055</v>
      </c>
      <c r="E23" s="670"/>
      <c r="F23" s="1330">
        <f>1</f>
        <v>1</v>
      </c>
      <c r="G23" s="667"/>
      <c r="H23" s="670"/>
      <c r="I23" s="670"/>
      <c r="J23" s="633"/>
    </row>
    <row r="24" spans="1:121" s="195" customFormat="1" ht="13.5" customHeight="1">
      <c r="A24" s="1005">
        <v>6</v>
      </c>
      <c r="B24" s="460">
        <v>721</v>
      </c>
      <c r="C24" s="460" t="s">
        <v>2056</v>
      </c>
      <c r="D24" s="460" t="s">
        <v>2057</v>
      </c>
      <c r="E24" s="460" t="s">
        <v>210</v>
      </c>
      <c r="F24" s="1311">
        <f>SUM(F26)</f>
        <v>1</v>
      </c>
      <c r="G24" s="1011"/>
      <c r="H24" s="1011">
        <f>F24*G24</f>
        <v>0</v>
      </c>
      <c r="I24" s="153" t="s">
        <v>111</v>
      </c>
      <c r="Q24" s="1331"/>
      <c r="R24" s="1332"/>
    </row>
    <row r="25" spans="1:121" s="195" customFormat="1" ht="13.5" customHeight="1">
      <c r="A25" s="1005"/>
      <c r="B25" s="460"/>
      <c r="C25" s="460"/>
      <c r="D25" s="342" t="s">
        <v>2058</v>
      </c>
      <c r="E25" s="460"/>
      <c r="F25" s="1311"/>
      <c r="G25" s="1011"/>
      <c r="H25" s="1011"/>
      <c r="I25" s="153"/>
      <c r="J25" s="633"/>
      <c r="Q25" s="1331"/>
      <c r="R25" s="1332"/>
    </row>
    <row r="26" spans="1:121" s="174" customFormat="1" ht="13.5" customHeight="1">
      <c r="A26" s="168"/>
      <c r="B26" s="169"/>
      <c r="C26" s="1333"/>
      <c r="D26" s="342" t="s">
        <v>2059</v>
      </c>
      <c r="E26" s="466"/>
      <c r="F26" s="1314">
        <v>1</v>
      </c>
      <c r="G26" s="171"/>
      <c r="H26" s="172"/>
      <c r="I26" s="153"/>
      <c r="J26" s="939"/>
      <c r="R26" s="1332"/>
      <c r="U26" s="175"/>
      <c r="W26" s="175"/>
    </row>
    <row r="27" spans="1:121" s="174" customFormat="1" ht="27" customHeight="1">
      <c r="A27" s="168"/>
      <c r="B27" s="169"/>
      <c r="C27" s="1333"/>
      <c r="D27" s="342" t="s">
        <v>2060</v>
      </c>
      <c r="E27" s="466"/>
      <c r="F27" s="1314"/>
      <c r="G27" s="171"/>
      <c r="H27" s="172"/>
      <c r="I27" s="153"/>
      <c r="J27" s="1334"/>
      <c r="R27" s="1332"/>
      <c r="U27" s="175"/>
      <c r="W27" s="175"/>
    </row>
    <row r="28" spans="1:121" s="1342" customFormat="1" ht="13.5" customHeight="1">
      <c r="A28" s="1335">
        <v>7</v>
      </c>
      <c r="B28" s="1336" t="s">
        <v>2048</v>
      </c>
      <c r="C28" s="1337" t="s">
        <v>2954</v>
      </c>
      <c r="D28" s="1337" t="s">
        <v>2061</v>
      </c>
      <c r="E28" s="1337" t="s">
        <v>49</v>
      </c>
      <c r="F28" s="1338">
        <f>F29</f>
        <v>1</v>
      </c>
      <c r="G28" s="1339"/>
      <c r="H28" s="1339">
        <f>F28*G28</f>
        <v>0</v>
      </c>
      <c r="I28" s="153" t="s">
        <v>111</v>
      </c>
      <c r="J28" s="1340"/>
      <c r="K28" s="1341"/>
      <c r="L28" s="1341"/>
      <c r="M28" s="1340"/>
      <c r="N28" s="1341"/>
      <c r="O28" s="1341"/>
      <c r="P28" s="1341"/>
      <c r="Q28" s="1341"/>
      <c r="R28" s="1341"/>
      <c r="S28" s="1341"/>
      <c r="T28" s="1341"/>
      <c r="U28" s="1341"/>
      <c r="V28" s="1341"/>
      <c r="W28" s="1341"/>
      <c r="X28" s="1341"/>
      <c r="Y28" s="1341"/>
      <c r="Z28" s="1341"/>
      <c r="AA28" s="1341"/>
      <c r="AB28" s="1341"/>
      <c r="AC28" s="1341"/>
      <c r="AD28" s="1341"/>
      <c r="AE28" s="1341"/>
      <c r="AF28" s="1341"/>
      <c r="AG28" s="1341"/>
      <c r="AH28" s="1341"/>
      <c r="AI28" s="1341"/>
      <c r="AJ28" s="1341"/>
      <c r="AK28" s="1341"/>
      <c r="AL28" s="1341"/>
      <c r="AM28" s="1341"/>
      <c r="AN28" s="1341"/>
      <c r="AO28" s="1341"/>
      <c r="AP28" s="1341"/>
      <c r="AQ28" s="1341"/>
      <c r="AR28" s="1341"/>
      <c r="AS28" s="1341"/>
      <c r="AT28" s="1341"/>
      <c r="AU28" s="1341"/>
      <c r="AV28" s="1341"/>
      <c r="AW28" s="1341"/>
      <c r="AX28" s="1341"/>
      <c r="AY28" s="1341"/>
      <c r="AZ28" s="1341"/>
      <c r="BA28" s="1341"/>
      <c r="BB28" s="1341"/>
      <c r="BC28" s="1341"/>
      <c r="BD28" s="1341"/>
      <c r="BE28" s="1341"/>
      <c r="BF28" s="1341"/>
      <c r="BG28" s="1341"/>
      <c r="BH28" s="1341"/>
      <c r="BI28" s="1341"/>
      <c r="BJ28" s="1341"/>
      <c r="BK28" s="1341"/>
      <c r="BL28" s="1341"/>
      <c r="BM28" s="1341"/>
      <c r="BN28" s="1341"/>
      <c r="BO28" s="1341"/>
    </row>
    <row r="29" spans="1:121" s="1342" customFormat="1" ht="27" customHeight="1">
      <c r="A29" s="1335"/>
      <c r="B29" s="1336"/>
      <c r="C29" s="1337"/>
      <c r="D29" s="1343" t="s">
        <v>2062</v>
      </c>
      <c r="E29" s="1337"/>
      <c r="F29" s="1344">
        <v>1</v>
      </c>
      <c r="G29" s="1339"/>
      <c r="H29" s="1339"/>
      <c r="I29" s="1345"/>
      <c r="J29" s="1346"/>
      <c r="K29" s="1341"/>
      <c r="L29" s="1341"/>
      <c r="M29" s="1340"/>
      <c r="N29" s="1341"/>
      <c r="O29" s="1341"/>
      <c r="P29" s="1341"/>
      <c r="Q29" s="1341"/>
      <c r="R29" s="1341"/>
      <c r="S29" s="1341"/>
      <c r="T29" s="1341"/>
      <c r="U29" s="1341"/>
      <c r="V29" s="1341"/>
      <c r="W29" s="1341"/>
      <c r="X29" s="1341"/>
      <c r="Y29" s="1341"/>
      <c r="Z29" s="1341"/>
      <c r="AA29" s="1341"/>
      <c r="AB29" s="1341"/>
      <c r="AC29" s="1341"/>
      <c r="AD29" s="1341"/>
      <c r="AE29" s="1341"/>
      <c r="AF29" s="1341"/>
      <c r="AG29" s="1341"/>
      <c r="AH29" s="1341"/>
      <c r="AI29" s="1341"/>
      <c r="AJ29" s="1341"/>
      <c r="AK29" s="1341"/>
      <c r="AL29" s="1341"/>
      <c r="AM29" s="1341"/>
      <c r="AN29" s="1341"/>
      <c r="AO29" s="1341"/>
      <c r="AP29" s="1341"/>
      <c r="AQ29" s="1341"/>
      <c r="AR29" s="1341"/>
      <c r="AS29" s="1341"/>
      <c r="AT29" s="1341"/>
      <c r="AU29" s="1341"/>
      <c r="AV29" s="1341"/>
      <c r="AW29" s="1341"/>
      <c r="AX29" s="1341"/>
      <c r="AY29" s="1341"/>
      <c r="AZ29" s="1341"/>
      <c r="BA29" s="1341"/>
      <c r="BB29" s="1341"/>
      <c r="BC29" s="1341"/>
      <c r="BD29" s="1341"/>
      <c r="BE29" s="1341"/>
      <c r="BF29" s="1341"/>
      <c r="BG29" s="1341"/>
      <c r="BH29" s="1341"/>
      <c r="BI29" s="1341"/>
      <c r="BJ29" s="1341"/>
      <c r="BK29" s="1341"/>
      <c r="BL29" s="1341"/>
      <c r="BM29" s="1341"/>
      <c r="BN29" s="1341"/>
      <c r="BO29" s="1341"/>
    </row>
    <row r="30" spans="1:121" s="1291" customFormat="1" ht="13.5" customHeight="1">
      <c r="A30" s="1347">
        <v>8</v>
      </c>
      <c r="B30" s="1337">
        <v>721</v>
      </c>
      <c r="C30" s="1337" t="s">
        <v>2063</v>
      </c>
      <c r="D30" s="1348" t="s">
        <v>1962</v>
      </c>
      <c r="E30" s="1348" t="s">
        <v>49</v>
      </c>
      <c r="F30" s="1349">
        <f>SUM(F32)</f>
        <v>1</v>
      </c>
      <c r="G30" s="1350"/>
      <c r="H30" s="1350">
        <f>F30*G30</f>
        <v>0</v>
      </c>
      <c r="I30" s="153" t="s">
        <v>111</v>
      </c>
    </row>
    <row r="31" spans="1:121" s="1358" customFormat="1" ht="27" customHeight="1">
      <c r="A31" s="1351"/>
      <c r="B31" s="1352"/>
      <c r="C31" s="1352"/>
      <c r="D31" s="1353" t="s">
        <v>2064</v>
      </c>
      <c r="E31" s="1352"/>
      <c r="F31" s="1354"/>
      <c r="G31" s="1355"/>
      <c r="H31" s="1356"/>
      <c r="I31" s="1356"/>
      <c r="J31" s="1357"/>
      <c r="K31" s="1357"/>
      <c r="L31" s="1357"/>
      <c r="M31" s="1357"/>
      <c r="N31" s="1357"/>
      <c r="O31" s="1357"/>
      <c r="P31" s="1357"/>
      <c r="Q31" s="1357"/>
      <c r="R31" s="1357"/>
      <c r="S31" s="1357"/>
      <c r="T31" s="1357"/>
      <c r="U31" s="1357"/>
      <c r="V31" s="1357"/>
      <c r="W31" s="1357"/>
      <c r="X31" s="1357"/>
      <c r="Y31" s="1357"/>
      <c r="Z31" s="1357"/>
      <c r="AA31" s="1357"/>
      <c r="AB31" s="1357"/>
      <c r="AC31" s="1357"/>
      <c r="AD31" s="1357"/>
      <c r="AE31" s="1357"/>
      <c r="AF31" s="1357"/>
      <c r="AG31" s="1357"/>
      <c r="AH31" s="1357"/>
      <c r="AI31" s="1357"/>
      <c r="AJ31" s="1357"/>
      <c r="AK31" s="1357"/>
      <c r="AL31" s="1357"/>
      <c r="AM31" s="1357"/>
      <c r="AN31" s="1357"/>
      <c r="AO31" s="1357"/>
      <c r="AP31" s="1357"/>
      <c r="AQ31" s="1357"/>
      <c r="AR31" s="1357"/>
      <c r="AS31" s="1357"/>
      <c r="AT31" s="1357"/>
      <c r="AU31" s="1357"/>
      <c r="AV31" s="1357"/>
      <c r="AW31" s="1357"/>
      <c r="AX31" s="1357"/>
      <c r="AY31" s="1357"/>
      <c r="AZ31" s="1357"/>
      <c r="BA31" s="1357"/>
      <c r="BB31" s="1357"/>
      <c r="BC31" s="1357"/>
      <c r="BD31" s="1357"/>
      <c r="BE31" s="1357"/>
      <c r="BF31" s="1357"/>
      <c r="BG31" s="1357"/>
      <c r="BH31" s="1357"/>
      <c r="BI31" s="1357"/>
      <c r="BJ31" s="1357"/>
      <c r="BK31" s="1357"/>
      <c r="BL31" s="1357"/>
      <c r="BM31" s="1357"/>
      <c r="BN31" s="1357"/>
      <c r="BO31" s="1357"/>
      <c r="BP31" s="1357"/>
      <c r="BQ31" s="1357"/>
      <c r="BR31" s="1357"/>
      <c r="BS31" s="1357"/>
      <c r="BT31" s="1357"/>
      <c r="BU31" s="1357"/>
      <c r="BV31" s="1357"/>
      <c r="BW31" s="1357"/>
      <c r="BX31" s="1357"/>
      <c r="BY31" s="1357"/>
      <c r="BZ31" s="1357"/>
      <c r="CA31" s="1357"/>
      <c r="CB31" s="1357"/>
      <c r="CC31" s="1357"/>
      <c r="CD31" s="1357"/>
      <c r="CE31" s="1357"/>
      <c r="CF31" s="1357"/>
      <c r="CG31" s="1357"/>
      <c r="CH31" s="1357"/>
      <c r="CI31" s="1357"/>
      <c r="CJ31" s="1357"/>
      <c r="CK31" s="1357"/>
      <c r="CL31" s="1357"/>
      <c r="CM31" s="1357"/>
      <c r="CN31" s="1357"/>
      <c r="CO31" s="1357"/>
      <c r="CP31" s="1357"/>
      <c r="CQ31" s="1357"/>
      <c r="CR31" s="1357"/>
      <c r="CS31" s="1357"/>
      <c r="CT31" s="1357"/>
      <c r="CU31" s="1357"/>
      <c r="CV31" s="1357"/>
      <c r="CW31" s="1357"/>
      <c r="CX31" s="1357"/>
      <c r="CY31" s="1357"/>
      <c r="CZ31" s="1357"/>
      <c r="DA31" s="1357"/>
      <c r="DB31" s="1357"/>
      <c r="DC31" s="1357"/>
      <c r="DD31" s="1357"/>
      <c r="DE31" s="1357"/>
      <c r="DF31" s="1357"/>
      <c r="DG31" s="1357"/>
      <c r="DH31" s="1357"/>
      <c r="DI31" s="1357"/>
      <c r="DJ31" s="1357"/>
      <c r="DK31" s="1357"/>
      <c r="DL31" s="1357"/>
      <c r="DM31" s="1357"/>
      <c r="DN31" s="1357"/>
      <c r="DO31" s="1357"/>
      <c r="DP31" s="1357"/>
      <c r="DQ31" s="1357"/>
    </row>
    <row r="32" spans="1:121" s="1358" customFormat="1" ht="13.5" customHeight="1">
      <c r="A32" s="1359"/>
      <c r="B32" s="1352"/>
      <c r="C32" s="1352"/>
      <c r="D32" s="1343" t="s">
        <v>1964</v>
      </c>
      <c r="E32" s="1352"/>
      <c r="F32" s="1344">
        <v>1</v>
      </c>
      <c r="G32" s="1360"/>
      <c r="H32" s="1339"/>
      <c r="I32" s="1356"/>
      <c r="J32" s="1357"/>
      <c r="K32" s="1357"/>
      <c r="L32" s="1357"/>
      <c r="M32" s="1357"/>
      <c r="N32" s="1357"/>
      <c r="O32" s="1357"/>
      <c r="P32" s="1357"/>
      <c r="Q32" s="1357"/>
      <c r="R32" s="1357"/>
      <c r="S32" s="1357"/>
      <c r="T32" s="1357"/>
      <c r="U32" s="1357"/>
      <c r="V32" s="1357"/>
      <c r="W32" s="1357"/>
      <c r="X32" s="1357"/>
      <c r="Y32" s="1357"/>
      <c r="Z32" s="1357"/>
      <c r="AA32" s="1357"/>
      <c r="AB32" s="1357"/>
      <c r="AC32" s="1357"/>
      <c r="AD32" s="1357"/>
      <c r="AE32" s="1357"/>
      <c r="AF32" s="1357"/>
      <c r="AG32" s="1357"/>
      <c r="AH32" s="1357"/>
      <c r="AI32" s="1357"/>
      <c r="AJ32" s="1357"/>
      <c r="AK32" s="1357"/>
      <c r="AL32" s="1357"/>
      <c r="AM32" s="1357"/>
      <c r="AN32" s="1357"/>
      <c r="AO32" s="1357"/>
      <c r="AP32" s="1357"/>
      <c r="AQ32" s="1357"/>
      <c r="AR32" s="1357"/>
      <c r="AS32" s="1357"/>
      <c r="AT32" s="1357"/>
      <c r="AU32" s="1357"/>
      <c r="AV32" s="1357"/>
      <c r="AW32" s="1357"/>
      <c r="AX32" s="1357"/>
      <c r="AY32" s="1357"/>
      <c r="AZ32" s="1357"/>
      <c r="BA32" s="1357"/>
      <c r="BB32" s="1357"/>
      <c r="BC32" s="1357"/>
      <c r="BD32" s="1357"/>
      <c r="BE32" s="1357"/>
      <c r="BF32" s="1357"/>
      <c r="BG32" s="1357"/>
      <c r="BH32" s="1357"/>
      <c r="BI32" s="1357"/>
      <c r="BJ32" s="1357"/>
      <c r="BK32" s="1357"/>
      <c r="BL32" s="1357"/>
      <c r="BM32" s="1357"/>
      <c r="BN32" s="1357"/>
      <c r="BO32" s="1357"/>
      <c r="BP32" s="1357"/>
      <c r="BQ32" s="1357"/>
      <c r="BR32" s="1357"/>
      <c r="BS32" s="1357"/>
      <c r="BT32" s="1357"/>
      <c r="BU32" s="1357"/>
      <c r="BV32" s="1357"/>
      <c r="BW32" s="1357"/>
      <c r="BX32" s="1357"/>
      <c r="BY32" s="1357"/>
      <c r="BZ32" s="1357"/>
      <c r="CA32" s="1357"/>
      <c r="CB32" s="1357"/>
      <c r="CC32" s="1357"/>
      <c r="CD32" s="1357"/>
      <c r="CE32" s="1357"/>
      <c r="CF32" s="1357"/>
      <c r="CG32" s="1357"/>
      <c r="CH32" s="1357"/>
      <c r="CI32" s="1357"/>
      <c r="CJ32" s="1357"/>
      <c r="CK32" s="1357"/>
      <c r="CL32" s="1357"/>
      <c r="CM32" s="1357"/>
      <c r="CN32" s="1357"/>
      <c r="CO32" s="1357"/>
      <c r="CP32" s="1357"/>
      <c r="CQ32" s="1357"/>
      <c r="CR32" s="1357"/>
      <c r="CS32" s="1357"/>
      <c r="CT32" s="1357"/>
      <c r="CU32" s="1357"/>
      <c r="CV32" s="1357"/>
      <c r="CW32" s="1357"/>
      <c r="CX32" s="1357"/>
      <c r="CY32" s="1357"/>
      <c r="CZ32" s="1357"/>
      <c r="DA32" s="1357"/>
      <c r="DB32" s="1357"/>
      <c r="DC32" s="1357"/>
      <c r="DD32" s="1357"/>
      <c r="DE32" s="1357"/>
      <c r="DF32" s="1357"/>
      <c r="DG32" s="1357"/>
      <c r="DH32" s="1357"/>
      <c r="DI32" s="1357"/>
      <c r="DJ32" s="1357"/>
      <c r="DK32" s="1357"/>
      <c r="DL32" s="1357"/>
      <c r="DM32" s="1357"/>
      <c r="DN32" s="1357"/>
      <c r="DO32" s="1357"/>
      <c r="DP32" s="1357"/>
      <c r="DQ32" s="1357"/>
    </row>
    <row r="33" spans="1:108" s="1342" customFormat="1" ht="13.5" customHeight="1">
      <c r="A33" s="1335">
        <v>9</v>
      </c>
      <c r="B33" s="471" t="s">
        <v>2048</v>
      </c>
      <c r="C33" s="460" t="s">
        <v>2065</v>
      </c>
      <c r="D33" s="1337" t="s">
        <v>2066</v>
      </c>
      <c r="E33" s="1337" t="s">
        <v>49</v>
      </c>
      <c r="F33" s="1338">
        <f>F34</f>
        <v>1</v>
      </c>
      <c r="G33" s="1355"/>
      <c r="H33" s="1355">
        <f>F33*G33</f>
        <v>0</v>
      </c>
      <c r="I33" s="153" t="s">
        <v>111</v>
      </c>
      <c r="J33" s="1340"/>
      <c r="K33" s="1341"/>
      <c r="L33" s="1341"/>
      <c r="M33" s="1340"/>
      <c r="N33" s="1341"/>
      <c r="O33" s="1341"/>
      <c r="P33" s="1341"/>
      <c r="Q33" s="1341"/>
      <c r="R33" s="1341"/>
      <c r="S33" s="1341"/>
      <c r="T33" s="1341"/>
      <c r="U33" s="1341"/>
      <c r="V33" s="1341"/>
      <c r="W33" s="1341"/>
      <c r="X33" s="1341"/>
      <c r="Y33" s="1341"/>
      <c r="Z33" s="1341"/>
      <c r="AA33" s="1341"/>
      <c r="AB33" s="1341"/>
      <c r="AC33" s="1341"/>
      <c r="AD33" s="1341"/>
      <c r="AE33" s="1341"/>
      <c r="AF33" s="1341"/>
      <c r="AG33" s="1341"/>
      <c r="AH33" s="1341"/>
      <c r="AI33" s="1341"/>
      <c r="AJ33" s="1341"/>
      <c r="AK33" s="1341"/>
      <c r="AL33" s="1341"/>
      <c r="AM33" s="1341"/>
      <c r="AN33" s="1341"/>
      <c r="AO33" s="1341"/>
      <c r="AP33" s="1341"/>
      <c r="AQ33" s="1341"/>
      <c r="AR33" s="1341"/>
      <c r="AS33" s="1341"/>
      <c r="AT33" s="1341"/>
      <c r="AU33" s="1341"/>
      <c r="AV33" s="1341"/>
      <c r="AW33" s="1341"/>
      <c r="AX33" s="1341"/>
      <c r="AY33" s="1341"/>
      <c r="AZ33" s="1341"/>
      <c r="BA33" s="1341"/>
      <c r="BB33" s="1341"/>
      <c r="BC33" s="1341"/>
      <c r="BD33" s="1341"/>
      <c r="BE33" s="1341"/>
      <c r="BF33" s="1341"/>
      <c r="BG33" s="1341"/>
      <c r="BH33" s="1341"/>
      <c r="BI33" s="1341"/>
      <c r="BJ33" s="1341"/>
      <c r="BK33" s="1341"/>
      <c r="BL33" s="1341"/>
      <c r="BM33" s="1341"/>
      <c r="BN33" s="1341"/>
      <c r="BO33" s="1341"/>
      <c r="BP33" s="1341"/>
      <c r="BQ33" s="1341"/>
      <c r="BR33" s="1341"/>
      <c r="BS33" s="1341"/>
      <c r="BT33" s="1341"/>
      <c r="BU33" s="1341"/>
      <c r="BV33" s="1341"/>
      <c r="BW33" s="1341"/>
      <c r="BX33" s="1341"/>
      <c r="BY33" s="1341"/>
      <c r="BZ33" s="1341"/>
      <c r="CA33" s="1341"/>
      <c r="CB33" s="1341"/>
      <c r="CC33" s="1341"/>
      <c r="CD33" s="1341"/>
      <c r="CE33" s="1341"/>
      <c r="CF33" s="1341"/>
      <c r="CG33" s="1341"/>
      <c r="CH33" s="1341"/>
      <c r="CI33" s="1341"/>
      <c r="CJ33" s="1341"/>
      <c r="CK33" s="1341"/>
      <c r="CL33" s="1341"/>
      <c r="CM33" s="1341"/>
      <c r="CN33" s="1341"/>
      <c r="CO33" s="1341"/>
      <c r="CP33" s="1341"/>
      <c r="CQ33" s="1341"/>
      <c r="CR33" s="1341"/>
      <c r="CS33" s="1341"/>
      <c r="CT33" s="1341"/>
      <c r="CU33" s="1341"/>
      <c r="CV33" s="1341"/>
    </row>
    <row r="34" spans="1:108" s="1342" customFormat="1" ht="13.5" customHeight="1">
      <c r="A34" s="1335"/>
      <c r="B34" s="1336"/>
      <c r="C34" s="1337"/>
      <c r="D34" s="1343" t="s">
        <v>2067</v>
      </c>
      <c r="E34" s="1337"/>
      <c r="F34" s="1344">
        <v>1</v>
      </c>
      <c r="G34" s="1355"/>
      <c r="H34" s="1355"/>
      <c r="I34" s="1345"/>
      <c r="J34" s="1340"/>
      <c r="K34" s="1341"/>
      <c r="L34" s="1341"/>
      <c r="M34" s="1340"/>
      <c r="N34" s="1341"/>
      <c r="O34" s="1341"/>
      <c r="P34" s="1341"/>
      <c r="Q34" s="1341"/>
      <c r="R34" s="1341"/>
      <c r="S34" s="1341"/>
      <c r="T34" s="1341"/>
      <c r="U34" s="1341"/>
      <c r="V34" s="1341"/>
      <c r="W34" s="1341"/>
      <c r="X34" s="1341"/>
      <c r="Y34" s="1341"/>
      <c r="Z34" s="1341"/>
      <c r="AA34" s="1341"/>
      <c r="AB34" s="1341"/>
      <c r="AC34" s="1341"/>
      <c r="AD34" s="1341"/>
      <c r="AE34" s="1341"/>
      <c r="AF34" s="1341"/>
      <c r="AG34" s="1341"/>
      <c r="AH34" s="1341"/>
      <c r="AI34" s="1341"/>
      <c r="AJ34" s="1341"/>
      <c r="AK34" s="1341"/>
      <c r="AL34" s="1341"/>
      <c r="AM34" s="1341"/>
      <c r="AN34" s="1341"/>
      <c r="AO34" s="1341"/>
      <c r="AP34" s="1341"/>
      <c r="AQ34" s="1341"/>
      <c r="AR34" s="1341"/>
      <c r="AS34" s="1341"/>
      <c r="AT34" s="1341"/>
      <c r="AU34" s="1341"/>
      <c r="AV34" s="1341"/>
      <c r="AW34" s="1341"/>
      <c r="AX34" s="1341"/>
      <c r="AY34" s="1341"/>
      <c r="AZ34" s="1341"/>
      <c r="BA34" s="1341"/>
      <c r="BB34" s="1341"/>
      <c r="BC34" s="1341"/>
      <c r="BD34" s="1341"/>
      <c r="BE34" s="1341"/>
      <c r="BF34" s="1341"/>
      <c r="BG34" s="1341"/>
      <c r="BH34" s="1341"/>
      <c r="BI34" s="1341"/>
      <c r="BJ34" s="1341"/>
      <c r="BK34" s="1341"/>
      <c r="BL34" s="1341"/>
      <c r="BM34" s="1341"/>
      <c r="BN34" s="1341"/>
      <c r="BO34" s="1341"/>
      <c r="BP34" s="1341"/>
      <c r="BQ34" s="1341"/>
      <c r="BR34" s="1341"/>
      <c r="BS34" s="1341"/>
      <c r="BT34" s="1341"/>
      <c r="BU34" s="1341"/>
      <c r="BV34" s="1341"/>
      <c r="BW34" s="1341"/>
      <c r="BX34" s="1341"/>
      <c r="BY34" s="1341"/>
      <c r="BZ34" s="1341"/>
      <c r="CA34" s="1341"/>
      <c r="CB34" s="1341"/>
      <c r="CC34" s="1341"/>
      <c r="CD34" s="1341"/>
      <c r="CE34" s="1341"/>
      <c r="CF34" s="1341"/>
      <c r="CG34" s="1341"/>
      <c r="CH34" s="1341"/>
      <c r="CI34" s="1341"/>
      <c r="CJ34" s="1341"/>
      <c r="CK34" s="1341"/>
      <c r="CL34" s="1341"/>
      <c r="CM34" s="1341"/>
      <c r="CN34" s="1341"/>
      <c r="CO34" s="1341"/>
      <c r="CP34" s="1341"/>
      <c r="CQ34" s="1341"/>
      <c r="CR34" s="1341"/>
      <c r="CS34" s="1341"/>
      <c r="CT34" s="1341"/>
      <c r="CU34" s="1341"/>
      <c r="CV34" s="1341"/>
    </row>
    <row r="35" spans="1:108" s="1291" customFormat="1" ht="13.5" customHeight="1">
      <c r="A35" s="1347">
        <v>10</v>
      </c>
      <c r="B35" s="1337">
        <v>721</v>
      </c>
      <c r="C35" s="1337" t="s">
        <v>2068</v>
      </c>
      <c r="D35" s="1348" t="s">
        <v>2069</v>
      </c>
      <c r="E35" s="1348" t="s">
        <v>49</v>
      </c>
      <c r="F35" s="1349">
        <f>SUM(F36)</f>
        <v>1</v>
      </c>
      <c r="G35" s="1350"/>
      <c r="H35" s="1350">
        <f>F35*G35</f>
        <v>0</v>
      </c>
      <c r="I35" s="153" t="s">
        <v>111</v>
      </c>
      <c r="J35" s="1340"/>
    </row>
    <row r="36" spans="1:108" s="1342" customFormat="1" ht="27" customHeight="1">
      <c r="A36" s="1335"/>
      <c r="B36" s="1336"/>
      <c r="C36" s="1337"/>
      <c r="D36" s="1343" t="s">
        <v>2070</v>
      </c>
      <c r="E36" s="1337"/>
      <c r="F36" s="1344">
        <v>1</v>
      </c>
      <c r="G36" s="1339"/>
      <c r="H36" s="1339"/>
      <c r="I36" s="1345"/>
      <c r="J36" s="1361"/>
      <c r="K36" s="1341"/>
      <c r="L36" s="1341"/>
      <c r="M36" s="1340"/>
      <c r="N36" s="1341"/>
      <c r="O36" s="1341"/>
      <c r="P36" s="1341"/>
      <c r="Q36" s="1341"/>
      <c r="R36" s="1341"/>
      <c r="S36" s="1341"/>
      <c r="T36" s="1341"/>
      <c r="U36" s="1341"/>
      <c r="V36" s="1341"/>
      <c r="W36" s="1341"/>
      <c r="X36" s="1341"/>
      <c r="Y36" s="1341"/>
      <c r="Z36" s="1341"/>
      <c r="AA36" s="1341"/>
      <c r="AB36" s="1341"/>
      <c r="AC36" s="1341"/>
      <c r="AD36" s="1341"/>
      <c r="AE36" s="1341"/>
      <c r="AF36" s="1341"/>
      <c r="AG36" s="1341"/>
      <c r="AH36" s="1341"/>
      <c r="AI36" s="1341"/>
      <c r="AJ36" s="1341"/>
      <c r="AK36" s="1341"/>
      <c r="AL36" s="1341"/>
      <c r="AM36" s="1341"/>
      <c r="AN36" s="1341"/>
      <c r="AO36" s="1341"/>
      <c r="AP36" s="1341"/>
      <c r="AQ36" s="1341"/>
      <c r="AR36" s="1341"/>
      <c r="AS36" s="1341"/>
      <c r="AT36" s="1341"/>
      <c r="AU36" s="1341"/>
      <c r="AV36" s="1341"/>
      <c r="AW36" s="1341"/>
      <c r="AX36" s="1341"/>
      <c r="AY36" s="1341"/>
      <c r="AZ36" s="1341"/>
      <c r="BA36" s="1341"/>
      <c r="BB36" s="1341"/>
      <c r="BC36" s="1341"/>
      <c r="BD36" s="1341"/>
      <c r="BE36" s="1341"/>
      <c r="BF36" s="1341"/>
      <c r="BG36" s="1341"/>
      <c r="BH36" s="1341"/>
      <c r="BI36" s="1341"/>
      <c r="BJ36" s="1341"/>
      <c r="BK36" s="1341"/>
      <c r="BL36" s="1341"/>
      <c r="BM36" s="1341"/>
      <c r="BN36" s="1341"/>
      <c r="BO36" s="1341"/>
      <c r="BP36" s="1341"/>
      <c r="BQ36" s="1341"/>
      <c r="BR36" s="1341"/>
      <c r="BS36" s="1341"/>
      <c r="BT36" s="1341"/>
      <c r="BU36" s="1341"/>
      <c r="BV36" s="1341"/>
      <c r="BW36" s="1341"/>
      <c r="BX36" s="1341"/>
      <c r="BY36" s="1341"/>
      <c r="BZ36" s="1341"/>
      <c r="CA36" s="1341"/>
      <c r="CB36" s="1341"/>
      <c r="CC36" s="1341"/>
      <c r="CD36" s="1341"/>
      <c r="CE36" s="1341"/>
      <c r="CF36" s="1341"/>
      <c r="CG36" s="1341"/>
      <c r="CH36" s="1341"/>
      <c r="CI36" s="1341"/>
      <c r="CJ36" s="1341"/>
      <c r="CK36" s="1341"/>
      <c r="CL36" s="1341"/>
      <c r="CM36" s="1341"/>
      <c r="CN36" s="1341"/>
      <c r="CO36" s="1341"/>
      <c r="CP36" s="1341"/>
      <c r="CQ36" s="1341"/>
      <c r="CR36" s="1341"/>
      <c r="CS36" s="1341"/>
      <c r="CT36" s="1341"/>
      <c r="CU36" s="1341"/>
      <c r="CV36" s="1341"/>
      <c r="CW36" s="1341"/>
      <c r="CX36" s="1341"/>
      <c r="CY36" s="1341"/>
      <c r="CZ36" s="1341"/>
      <c r="DA36" s="1341"/>
      <c r="DB36" s="1341"/>
      <c r="DC36" s="1341"/>
      <c r="DD36" s="1341"/>
    </row>
    <row r="37" spans="1:108" s="1342" customFormat="1" ht="27" customHeight="1">
      <c r="A37" s="1335"/>
      <c r="B37" s="1336"/>
      <c r="C37" s="1337"/>
      <c r="D37" s="1343" t="s">
        <v>2071</v>
      </c>
      <c r="E37" s="1337"/>
      <c r="F37" s="1344"/>
      <c r="G37" s="1339"/>
      <c r="H37" s="1339"/>
      <c r="I37" s="1345"/>
      <c r="J37" s="1361"/>
      <c r="K37" s="1341"/>
      <c r="L37" s="1341"/>
      <c r="M37" s="1340"/>
      <c r="N37" s="1341"/>
      <c r="O37" s="1341"/>
      <c r="P37" s="1341"/>
      <c r="Q37" s="1341"/>
      <c r="R37" s="1341"/>
      <c r="S37" s="1341"/>
      <c r="T37" s="1341"/>
      <c r="U37" s="1341"/>
      <c r="V37" s="1341"/>
      <c r="W37" s="1341"/>
      <c r="X37" s="1341"/>
      <c r="Y37" s="1341"/>
      <c r="Z37" s="1341"/>
      <c r="AA37" s="1341"/>
      <c r="AB37" s="1341"/>
      <c r="AC37" s="1341"/>
      <c r="AD37" s="1341"/>
      <c r="AE37" s="1341"/>
      <c r="AF37" s="1341"/>
      <c r="AG37" s="1341"/>
      <c r="AH37" s="1341"/>
      <c r="AI37" s="1341"/>
      <c r="AJ37" s="1341"/>
      <c r="AK37" s="1341"/>
      <c r="AL37" s="1341"/>
      <c r="AM37" s="1341"/>
      <c r="AN37" s="1341"/>
      <c r="AO37" s="1341"/>
      <c r="AP37" s="1341"/>
      <c r="AQ37" s="1341"/>
      <c r="AR37" s="1341"/>
      <c r="AS37" s="1341"/>
      <c r="AT37" s="1341"/>
      <c r="AU37" s="1341"/>
      <c r="AV37" s="1341"/>
      <c r="AW37" s="1341"/>
      <c r="AX37" s="1341"/>
      <c r="AY37" s="1341"/>
      <c r="AZ37" s="1341"/>
      <c r="BA37" s="1341"/>
      <c r="BB37" s="1341"/>
      <c r="BC37" s="1341"/>
      <c r="BD37" s="1341"/>
      <c r="BE37" s="1341"/>
      <c r="BF37" s="1341"/>
      <c r="BG37" s="1341"/>
      <c r="BH37" s="1341"/>
      <c r="BI37" s="1341"/>
      <c r="BJ37" s="1341"/>
      <c r="BK37" s="1341"/>
      <c r="BL37" s="1341"/>
      <c r="BM37" s="1341"/>
      <c r="BN37" s="1341"/>
      <c r="BO37" s="1341"/>
      <c r="BP37" s="1341"/>
      <c r="BQ37" s="1341"/>
      <c r="BR37" s="1341"/>
      <c r="BS37" s="1341"/>
      <c r="BT37" s="1341"/>
      <c r="BU37" s="1341"/>
      <c r="BV37" s="1341"/>
      <c r="BW37" s="1341"/>
      <c r="BX37" s="1341"/>
      <c r="BY37" s="1341"/>
      <c r="BZ37" s="1341"/>
      <c r="CA37" s="1341"/>
      <c r="CB37" s="1341"/>
      <c r="CC37" s="1341"/>
      <c r="CD37" s="1341"/>
      <c r="CE37" s="1341"/>
      <c r="CF37" s="1341"/>
      <c r="CG37" s="1341"/>
      <c r="CH37" s="1341"/>
      <c r="CI37" s="1341"/>
      <c r="CJ37" s="1341"/>
      <c r="CK37" s="1341"/>
      <c r="CL37" s="1341"/>
      <c r="CM37" s="1341"/>
      <c r="CN37" s="1341"/>
      <c r="CO37" s="1341"/>
      <c r="CP37" s="1341"/>
      <c r="CQ37" s="1341"/>
      <c r="CR37" s="1341"/>
      <c r="CS37" s="1341"/>
      <c r="CT37" s="1341"/>
      <c r="CU37" s="1341"/>
      <c r="CV37" s="1341"/>
      <c r="CW37" s="1341"/>
      <c r="CX37" s="1341"/>
      <c r="CY37" s="1341"/>
      <c r="CZ37" s="1341"/>
      <c r="DA37" s="1341"/>
      <c r="DB37" s="1341"/>
      <c r="DC37" s="1341"/>
      <c r="DD37" s="1341"/>
    </row>
    <row r="38" spans="1:108" s="195" customFormat="1" ht="13.5" customHeight="1">
      <c r="A38" s="1005">
        <v>11</v>
      </c>
      <c r="B38" s="460" t="s">
        <v>2048</v>
      </c>
      <c r="C38" s="460">
        <v>998723202</v>
      </c>
      <c r="D38" s="460" t="s">
        <v>2072</v>
      </c>
      <c r="E38" s="460" t="s">
        <v>10</v>
      </c>
      <c r="F38" s="1311">
        <v>0.6</v>
      </c>
      <c r="G38" s="1011"/>
      <c r="H38" s="1011">
        <f>F38*G38</f>
        <v>0</v>
      </c>
      <c r="I38" s="153" t="s">
        <v>138</v>
      </c>
      <c r="J38" s="1362"/>
    </row>
    <row r="39" spans="1:108" s="195" customFormat="1" ht="13.5" customHeight="1">
      <c r="A39" s="1005">
        <v>12</v>
      </c>
      <c r="B39" s="460" t="s">
        <v>369</v>
      </c>
      <c r="C39" s="460" t="s">
        <v>2073</v>
      </c>
      <c r="D39" s="460" t="s">
        <v>2074</v>
      </c>
      <c r="E39" s="460" t="s">
        <v>69</v>
      </c>
      <c r="F39" s="1311">
        <f>F40</f>
        <v>8</v>
      </c>
      <c r="G39" s="1011"/>
      <c r="H39" s="1011">
        <f>F39*G39</f>
        <v>0</v>
      </c>
      <c r="I39" s="153" t="s">
        <v>138</v>
      </c>
    </row>
    <row r="40" spans="1:108" s="174" customFormat="1" ht="13.5" customHeight="1">
      <c r="A40" s="168"/>
      <c r="B40" s="169"/>
      <c r="C40" s="1333"/>
      <c r="D40" s="342" t="s">
        <v>2075</v>
      </c>
      <c r="E40" s="466"/>
      <c r="F40" s="1314">
        <v>8</v>
      </c>
      <c r="G40" s="171"/>
      <c r="H40" s="172"/>
      <c r="I40" s="173"/>
      <c r="J40" s="1315"/>
      <c r="U40" s="175"/>
      <c r="W40" s="175"/>
    </row>
    <row r="41" spans="1:108" s="174" customFormat="1" ht="13.5" customHeight="1">
      <c r="A41" s="168"/>
      <c r="B41" s="169"/>
      <c r="C41" s="1333"/>
      <c r="D41" s="342" t="s">
        <v>2076</v>
      </c>
      <c r="E41" s="466"/>
      <c r="F41" s="1314"/>
      <c r="G41" s="171"/>
      <c r="H41" s="172"/>
      <c r="I41" s="173"/>
      <c r="J41" s="1315"/>
      <c r="U41" s="175"/>
      <c r="W41" s="175"/>
    </row>
    <row r="42" spans="1:108" s="1357" customFormat="1" ht="13.5" customHeight="1">
      <c r="A42" s="1363"/>
      <c r="B42" s="1364"/>
      <c r="C42" s="1364">
        <v>783</v>
      </c>
      <c r="D42" s="1364" t="s">
        <v>812</v>
      </c>
      <c r="E42" s="1364"/>
      <c r="F42" s="1365"/>
      <c r="G42" s="1366"/>
      <c r="H42" s="1366">
        <f>SUM(H43:H68)</f>
        <v>0</v>
      </c>
      <c r="I42" s="1367"/>
    </row>
    <row r="43" spans="1:108" s="1357" customFormat="1" ht="13.5" customHeight="1">
      <c r="A43" s="1335">
        <v>13</v>
      </c>
      <c r="B43" s="1337">
        <v>783</v>
      </c>
      <c r="C43" s="1337">
        <v>783614601</v>
      </c>
      <c r="D43" s="1337" t="s">
        <v>2077</v>
      </c>
      <c r="E43" s="1337" t="s">
        <v>210</v>
      </c>
      <c r="F43" s="1354">
        <f>SUM(F45:F46)</f>
        <v>2</v>
      </c>
      <c r="G43" s="1339"/>
      <c r="H43" s="1339">
        <f>F43*G43</f>
        <v>0</v>
      </c>
      <c r="I43" s="153" t="s">
        <v>138</v>
      </c>
      <c r="J43" s="1368"/>
    </row>
    <row r="44" spans="1:108" s="1357" customFormat="1" ht="13.5" customHeight="1">
      <c r="A44" s="1335"/>
      <c r="B44" s="1337"/>
      <c r="C44" s="1337"/>
      <c r="D44" s="1343" t="s">
        <v>2078</v>
      </c>
      <c r="E44" s="1337"/>
      <c r="G44" s="1339"/>
      <c r="H44" s="1339"/>
      <c r="I44" s="1345"/>
      <c r="J44" s="1368"/>
    </row>
    <row r="45" spans="1:108" s="1357" customFormat="1" ht="13.5" customHeight="1">
      <c r="A45" s="1335"/>
      <c r="B45" s="1337"/>
      <c r="C45" s="1337"/>
      <c r="D45" s="1343" t="s">
        <v>2079</v>
      </c>
      <c r="E45" s="1337"/>
      <c r="F45" s="1344">
        <v>1</v>
      </c>
      <c r="G45" s="1339"/>
      <c r="H45" s="1339"/>
      <c r="I45" s="1345"/>
      <c r="J45" s="1368"/>
    </row>
    <row r="46" spans="1:108" s="1357" customFormat="1" ht="13.5" customHeight="1">
      <c r="A46" s="1335"/>
      <c r="B46" s="1337"/>
      <c r="C46" s="1337"/>
      <c r="D46" s="1343" t="s">
        <v>2080</v>
      </c>
      <c r="E46" s="1337"/>
      <c r="F46" s="1344">
        <v>1</v>
      </c>
      <c r="G46" s="1339"/>
      <c r="H46" s="1339"/>
      <c r="I46" s="1345"/>
      <c r="J46" s="1368"/>
    </row>
    <row r="47" spans="1:108" s="1374" customFormat="1" ht="13.5" customHeight="1">
      <c r="A47" s="1369">
        <v>14</v>
      </c>
      <c r="B47" s="1370">
        <v>783</v>
      </c>
      <c r="C47" s="1370">
        <v>783614651</v>
      </c>
      <c r="D47" s="1370" t="s">
        <v>2081</v>
      </c>
      <c r="E47" s="1370" t="s">
        <v>142</v>
      </c>
      <c r="F47" s="1371">
        <f>SUM(F49:F50)</f>
        <v>18.8</v>
      </c>
      <c r="G47" s="1372"/>
      <c r="H47" s="1372">
        <f>F47*G47</f>
        <v>0</v>
      </c>
      <c r="I47" s="153" t="s">
        <v>138</v>
      </c>
      <c r="J47" s="1373"/>
      <c r="M47" s="1375"/>
    </row>
    <row r="48" spans="1:108" s="1374" customFormat="1" ht="13.5" customHeight="1">
      <c r="A48" s="1369"/>
      <c r="B48" s="1370"/>
      <c r="C48" s="1370"/>
      <c r="D48" s="405" t="s">
        <v>2082</v>
      </c>
      <c r="E48" s="1370"/>
      <c r="F48" s="1376"/>
      <c r="G48" s="1372"/>
      <c r="H48" s="1372"/>
      <c r="I48" s="1377"/>
      <c r="M48" s="1375"/>
    </row>
    <row r="49" spans="1:13" s="1374" customFormat="1" ht="13.5" customHeight="1">
      <c r="A49" s="1369"/>
      <c r="B49" s="1370"/>
      <c r="C49" s="1370"/>
      <c r="D49" s="405" t="s">
        <v>2083</v>
      </c>
      <c r="E49" s="1370"/>
      <c r="F49" s="1376">
        <v>18</v>
      </c>
      <c r="G49" s="1372"/>
      <c r="H49" s="1372"/>
      <c r="I49" s="1377"/>
      <c r="M49" s="1375"/>
    </row>
    <row r="50" spans="1:13" s="1374" customFormat="1" ht="13.5" customHeight="1">
      <c r="A50" s="1369"/>
      <c r="B50" s="1370"/>
      <c r="C50" s="1370"/>
      <c r="D50" s="405" t="s">
        <v>2084</v>
      </c>
      <c r="E50" s="1370"/>
      <c r="F50" s="1376">
        <v>0.8</v>
      </c>
      <c r="G50" s="1372"/>
      <c r="H50" s="1372"/>
      <c r="I50" s="1377"/>
    </row>
    <row r="51" spans="1:13" s="1357" customFormat="1" ht="13.5" customHeight="1">
      <c r="A51" s="1335">
        <v>15</v>
      </c>
      <c r="B51" s="1337">
        <v>783</v>
      </c>
      <c r="C51" s="1337">
        <v>783615501</v>
      </c>
      <c r="D51" s="1337" t="s">
        <v>2085</v>
      </c>
      <c r="E51" s="1337" t="s">
        <v>210</v>
      </c>
      <c r="F51" s="1354">
        <f>SUM(F53:F53)</f>
        <v>1</v>
      </c>
      <c r="G51" s="1339"/>
      <c r="H51" s="1339">
        <f>F51*G51</f>
        <v>0</v>
      </c>
      <c r="I51" s="153" t="s">
        <v>138</v>
      </c>
      <c r="J51" s="1368"/>
    </row>
    <row r="52" spans="1:13" s="1357" customFormat="1" ht="13.5" customHeight="1">
      <c r="A52" s="1335"/>
      <c r="B52" s="1337"/>
      <c r="C52" s="1337"/>
      <c r="D52" s="1343" t="s">
        <v>2086</v>
      </c>
      <c r="E52" s="1337"/>
      <c r="F52" s="1344"/>
      <c r="G52" s="1339"/>
      <c r="H52" s="1339"/>
      <c r="I52" s="1345"/>
      <c r="J52" s="1368"/>
    </row>
    <row r="53" spans="1:13" s="1357" customFormat="1" ht="13.5" customHeight="1">
      <c r="A53" s="1335"/>
      <c r="B53" s="1337"/>
      <c r="C53" s="1337"/>
      <c r="D53" s="1343" t="s">
        <v>2079</v>
      </c>
      <c r="E53" s="1337"/>
      <c r="F53" s="1344">
        <v>1</v>
      </c>
      <c r="G53" s="1339"/>
      <c r="H53" s="1339"/>
      <c r="I53" s="1345"/>
      <c r="J53" s="1368"/>
    </row>
    <row r="54" spans="1:13" s="1374" customFormat="1" ht="13.5" customHeight="1">
      <c r="A54" s="1369">
        <v>16</v>
      </c>
      <c r="B54" s="1370">
        <v>783</v>
      </c>
      <c r="C54" s="1370">
        <v>783615551</v>
      </c>
      <c r="D54" s="1370" t="s">
        <v>2087</v>
      </c>
      <c r="E54" s="1370" t="s">
        <v>142</v>
      </c>
      <c r="F54" s="1371">
        <f>SUM(F56:F57)</f>
        <v>18.8</v>
      </c>
      <c r="G54" s="1372"/>
      <c r="H54" s="1372">
        <f>F54*G54</f>
        <v>0</v>
      </c>
      <c r="I54" s="153" t="s">
        <v>138</v>
      </c>
    </row>
    <row r="55" spans="1:13" s="1374" customFormat="1" ht="13.5" customHeight="1">
      <c r="A55" s="1369"/>
      <c r="B55" s="1370"/>
      <c r="C55" s="1370"/>
      <c r="D55" s="405" t="s">
        <v>2088</v>
      </c>
      <c r="E55" s="1370"/>
      <c r="F55" s="1376"/>
      <c r="G55" s="1372"/>
      <c r="H55" s="1372"/>
      <c r="I55" s="1377"/>
    </row>
    <row r="56" spans="1:13" s="1374" customFormat="1" ht="13.5" customHeight="1">
      <c r="A56" s="1369"/>
      <c r="B56" s="1370"/>
      <c r="C56" s="1370"/>
      <c r="D56" s="405" t="s">
        <v>2089</v>
      </c>
      <c r="E56" s="1370"/>
      <c r="F56" s="1376">
        <v>18</v>
      </c>
      <c r="G56" s="1372"/>
      <c r="H56" s="1372"/>
      <c r="I56" s="1377"/>
    </row>
    <row r="57" spans="1:13" s="1374" customFormat="1" ht="13.5" customHeight="1">
      <c r="A57" s="1369"/>
      <c r="B57" s="1370"/>
      <c r="C57" s="1370"/>
      <c r="D57" s="405" t="s">
        <v>2090</v>
      </c>
      <c r="E57" s="1370"/>
      <c r="F57" s="1376">
        <v>0.8</v>
      </c>
      <c r="G57" s="1372"/>
      <c r="H57" s="1372"/>
      <c r="I57" s="1377"/>
    </row>
    <row r="58" spans="1:13" s="1374" customFormat="1" ht="13.5" customHeight="1">
      <c r="A58" s="1369">
        <v>17</v>
      </c>
      <c r="B58" s="1370">
        <v>783</v>
      </c>
      <c r="C58" s="1370">
        <v>783617511</v>
      </c>
      <c r="D58" s="1370" t="s">
        <v>2091</v>
      </c>
      <c r="E58" s="1370" t="s">
        <v>210</v>
      </c>
      <c r="F58" s="1354">
        <f>SUM(F60:F61)</f>
        <v>2</v>
      </c>
      <c r="G58" s="1372"/>
      <c r="H58" s="1372">
        <f>F58*G58</f>
        <v>0</v>
      </c>
      <c r="I58" s="153" t="s">
        <v>138</v>
      </c>
      <c r="J58" s="1378"/>
    </row>
    <row r="59" spans="1:13" s="1374" customFormat="1" ht="13.5" customHeight="1">
      <c r="A59" s="1369"/>
      <c r="B59" s="1370"/>
      <c r="C59" s="1370"/>
      <c r="D59" s="405" t="s">
        <v>2092</v>
      </c>
      <c r="E59" s="1370"/>
      <c r="F59" s="1376"/>
      <c r="G59" s="1372"/>
      <c r="H59" s="1372"/>
      <c r="I59" s="1377"/>
      <c r="J59" s="1378"/>
    </row>
    <row r="60" spans="1:13" s="1357" customFormat="1" ht="13.5" customHeight="1">
      <c r="A60" s="1335"/>
      <c r="B60" s="1337"/>
      <c r="C60" s="1337"/>
      <c r="D60" s="1343" t="s">
        <v>2079</v>
      </c>
      <c r="E60" s="1337"/>
      <c r="F60" s="1344">
        <v>1</v>
      </c>
      <c r="G60" s="1339"/>
      <c r="H60" s="1339"/>
      <c r="I60" s="1345"/>
      <c r="J60" s="1368"/>
    </row>
    <row r="61" spans="1:13" s="1357" customFormat="1" ht="13.5" customHeight="1">
      <c r="A61" s="1335"/>
      <c r="B61" s="1337"/>
      <c r="C61" s="1337"/>
      <c r="D61" s="1343" t="s">
        <v>2080</v>
      </c>
      <c r="E61" s="1337"/>
      <c r="F61" s="1344">
        <v>1</v>
      </c>
      <c r="G61" s="1339"/>
      <c r="H61" s="1339"/>
      <c r="I61" s="1345"/>
      <c r="J61" s="1368"/>
    </row>
    <row r="62" spans="1:13" s="1374" customFormat="1" ht="13.5" customHeight="1">
      <c r="A62" s="1369">
        <v>18</v>
      </c>
      <c r="B62" s="1370">
        <v>783</v>
      </c>
      <c r="C62" s="1370">
        <v>783617611</v>
      </c>
      <c r="D62" s="1370" t="s">
        <v>2093</v>
      </c>
      <c r="E62" s="1370" t="s">
        <v>142</v>
      </c>
      <c r="F62" s="1371">
        <f>SUM(F64:F65)</f>
        <v>18.8</v>
      </c>
      <c r="G62" s="1372"/>
      <c r="H62" s="1372">
        <f>F62*G62</f>
        <v>0</v>
      </c>
      <c r="I62" s="153" t="s">
        <v>138</v>
      </c>
      <c r="J62" s="1379"/>
    </row>
    <row r="63" spans="1:13" s="1374" customFormat="1" ht="13.5" customHeight="1">
      <c r="A63" s="1369"/>
      <c r="B63" s="1370"/>
      <c r="C63" s="1370"/>
      <c r="D63" s="405" t="s">
        <v>2094</v>
      </c>
      <c r="E63" s="1370"/>
      <c r="F63" s="1376"/>
      <c r="G63" s="1372"/>
      <c r="H63" s="1372"/>
      <c r="I63" s="1377"/>
    </row>
    <row r="64" spans="1:13" s="1374" customFormat="1" ht="13.5" customHeight="1">
      <c r="A64" s="1369"/>
      <c r="B64" s="1370"/>
      <c r="C64" s="1370"/>
      <c r="D64" s="405" t="s">
        <v>2095</v>
      </c>
      <c r="E64" s="1370"/>
      <c r="F64" s="1376">
        <v>18</v>
      </c>
      <c r="G64" s="1372"/>
      <c r="H64" s="1372"/>
      <c r="I64" s="1377"/>
    </row>
    <row r="65" spans="1:10" s="1374" customFormat="1" ht="13.5" customHeight="1">
      <c r="A65" s="1369"/>
      <c r="B65" s="1370"/>
      <c r="C65" s="1370"/>
      <c r="D65" s="405" t="s">
        <v>2096</v>
      </c>
      <c r="E65" s="1370"/>
      <c r="F65" s="1376">
        <v>0.8</v>
      </c>
      <c r="G65" s="1372"/>
      <c r="H65" s="1372"/>
      <c r="I65" s="1377"/>
    </row>
    <row r="66" spans="1:10" s="158" customFormat="1" ht="13.5" customHeight="1">
      <c r="A66" s="1335">
        <v>19</v>
      </c>
      <c r="B66" s="1337" t="s">
        <v>369</v>
      </c>
      <c r="C66" s="1337" t="s">
        <v>818</v>
      </c>
      <c r="D66" s="1337" t="s">
        <v>819</v>
      </c>
      <c r="E66" s="1337" t="s">
        <v>69</v>
      </c>
      <c r="F66" s="1354">
        <f>F67</f>
        <v>8</v>
      </c>
      <c r="G66" s="1355"/>
      <c r="H66" s="1355">
        <f>F66*G66</f>
        <v>0</v>
      </c>
      <c r="I66" s="153" t="s">
        <v>138</v>
      </c>
    </row>
    <row r="67" spans="1:10" s="158" customFormat="1" ht="13.5" customHeight="1">
      <c r="A67" s="1359"/>
      <c r="B67" s="1352"/>
      <c r="C67" s="1352"/>
      <c r="D67" s="1343" t="s">
        <v>820</v>
      </c>
      <c r="E67" s="1352"/>
      <c r="F67" s="1344">
        <v>8</v>
      </c>
      <c r="G67" s="1380"/>
      <c r="H67" s="1355"/>
      <c r="I67" s="1356"/>
    </row>
    <row r="68" spans="1:10" s="158" customFormat="1" ht="13.5" customHeight="1">
      <c r="A68" s="1359"/>
      <c r="B68" s="1352"/>
      <c r="C68" s="1352"/>
      <c r="D68" s="1343" t="s">
        <v>2097</v>
      </c>
      <c r="E68" s="1352"/>
      <c r="F68" s="1344"/>
      <c r="G68" s="1380"/>
      <c r="H68" s="1355"/>
      <c r="I68" s="1356"/>
    </row>
    <row r="69" spans="1:10" s="1291" customFormat="1" ht="21" customHeight="1">
      <c r="A69" s="1335"/>
      <c r="B69" s="1335"/>
      <c r="C69" s="1364" t="s">
        <v>859</v>
      </c>
      <c r="D69" s="1364" t="s">
        <v>860</v>
      </c>
      <c r="E69" s="1364"/>
      <c r="F69" s="1365"/>
      <c r="G69" s="1366"/>
      <c r="H69" s="1366">
        <f>H70</f>
        <v>0</v>
      </c>
      <c r="I69" s="1381"/>
    </row>
    <row r="70" spans="1:10" s="1291" customFormat="1" ht="13.5" customHeight="1">
      <c r="A70" s="1335"/>
      <c r="B70" s="1335"/>
      <c r="C70" s="1364" t="s">
        <v>2098</v>
      </c>
      <c r="D70" s="1364" t="s">
        <v>2099</v>
      </c>
      <c r="E70" s="1364"/>
      <c r="F70" s="1365"/>
      <c r="G70" s="1366"/>
      <c r="H70" s="1366">
        <f>SUM(H71:H84)</f>
        <v>0</v>
      </c>
      <c r="I70" s="1356"/>
    </row>
    <row r="71" spans="1:10" s="1357" customFormat="1" ht="13.5" customHeight="1">
      <c r="A71" s="1335">
        <v>20</v>
      </c>
      <c r="B71" s="1336" t="s">
        <v>2100</v>
      </c>
      <c r="C71" s="1337">
        <v>230170001</v>
      </c>
      <c r="D71" s="1337" t="s">
        <v>2101</v>
      </c>
      <c r="E71" s="1337" t="s">
        <v>49</v>
      </c>
      <c r="F71" s="1382">
        <f>SUM(F73:F74)</f>
        <v>2</v>
      </c>
      <c r="G71" s="1355"/>
      <c r="H71" s="1355">
        <f>F71*G71</f>
        <v>0</v>
      </c>
      <c r="I71" s="153" t="s">
        <v>138</v>
      </c>
      <c r="J71" s="1291"/>
    </row>
    <row r="72" spans="1:10" s="1384" customFormat="1" ht="13.5" customHeight="1">
      <c r="A72" s="1335"/>
      <c r="B72" s="1335"/>
      <c r="C72" s="1343"/>
      <c r="D72" s="1343" t="s">
        <v>2102</v>
      </c>
      <c r="E72" s="1343"/>
      <c r="F72" s="1344"/>
      <c r="G72" s="933"/>
      <c r="H72" s="933"/>
      <c r="I72" s="1383"/>
      <c r="J72" s="1291"/>
    </row>
    <row r="73" spans="1:10" s="1374" customFormat="1" ht="13.5" customHeight="1">
      <c r="A73" s="1369"/>
      <c r="B73" s="1370"/>
      <c r="C73" s="1370"/>
      <c r="D73" s="405" t="s">
        <v>2103</v>
      </c>
      <c r="E73" s="1370"/>
      <c r="F73" s="1376">
        <v>1</v>
      </c>
      <c r="G73" s="1372"/>
      <c r="H73" s="1372"/>
      <c r="I73" s="1377"/>
    </row>
    <row r="74" spans="1:10" s="1374" customFormat="1" ht="13.5" customHeight="1">
      <c r="A74" s="1369"/>
      <c r="B74" s="1370"/>
      <c r="C74" s="1370"/>
      <c r="D74" s="405" t="s">
        <v>2104</v>
      </c>
      <c r="E74" s="1370"/>
      <c r="F74" s="1376">
        <v>1</v>
      </c>
      <c r="G74" s="1372"/>
      <c r="H74" s="1372"/>
      <c r="I74" s="1377"/>
      <c r="J74" s="458"/>
    </row>
    <row r="75" spans="1:10" s="1384" customFormat="1" ht="13.5" customHeight="1">
      <c r="A75" s="1335">
        <v>21</v>
      </c>
      <c r="B75" s="1336" t="s">
        <v>2100</v>
      </c>
      <c r="C75" s="1337">
        <v>230170011</v>
      </c>
      <c r="D75" s="1337" t="s">
        <v>2105</v>
      </c>
      <c r="E75" s="1337" t="s">
        <v>142</v>
      </c>
      <c r="F75" s="1382">
        <f>SUM(F77:F78)</f>
        <v>18.8</v>
      </c>
      <c r="G75" s="1355"/>
      <c r="H75" s="1355">
        <f>F75*G75</f>
        <v>0</v>
      </c>
      <c r="I75" s="153" t="s">
        <v>138</v>
      </c>
      <c r="J75" s="1291"/>
    </row>
    <row r="76" spans="1:10" s="1384" customFormat="1" ht="13.5" customHeight="1">
      <c r="A76" s="1335"/>
      <c r="B76" s="1335"/>
      <c r="C76" s="1343"/>
      <c r="D76" s="1343" t="s">
        <v>2106</v>
      </c>
      <c r="E76" s="1343"/>
      <c r="F76" s="1344"/>
      <c r="G76" s="933"/>
      <c r="H76" s="933"/>
      <c r="I76" s="1383"/>
      <c r="J76" s="1291"/>
    </row>
    <row r="77" spans="1:10" s="1374" customFormat="1" ht="13.5" customHeight="1">
      <c r="A77" s="1369"/>
      <c r="B77" s="1370"/>
      <c r="C77" s="1370"/>
      <c r="D77" s="405" t="s">
        <v>2107</v>
      </c>
      <c r="E77" s="1370"/>
      <c r="F77" s="1376">
        <v>18</v>
      </c>
      <c r="G77" s="1372"/>
      <c r="H77" s="1372"/>
      <c r="I77" s="1377"/>
    </row>
    <row r="78" spans="1:10" s="1374" customFormat="1" ht="13.5" customHeight="1">
      <c r="A78" s="1369"/>
      <c r="B78" s="1370"/>
      <c r="C78" s="1370"/>
      <c r="D78" s="405" t="s">
        <v>2108</v>
      </c>
      <c r="E78" s="1370"/>
      <c r="F78" s="1376">
        <v>0.8</v>
      </c>
      <c r="G78" s="1372"/>
      <c r="H78" s="1372"/>
      <c r="I78" s="1377"/>
    </row>
    <row r="79" spans="1:10" s="1357" customFormat="1" ht="13.5" customHeight="1">
      <c r="A79" s="1335">
        <v>22</v>
      </c>
      <c r="B79" s="1336" t="s">
        <v>2100</v>
      </c>
      <c r="C79" s="1337">
        <v>230230076</v>
      </c>
      <c r="D79" s="1337" t="s">
        <v>2109</v>
      </c>
      <c r="E79" s="1337" t="s">
        <v>142</v>
      </c>
      <c r="F79" s="1382">
        <f>SUM(F81:F82)</f>
        <v>18.8</v>
      </c>
      <c r="G79" s="1355"/>
      <c r="H79" s="1355">
        <f>F79*G79</f>
        <v>0</v>
      </c>
      <c r="I79" s="153" t="s">
        <v>138</v>
      </c>
      <c r="J79" s="1385"/>
    </row>
    <row r="80" spans="1:10" s="1384" customFormat="1" ht="13.5" customHeight="1">
      <c r="A80" s="1335"/>
      <c r="B80" s="1335"/>
      <c r="C80" s="1343"/>
      <c r="D80" s="1343" t="s">
        <v>2110</v>
      </c>
      <c r="E80" s="1343"/>
      <c r="F80" s="1386"/>
      <c r="G80" s="933"/>
      <c r="H80" s="933"/>
      <c r="I80" s="1383"/>
      <c r="J80" s="1291"/>
    </row>
    <row r="81" spans="1:11" s="1374" customFormat="1" ht="13.5" customHeight="1">
      <c r="A81" s="1369"/>
      <c r="B81" s="1370"/>
      <c r="C81" s="1370"/>
      <c r="D81" s="405" t="s">
        <v>2111</v>
      </c>
      <c r="E81" s="1370"/>
      <c r="F81" s="1376">
        <v>18</v>
      </c>
      <c r="G81" s="1372"/>
      <c r="H81" s="1372"/>
      <c r="I81" s="1377"/>
    </row>
    <row r="82" spans="1:11" s="1374" customFormat="1" ht="13.5" customHeight="1">
      <c r="A82" s="1369"/>
      <c r="B82" s="1370"/>
      <c r="C82" s="1370"/>
      <c r="D82" s="405" t="s">
        <v>2112</v>
      </c>
      <c r="E82" s="1370"/>
      <c r="F82" s="1376">
        <v>0.8</v>
      </c>
      <c r="G82" s="1372"/>
      <c r="H82" s="1372"/>
      <c r="I82" s="1377"/>
    </row>
    <row r="83" spans="1:11" s="1291" customFormat="1" ht="13.5" customHeight="1">
      <c r="A83" s="1347">
        <v>23</v>
      </c>
      <c r="B83" s="1337">
        <v>721</v>
      </c>
      <c r="C83" s="1337" t="s">
        <v>2113</v>
      </c>
      <c r="D83" s="1337" t="s">
        <v>2114</v>
      </c>
      <c r="E83" s="1348" t="s">
        <v>49</v>
      </c>
      <c r="F83" s="1387">
        <f>SUM(F84)</f>
        <v>1</v>
      </c>
      <c r="G83" s="1350"/>
      <c r="H83" s="1350">
        <f>F83*G83</f>
        <v>0</v>
      </c>
      <c r="I83" s="1388" t="s">
        <v>111</v>
      </c>
    </row>
    <row r="84" spans="1:11" s="1291" customFormat="1" ht="27" customHeight="1">
      <c r="A84" s="1335"/>
      <c r="B84" s="1337"/>
      <c r="C84" s="1337"/>
      <c r="D84" s="1343" t="s">
        <v>2115</v>
      </c>
      <c r="E84" s="1389"/>
      <c r="F84" s="1390">
        <v>1</v>
      </c>
      <c r="G84" s="1355"/>
      <c r="H84" s="1355"/>
      <c r="I84" s="1356"/>
      <c r="J84" s="1361"/>
      <c r="K84" s="1391"/>
    </row>
    <row r="85" spans="1:11" ht="21" customHeight="1">
      <c r="A85" s="1392"/>
      <c r="B85" s="1393"/>
      <c r="C85" s="1393"/>
      <c r="D85" s="1393" t="s">
        <v>0</v>
      </c>
      <c r="E85" s="1393"/>
      <c r="F85" s="1394"/>
      <c r="G85" s="1395"/>
      <c r="H85" s="1395">
        <f>H7+H69</f>
        <v>0</v>
      </c>
      <c r="I85" s="1396"/>
    </row>
    <row r="86" spans="1:11">
      <c r="A86" s="1397"/>
      <c r="B86" s="1397"/>
      <c r="C86" s="1398"/>
      <c r="D86" s="1398"/>
      <c r="E86" s="1399"/>
      <c r="F86" s="1400"/>
      <c r="G86" s="1401"/>
      <c r="H86" s="1401"/>
      <c r="I86" s="1402"/>
    </row>
    <row r="87" spans="1:11" ht="13.5" customHeight="1">
      <c r="A87" s="3072" t="s">
        <v>875</v>
      </c>
      <c r="B87" s="3073"/>
      <c r="C87" s="3074"/>
      <c r="D87" s="1403" t="s">
        <v>2116</v>
      </c>
      <c r="E87" s="1404"/>
      <c r="F87" s="1405"/>
      <c r="G87" s="1406"/>
      <c r="H87" s="1407">
        <f>H85</f>
        <v>0</v>
      </c>
      <c r="I87" s="1408"/>
    </row>
    <row r="88" spans="1:11" ht="13.5" customHeight="1">
      <c r="A88" s="1409"/>
      <c r="B88" s="1410"/>
      <c r="C88" s="1410"/>
      <c r="D88" s="1411"/>
      <c r="E88" s="1412"/>
      <c r="F88" s="1413"/>
      <c r="G88" s="1414"/>
      <c r="H88" s="1415"/>
      <c r="I88" s="1396"/>
    </row>
    <row r="89" spans="1:11" ht="13.5" customHeight="1">
      <c r="A89" s="129" t="s">
        <v>1</v>
      </c>
      <c r="B89" s="129"/>
      <c r="C89" s="129"/>
      <c r="D89" s="129"/>
      <c r="E89" s="129"/>
      <c r="F89" s="129"/>
      <c r="G89" s="129"/>
      <c r="H89" s="129"/>
      <c r="I89" s="129"/>
    </row>
    <row r="90" spans="1:11" ht="27" customHeight="1">
      <c r="A90" s="3018" t="s">
        <v>877</v>
      </c>
      <c r="B90" s="3018"/>
      <c r="C90" s="3018"/>
      <c r="D90" s="3018"/>
      <c r="E90" s="3018"/>
      <c r="F90" s="3018"/>
      <c r="G90" s="3018"/>
      <c r="H90" s="129"/>
      <c r="I90" s="1396"/>
    </row>
    <row r="91" spans="1:11" ht="93.75" customHeight="1">
      <c r="A91" s="3018" t="s">
        <v>104</v>
      </c>
      <c r="B91" s="3018"/>
      <c r="C91" s="3018"/>
      <c r="D91" s="3018"/>
      <c r="E91" s="3018"/>
      <c r="F91" s="3018"/>
      <c r="G91" s="3018"/>
      <c r="H91" s="129"/>
      <c r="I91" s="129"/>
    </row>
    <row r="92" spans="1:11" ht="13.5" customHeight="1">
      <c r="A92" s="3018" t="s">
        <v>105</v>
      </c>
      <c r="B92" s="3018"/>
      <c r="C92" s="3018"/>
      <c r="D92" s="3018"/>
      <c r="E92" s="3018"/>
      <c r="F92" s="3018"/>
      <c r="G92" s="3018"/>
      <c r="H92" s="507"/>
      <c r="I92" s="507"/>
    </row>
    <row r="93" spans="1:11" ht="13.5" customHeight="1">
      <c r="A93" s="3018" t="s">
        <v>106</v>
      </c>
      <c r="B93" s="3018"/>
      <c r="C93" s="3018"/>
      <c r="D93" s="3018"/>
      <c r="E93" s="3018"/>
      <c r="F93" s="3018"/>
      <c r="G93" s="3018"/>
      <c r="H93" s="507"/>
      <c r="I93" s="507"/>
    </row>
    <row r="94" spans="1:11" ht="94.5" customHeight="1">
      <c r="A94" s="3057" t="s">
        <v>1026</v>
      </c>
      <c r="B94" s="3057"/>
      <c r="C94" s="3057"/>
      <c r="D94" s="3057"/>
      <c r="E94" s="3057"/>
      <c r="F94" s="3057"/>
      <c r="G94" s="3057"/>
      <c r="H94" s="1368"/>
      <c r="I94" s="1733"/>
    </row>
  </sheetData>
  <mergeCells count="7">
    <mergeCell ref="A93:G93"/>
    <mergeCell ref="A94:G94"/>
    <mergeCell ref="A2:I2"/>
    <mergeCell ref="A87:C87"/>
    <mergeCell ref="A90:G90"/>
    <mergeCell ref="A91:G91"/>
    <mergeCell ref="A92:G9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9" fitToHeight="9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7CB6-1BB7-4F2D-897D-81AE7BE207BA}">
  <sheetPr>
    <pageSetUpPr fitToPage="1"/>
  </sheetPr>
  <dimension ref="A1:J136"/>
  <sheetViews>
    <sheetView view="pageBreakPreview" zoomScale="120" zoomScaleNormal="115" zoomScaleSheetLayoutView="120" zoomScalePageLayoutView="140" workbookViewId="0"/>
  </sheetViews>
  <sheetFormatPr defaultColWidth="10.6640625" defaultRowHeight="15"/>
  <cols>
    <col min="1" max="1" width="12.83203125" style="955" bestFit="1" customWidth="1"/>
    <col min="2" max="2" width="52.5" style="955" customWidth="1"/>
    <col min="3" max="3" width="16.6640625" style="955" bestFit="1" customWidth="1"/>
    <col min="4" max="4" width="16.83203125" style="956" bestFit="1" customWidth="1"/>
    <col min="5" max="5" width="23.1640625" style="956" bestFit="1" customWidth="1"/>
    <col min="6" max="6" width="21" style="955" customWidth="1"/>
    <col min="7" max="7" width="10.6640625" style="955"/>
    <col min="8" max="8" width="25.5" style="955" customWidth="1"/>
    <col min="9" max="9" width="16.6640625" style="955" customWidth="1"/>
    <col min="10" max="10" width="20.6640625" style="955" bestFit="1" customWidth="1"/>
    <col min="11" max="16384" width="10.6640625" style="955"/>
  </cols>
  <sheetData>
    <row r="1" spans="1:10">
      <c r="H1" s="955" t="s">
        <v>1427</v>
      </c>
      <c r="J1" s="957">
        <f>F8+F27+F52+F71+F99+F114+F118+F122</f>
        <v>0</v>
      </c>
    </row>
    <row r="2" spans="1:10">
      <c r="A2" s="955" t="s">
        <v>1428</v>
      </c>
      <c r="B2" s="3081" t="s">
        <v>1429</v>
      </c>
      <c r="C2" s="3081"/>
      <c r="D2" s="3081"/>
      <c r="E2" s="3081"/>
    </row>
    <row r="3" spans="1:10">
      <c r="A3" s="955" t="s">
        <v>1430</v>
      </c>
      <c r="B3" s="958" t="s">
        <v>1431</v>
      </c>
      <c r="C3" s="958"/>
      <c r="D3" s="958"/>
      <c r="E3" s="958"/>
    </row>
    <row r="4" spans="1:10">
      <c r="A4" s="955" t="s">
        <v>1432</v>
      </c>
      <c r="B4" s="959">
        <f ca="1">TODAY()</f>
        <v>45427</v>
      </c>
    </row>
    <row r="5" spans="1:10">
      <c r="A5" s="955" t="s">
        <v>1433</v>
      </c>
      <c r="B5" s="955" t="s">
        <v>1434</v>
      </c>
    </row>
    <row r="7" spans="1:10" ht="30">
      <c r="A7" s="955" t="s">
        <v>1435</v>
      </c>
      <c r="B7" s="955" t="s">
        <v>122</v>
      </c>
      <c r="C7" s="956" t="s">
        <v>1436</v>
      </c>
      <c r="D7" s="956" t="s">
        <v>1437</v>
      </c>
      <c r="E7" s="960" t="s">
        <v>1438</v>
      </c>
      <c r="F7" s="960" t="s">
        <v>1439</v>
      </c>
    </row>
    <row r="8" spans="1:10">
      <c r="A8" s="961">
        <v>1</v>
      </c>
      <c r="B8" s="962" t="s">
        <v>1440</v>
      </c>
      <c r="C8" s="963"/>
      <c r="D8" s="963"/>
      <c r="E8" s="964"/>
      <c r="F8" s="964">
        <f>F9+F21</f>
        <v>0</v>
      </c>
    </row>
    <row r="9" spans="1:10">
      <c r="A9" s="965"/>
      <c r="B9" s="966" t="s">
        <v>1441</v>
      </c>
      <c r="C9" s="967"/>
      <c r="D9" s="968"/>
      <c r="E9" s="969"/>
      <c r="F9" s="970">
        <f>F10+F11+F12+F13+F14+F15+F16+F17+F20+F18+F19</f>
        <v>0</v>
      </c>
    </row>
    <row r="10" spans="1:10" ht="45">
      <c r="A10" s="971" t="s">
        <v>1442</v>
      </c>
      <c r="B10" s="960" t="s">
        <v>1443</v>
      </c>
      <c r="C10" s="956">
        <v>1</v>
      </c>
      <c r="D10" s="972" t="s">
        <v>1444</v>
      </c>
      <c r="E10" s="973"/>
      <c r="F10" s="957">
        <f>Tabulka13[[#This Row],[Jednotková cena v Kč(bez DPH)]]*Tabulka13[[#This Row],[Množství]]</f>
        <v>0</v>
      </c>
    </row>
    <row r="11" spans="1:10" ht="45">
      <c r="A11" s="971" t="s">
        <v>1445</v>
      </c>
      <c r="B11" s="960" t="s">
        <v>1446</v>
      </c>
      <c r="C11" s="956">
        <v>1</v>
      </c>
      <c r="D11" s="972" t="s">
        <v>1328</v>
      </c>
      <c r="E11" s="973"/>
      <c r="F11" s="957">
        <f>Tabulka13[[#This Row],[Jednotková cena v Kč(bez DPH)]]*Tabulka13[[#This Row],[Množství]]</f>
        <v>0</v>
      </c>
    </row>
    <row r="12" spans="1:10" ht="45">
      <c r="A12" s="971" t="s">
        <v>1447</v>
      </c>
      <c r="B12" s="960" t="s">
        <v>1448</v>
      </c>
      <c r="C12" s="956">
        <v>1</v>
      </c>
      <c r="D12" s="972" t="s">
        <v>1444</v>
      </c>
      <c r="E12" s="973"/>
      <c r="F12" s="957">
        <f>Tabulka13[[#This Row],[Jednotková cena v Kč(bez DPH)]]*Tabulka13[[#This Row],[Množství]]</f>
        <v>0</v>
      </c>
    </row>
    <row r="13" spans="1:10" ht="60">
      <c r="A13" s="971" t="s">
        <v>1449</v>
      </c>
      <c r="B13" s="960" t="s">
        <v>1450</v>
      </c>
      <c r="C13" s="956">
        <v>1</v>
      </c>
      <c r="D13" s="972" t="s">
        <v>1444</v>
      </c>
      <c r="E13" s="973"/>
      <c r="F13" s="957">
        <f>Tabulka13[[#This Row],[Jednotková cena v Kč(bez DPH)]]*Tabulka13[[#This Row],[Množství]]</f>
        <v>0</v>
      </c>
    </row>
    <row r="14" spans="1:10">
      <c r="A14" s="971" t="s">
        <v>1451</v>
      </c>
      <c r="B14" s="960" t="s">
        <v>1452</v>
      </c>
      <c r="C14" s="956">
        <v>4</v>
      </c>
      <c r="D14" s="972" t="s">
        <v>1444</v>
      </c>
      <c r="E14" s="973"/>
      <c r="F14" s="957">
        <f>Tabulka13[[#This Row],[Jednotková cena v Kč(bez DPH)]]*Tabulka13[[#This Row],[Množství]]</f>
        <v>0</v>
      </c>
    </row>
    <row r="15" spans="1:10">
      <c r="A15" s="971" t="s">
        <v>1453</v>
      </c>
      <c r="B15" s="960" t="s">
        <v>1454</v>
      </c>
      <c r="C15" s="956">
        <v>2</v>
      </c>
      <c r="D15" s="972" t="s">
        <v>1444</v>
      </c>
      <c r="E15" s="973"/>
      <c r="F15" s="957">
        <f>Tabulka13[[#This Row],[Jednotková cena v Kč(bez DPH)]]*Tabulka13[[#This Row],[Množství]]</f>
        <v>0</v>
      </c>
    </row>
    <row r="16" spans="1:10">
      <c r="A16" s="971" t="s">
        <v>1455</v>
      </c>
      <c r="B16" s="960" t="s">
        <v>1456</v>
      </c>
      <c r="C16" s="956">
        <v>3</v>
      </c>
      <c r="D16" s="972" t="s">
        <v>1444</v>
      </c>
      <c r="E16" s="973"/>
      <c r="F16" s="957">
        <f>Tabulka13[[#This Row],[Jednotková cena v Kč(bez DPH)]]*Tabulka13[[#This Row],[Množství]]</f>
        <v>0</v>
      </c>
    </row>
    <row r="17" spans="1:6" ht="30">
      <c r="A17" s="971" t="s">
        <v>1457</v>
      </c>
      <c r="B17" s="960" t="s">
        <v>1458</v>
      </c>
      <c r="C17" s="956">
        <v>1</v>
      </c>
      <c r="D17" s="972" t="s">
        <v>1444</v>
      </c>
      <c r="E17" s="973"/>
      <c r="F17" s="957">
        <f>Tabulka13[[#This Row],[Jednotková cena v Kč(bez DPH)]]*Tabulka13[[#This Row],[Množství]]</f>
        <v>0</v>
      </c>
    </row>
    <row r="18" spans="1:6">
      <c r="A18" s="971" t="s">
        <v>1459</v>
      </c>
      <c r="B18" s="960" t="s">
        <v>1460</v>
      </c>
      <c r="C18" s="956">
        <v>1</v>
      </c>
      <c r="D18" s="972" t="s">
        <v>1444</v>
      </c>
      <c r="E18" s="973"/>
      <c r="F18" s="957">
        <f>Tabulka13[[#This Row],[Jednotková cena v Kč(bez DPH)]]*Tabulka13[[#This Row],[Množství]]</f>
        <v>0</v>
      </c>
    </row>
    <row r="19" spans="1:6" ht="30">
      <c r="A19" s="971" t="s">
        <v>1461</v>
      </c>
      <c r="B19" s="960" t="s">
        <v>1462</v>
      </c>
      <c r="C19" s="956">
        <v>1</v>
      </c>
      <c r="D19" s="972" t="s">
        <v>1328</v>
      </c>
      <c r="E19" s="973"/>
      <c r="F19" s="957">
        <f>Tabulka13[[#This Row],[Jednotková cena v Kč(bez DPH)]]*Tabulka13[[#This Row],[Množství]]</f>
        <v>0</v>
      </c>
    </row>
    <row r="20" spans="1:6">
      <c r="A20" s="971" t="s">
        <v>1463</v>
      </c>
      <c r="B20" s="960" t="s">
        <v>1464</v>
      </c>
      <c r="C20" s="956">
        <v>1</v>
      </c>
      <c r="D20" s="972" t="s">
        <v>1444</v>
      </c>
      <c r="E20" s="973"/>
      <c r="F20" s="957">
        <f>Tabulka13[[#This Row],[Jednotková cena v Kč(bez DPH)]]*Tabulka13[[#This Row],[Množství]]</f>
        <v>0</v>
      </c>
    </row>
    <row r="21" spans="1:6">
      <c r="A21" s="965"/>
      <c r="B21" s="966" t="s">
        <v>1465</v>
      </c>
      <c r="C21" s="967"/>
      <c r="D21" s="968"/>
      <c r="E21" s="969"/>
      <c r="F21" s="970">
        <f>F22+F23+F24+F25+F26</f>
        <v>0</v>
      </c>
    </row>
    <row r="22" spans="1:6" ht="45">
      <c r="A22" s="971" t="s">
        <v>1461</v>
      </c>
      <c r="B22" s="960" t="s">
        <v>1443</v>
      </c>
      <c r="C22" s="956">
        <v>1</v>
      </c>
      <c r="D22" s="972" t="s">
        <v>1444</v>
      </c>
      <c r="E22" s="973"/>
      <c r="F22" s="957">
        <f>Tabulka13[[#This Row],[Jednotková cena v Kč(bez DPH)]]*Tabulka13[[#This Row],[Množství]]</f>
        <v>0</v>
      </c>
    </row>
    <row r="23" spans="1:6" ht="45">
      <c r="A23" s="971" t="s">
        <v>1463</v>
      </c>
      <c r="B23" s="960" t="s">
        <v>1446</v>
      </c>
      <c r="C23" s="956">
        <v>1</v>
      </c>
      <c r="D23" s="972" t="s">
        <v>1328</v>
      </c>
      <c r="E23" s="973"/>
      <c r="F23" s="957">
        <f>Tabulka13[[#This Row],[Jednotková cena v Kč(bez DPH)]]*Tabulka13[[#This Row],[Množství]]</f>
        <v>0</v>
      </c>
    </row>
    <row r="24" spans="1:6" ht="60">
      <c r="A24" s="971" t="s">
        <v>1466</v>
      </c>
      <c r="B24" s="960" t="s">
        <v>1467</v>
      </c>
      <c r="C24" s="956">
        <v>1</v>
      </c>
      <c r="D24" s="972" t="s">
        <v>1444</v>
      </c>
      <c r="E24" s="973"/>
      <c r="F24" s="957">
        <f>Tabulka13[[#This Row],[Jednotková cena v Kč(bez DPH)]]*Tabulka13[[#This Row],[Množství]]</f>
        <v>0</v>
      </c>
    </row>
    <row r="25" spans="1:6">
      <c r="A25" s="971" t="s">
        <v>1468</v>
      </c>
      <c r="B25" s="960" t="s">
        <v>1454</v>
      </c>
      <c r="C25" s="956">
        <v>1</v>
      </c>
      <c r="D25" s="972" t="s">
        <v>1444</v>
      </c>
      <c r="E25" s="973"/>
      <c r="F25" s="957">
        <f>Tabulka13[[#This Row],[Jednotková cena v Kč(bez DPH)]]*Tabulka13[[#This Row],[Množství]]</f>
        <v>0</v>
      </c>
    </row>
    <row r="26" spans="1:6">
      <c r="A26" s="971" t="s">
        <v>1469</v>
      </c>
      <c r="B26" s="960" t="s">
        <v>1456</v>
      </c>
      <c r="C26" s="956">
        <v>1</v>
      </c>
      <c r="D26" s="972" t="s">
        <v>1444</v>
      </c>
      <c r="E26" s="973"/>
      <c r="F26" s="957">
        <f>Tabulka13[[#This Row],[Jednotková cena v Kč(bez DPH)]]*Tabulka13[[#This Row],[Množství]]</f>
        <v>0</v>
      </c>
    </row>
    <row r="27" spans="1:6">
      <c r="A27" s="961">
        <v>2</v>
      </c>
      <c r="B27" s="962" t="s">
        <v>1470</v>
      </c>
      <c r="C27" s="963"/>
      <c r="D27" s="963"/>
      <c r="E27" s="964"/>
      <c r="F27" s="964">
        <f>F28+F32+F36+F38+F40+F42+F44+F46+F48+F50</f>
        <v>0</v>
      </c>
    </row>
    <row r="28" spans="1:6">
      <c r="A28" s="974"/>
      <c r="B28" s="975" t="s">
        <v>1441</v>
      </c>
      <c r="C28" s="976"/>
      <c r="D28" s="977"/>
      <c r="E28" s="978"/>
      <c r="F28" s="979">
        <f>F29+F30+F31</f>
        <v>0</v>
      </c>
    </row>
    <row r="29" spans="1:6" ht="30">
      <c r="A29" s="971" t="s">
        <v>1471</v>
      </c>
      <c r="B29" s="960" t="s">
        <v>1472</v>
      </c>
      <c r="C29" s="956">
        <v>1</v>
      </c>
      <c r="D29" s="972" t="s">
        <v>1328</v>
      </c>
      <c r="E29" s="973"/>
      <c r="F29" s="957">
        <f>Tabulka13[[#This Row],[Jednotková cena v Kč(bez DPH)]]*Tabulka13[[#This Row],[Množství]]</f>
        <v>0</v>
      </c>
    </row>
    <row r="30" spans="1:6">
      <c r="A30" s="971" t="s">
        <v>1473</v>
      </c>
      <c r="B30" s="960" t="s">
        <v>1474</v>
      </c>
      <c r="C30" s="956">
        <v>1</v>
      </c>
      <c r="D30" s="972" t="s">
        <v>1328</v>
      </c>
      <c r="E30" s="973"/>
      <c r="F30" s="957">
        <f>Tabulka13[[#This Row],[Jednotková cena v Kč(bez DPH)]]*Tabulka13[[#This Row],[Množství]]</f>
        <v>0</v>
      </c>
    </row>
    <row r="31" spans="1:6" ht="30">
      <c r="A31" s="971" t="s">
        <v>1475</v>
      </c>
      <c r="B31" s="960" t="s">
        <v>1476</v>
      </c>
      <c r="C31" s="956">
        <v>1</v>
      </c>
      <c r="D31" s="972" t="s">
        <v>1328</v>
      </c>
      <c r="E31" s="973"/>
      <c r="F31" s="957">
        <f>Tabulka13[[#This Row],[Jednotková cena v Kč(bez DPH)]]*Tabulka13[[#This Row],[Množství]]</f>
        <v>0</v>
      </c>
    </row>
    <row r="32" spans="1:6">
      <c r="A32" s="974"/>
      <c r="B32" s="975" t="s">
        <v>1465</v>
      </c>
      <c r="C32" s="976"/>
      <c r="D32" s="977"/>
      <c r="E32" s="978">
        <v>0</v>
      </c>
      <c r="F32" s="979">
        <f>F33+F34+F35</f>
        <v>0</v>
      </c>
    </row>
    <row r="33" spans="1:6" ht="30">
      <c r="A33" s="971" t="s">
        <v>1477</v>
      </c>
      <c r="B33" s="960" t="s">
        <v>1472</v>
      </c>
      <c r="C33" s="956">
        <v>1</v>
      </c>
      <c r="D33" s="972" t="s">
        <v>1328</v>
      </c>
      <c r="E33" s="973"/>
      <c r="F33" s="957">
        <f>Tabulka13[[#This Row],[Jednotková cena v Kč(bez DPH)]]*Tabulka13[[#This Row],[Množství]]</f>
        <v>0</v>
      </c>
    </row>
    <row r="34" spans="1:6">
      <c r="A34" s="971" t="s">
        <v>1478</v>
      </c>
      <c r="B34" s="960" t="s">
        <v>1474</v>
      </c>
      <c r="C34" s="956">
        <v>1</v>
      </c>
      <c r="D34" s="972" t="s">
        <v>1328</v>
      </c>
      <c r="E34" s="973"/>
      <c r="F34" s="957">
        <f>Tabulka13[[#This Row],[Jednotková cena v Kč(bez DPH)]]*Tabulka13[[#This Row],[Množství]]</f>
        <v>0</v>
      </c>
    </row>
    <row r="35" spans="1:6" ht="30">
      <c r="A35" s="971" t="s">
        <v>1479</v>
      </c>
      <c r="B35" s="960" t="s">
        <v>1476</v>
      </c>
      <c r="C35" s="956">
        <v>1</v>
      </c>
      <c r="D35" s="972" t="s">
        <v>1328</v>
      </c>
      <c r="E35" s="973"/>
      <c r="F35" s="957">
        <f>Tabulka13[[#This Row],[Jednotková cena v Kč(bez DPH)]]*Tabulka13[[#This Row],[Množství]]</f>
        <v>0</v>
      </c>
    </row>
    <row r="36" spans="1:6">
      <c r="A36" s="974"/>
      <c r="B36" s="975" t="s">
        <v>1480</v>
      </c>
      <c r="C36" s="976"/>
      <c r="D36" s="977"/>
      <c r="E36" s="978">
        <v>0</v>
      </c>
      <c r="F36" s="979">
        <f>F37</f>
        <v>0</v>
      </c>
    </row>
    <row r="37" spans="1:6" ht="30">
      <c r="A37" s="971" t="s">
        <v>1481</v>
      </c>
      <c r="B37" s="960" t="s">
        <v>1476</v>
      </c>
      <c r="C37" s="956">
        <v>1</v>
      </c>
      <c r="D37" s="972" t="s">
        <v>1328</v>
      </c>
      <c r="E37" s="973"/>
      <c r="F37" s="957">
        <f>Tabulka13[[#This Row],[Jednotková cena v Kč(bez DPH)]]*Tabulka13[[#This Row],[Množství]]</f>
        <v>0</v>
      </c>
    </row>
    <row r="38" spans="1:6">
      <c r="A38" s="974"/>
      <c r="B38" s="975" t="s">
        <v>1482</v>
      </c>
      <c r="C38" s="976"/>
      <c r="D38" s="977"/>
      <c r="E38" s="978">
        <v>0</v>
      </c>
      <c r="F38" s="979">
        <f>F39</f>
        <v>0</v>
      </c>
    </row>
    <row r="39" spans="1:6" ht="30">
      <c r="A39" s="971" t="s">
        <v>1483</v>
      </c>
      <c r="B39" s="960" t="s">
        <v>1476</v>
      </c>
      <c r="C39" s="956">
        <v>1</v>
      </c>
      <c r="D39" s="972" t="s">
        <v>1328</v>
      </c>
      <c r="E39" s="973"/>
      <c r="F39" s="957">
        <f>Tabulka13[[#This Row],[Jednotková cena v Kč(bez DPH)]]*Tabulka13[[#This Row],[Množství]]</f>
        <v>0</v>
      </c>
    </row>
    <row r="40" spans="1:6">
      <c r="A40" s="974"/>
      <c r="B40" s="975" t="s">
        <v>1484</v>
      </c>
      <c r="C40" s="976"/>
      <c r="D40" s="977"/>
      <c r="E40" s="978">
        <v>0</v>
      </c>
      <c r="F40" s="979">
        <f>F41</f>
        <v>0</v>
      </c>
    </row>
    <row r="41" spans="1:6" ht="30">
      <c r="A41" s="971" t="s">
        <v>1485</v>
      </c>
      <c r="B41" s="960" t="s">
        <v>1476</v>
      </c>
      <c r="C41" s="956">
        <v>1</v>
      </c>
      <c r="D41" s="972" t="s">
        <v>1328</v>
      </c>
      <c r="E41" s="973"/>
      <c r="F41" s="957">
        <f>Tabulka13[[#This Row],[Jednotková cena v Kč(bez DPH)]]*Tabulka13[[#This Row],[Množství]]</f>
        <v>0</v>
      </c>
    </row>
    <row r="42" spans="1:6">
      <c r="A42" s="974"/>
      <c r="B42" s="975" t="s">
        <v>1486</v>
      </c>
      <c r="C42" s="976"/>
      <c r="D42" s="977"/>
      <c r="E42" s="978">
        <v>0</v>
      </c>
      <c r="F42" s="979">
        <f>F43</f>
        <v>0</v>
      </c>
    </row>
    <row r="43" spans="1:6" ht="30">
      <c r="A43" s="971" t="s">
        <v>1487</v>
      </c>
      <c r="B43" s="960" t="s">
        <v>1476</v>
      </c>
      <c r="C43" s="956">
        <v>1</v>
      </c>
      <c r="D43" s="972" t="s">
        <v>1328</v>
      </c>
      <c r="E43" s="973"/>
      <c r="F43" s="957">
        <f>Tabulka13[[#This Row],[Jednotková cena v Kč(bez DPH)]]*Tabulka13[[#This Row],[Množství]]</f>
        <v>0</v>
      </c>
    </row>
    <row r="44" spans="1:6">
      <c r="A44" s="974"/>
      <c r="B44" s="975" t="s">
        <v>1488</v>
      </c>
      <c r="C44" s="976"/>
      <c r="D44" s="977"/>
      <c r="E44" s="978">
        <v>0</v>
      </c>
      <c r="F44" s="979">
        <f>F45</f>
        <v>0</v>
      </c>
    </row>
    <row r="45" spans="1:6" ht="30">
      <c r="A45" s="971" t="s">
        <v>1489</v>
      </c>
      <c r="B45" s="960" t="s">
        <v>1476</v>
      </c>
      <c r="C45" s="956">
        <v>1</v>
      </c>
      <c r="D45" s="972" t="s">
        <v>1328</v>
      </c>
      <c r="E45" s="973"/>
      <c r="F45" s="957">
        <f>Tabulka13[[#This Row],[Jednotková cena v Kč(bez DPH)]]*Tabulka13[[#This Row],[Množství]]</f>
        <v>0</v>
      </c>
    </row>
    <row r="46" spans="1:6">
      <c r="A46" s="974"/>
      <c r="B46" s="975" t="s">
        <v>1490</v>
      </c>
      <c r="C46" s="976"/>
      <c r="D46" s="977"/>
      <c r="E46" s="978">
        <v>0</v>
      </c>
      <c r="F46" s="979">
        <f>F47</f>
        <v>0</v>
      </c>
    </row>
    <row r="47" spans="1:6" ht="30">
      <c r="A47" s="971" t="s">
        <v>1491</v>
      </c>
      <c r="B47" s="960" t="s">
        <v>1476</v>
      </c>
      <c r="C47" s="956">
        <v>1</v>
      </c>
      <c r="D47" s="972" t="s">
        <v>1328</v>
      </c>
      <c r="E47" s="973"/>
      <c r="F47" s="957">
        <f>Tabulka13[[#This Row],[Jednotková cena v Kč(bez DPH)]]*Tabulka13[[#This Row],[Množství]]</f>
        <v>0</v>
      </c>
    </row>
    <row r="48" spans="1:6">
      <c r="A48" s="974"/>
      <c r="B48" s="975" t="s">
        <v>1492</v>
      </c>
      <c r="C48" s="976"/>
      <c r="D48" s="977"/>
      <c r="E48" s="978">
        <v>0</v>
      </c>
      <c r="F48" s="979">
        <f>F49</f>
        <v>0</v>
      </c>
    </row>
    <row r="49" spans="1:6" ht="30">
      <c r="A49" s="971" t="s">
        <v>1493</v>
      </c>
      <c r="B49" s="960" t="s">
        <v>1476</v>
      </c>
      <c r="C49" s="956">
        <v>1</v>
      </c>
      <c r="D49" s="972" t="s">
        <v>1328</v>
      </c>
      <c r="E49" s="973"/>
      <c r="F49" s="957">
        <f>Tabulka13[[#This Row],[Jednotková cena v Kč(bez DPH)]]*Tabulka13[[#This Row],[Množství]]</f>
        <v>0</v>
      </c>
    </row>
    <row r="50" spans="1:6">
      <c r="A50" s="974"/>
      <c r="B50" s="975" t="s">
        <v>1494</v>
      </c>
      <c r="C50" s="976"/>
      <c r="D50" s="977"/>
      <c r="E50" s="978">
        <v>0</v>
      </c>
      <c r="F50" s="979">
        <f>F51</f>
        <v>0</v>
      </c>
    </row>
    <row r="51" spans="1:6" ht="30">
      <c r="A51" s="971" t="s">
        <v>1495</v>
      </c>
      <c r="B51" s="960" t="s">
        <v>1476</v>
      </c>
      <c r="C51" s="956">
        <v>1</v>
      </c>
      <c r="D51" s="972" t="s">
        <v>1328</v>
      </c>
      <c r="E51" s="973"/>
      <c r="F51" s="957">
        <f>Tabulka13[[#This Row],[Jednotková cena v Kč(bez DPH)]]*Tabulka13[[#This Row],[Množství]]</f>
        <v>0</v>
      </c>
    </row>
    <row r="52" spans="1:6">
      <c r="A52" s="961">
        <v>3</v>
      </c>
      <c r="B52" s="962" t="s">
        <v>1496</v>
      </c>
      <c r="C52" s="963"/>
      <c r="D52" s="963"/>
      <c r="E52" s="964"/>
      <c r="F52" s="964">
        <f>SUBTOTAL(109,F53:F70)</f>
        <v>0</v>
      </c>
    </row>
    <row r="53" spans="1:6">
      <c r="A53" s="971" t="s">
        <v>1497</v>
      </c>
      <c r="B53" s="960" t="s">
        <v>1498</v>
      </c>
      <c r="C53" s="956">
        <v>3</v>
      </c>
      <c r="D53" s="972" t="s">
        <v>1444</v>
      </c>
      <c r="E53" s="973"/>
      <c r="F53" s="957">
        <f>Tabulka13[[#This Row],[Jednotková cena v Kč(bez DPH)]]*Tabulka13[[#This Row],[Množství]]</f>
        <v>0</v>
      </c>
    </row>
    <row r="54" spans="1:6">
      <c r="A54" s="971" t="s">
        <v>1499</v>
      </c>
      <c r="B54" s="960" t="s">
        <v>1500</v>
      </c>
      <c r="C54" s="956">
        <v>2</v>
      </c>
      <c r="D54" s="972" t="s">
        <v>1444</v>
      </c>
      <c r="E54" s="973"/>
      <c r="F54" s="957">
        <f>Tabulka13[[#This Row],[Jednotková cena v Kč(bez DPH)]]*Tabulka13[[#This Row],[Množství]]</f>
        <v>0</v>
      </c>
    </row>
    <row r="55" spans="1:6">
      <c r="A55" s="971" t="s">
        <v>1501</v>
      </c>
      <c r="B55" s="960" t="s">
        <v>1502</v>
      </c>
      <c r="C55" s="956">
        <v>1</v>
      </c>
      <c r="D55" s="972" t="s">
        <v>1444</v>
      </c>
      <c r="E55" s="973"/>
      <c r="F55" s="957">
        <f>Tabulka13[[#This Row],[Jednotková cena v Kč(bez DPH)]]*Tabulka13[[#This Row],[Množství]]</f>
        <v>0</v>
      </c>
    </row>
    <row r="56" spans="1:6">
      <c r="A56" s="971" t="s">
        <v>1503</v>
      </c>
      <c r="B56" s="960" t="s">
        <v>1504</v>
      </c>
      <c r="C56" s="956">
        <v>1</v>
      </c>
      <c r="D56" s="972" t="s">
        <v>1444</v>
      </c>
      <c r="E56" s="973"/>
      <c r="F56" s="957">
        <f>Tabulka13[[#This Row],[Jednotková cena v Kč(bez DPH)]]*Tabulka13[[#This Row],[Množství]]</f>
        <v>0</v>
      </c>
    </row>
    <row r="57" spans="1:6">
      <c r="A57" s="971" t="s">
        <v>1505</v>
      </c>
      <c r="B57" s="960" t="s">
        <v>1506</v>
      </c>
      <c r="C57" s="956">
        <v>2</v>
      </c>
      <c r="D57" s="972" t="s">
        <v>1444</v>
      </c>
      <c r="E57" s="973"/>
      <c r="F57" s="957">
        <f>Tabulka13[[#This Row],[Jednotková cena v Kč(bez DPH)]]*Tabulka13[[#This Row],[Množství]]</f>
        <v>0</v>
      </c>
    </row>
    <row r="58" spans="1:6">
      <c r="A58" s="971" t="s">
        <v>1507</v>
      </c>
      <c r="B58" s="960" t="s">
        <v>1508</v>
      </c>
      <c r="C58" s="956">
        <v>2</v>
      </c>
      <c r="D58" s="972" t="s">
        <v>1444</v>
      </c>
      <c r="E58" s="973"/>
      <c r="F58" s="957">
        <f>Tabulka13[[#This Row],[Jednotková cena v Kč(bez DPH)]]*Tabulka13[[#This Row],[Množství]]</f>
        <v>0</v>
      </c>
    </row>
    <row r="59" spans="1:6">
      <c r="A59" s="971" t="s">
        <v>1509</v>
      </c>
      <c r="B59" s="960" t="s">
        <v>1510</v>
      </c>
      <c r="C59" s="956">
        <v>9</v>
      </c>
      <c r="D59" s="972" t="s">
        <v>1444</v>
      </c>
      <c r="E59" s="973"/>
      <c r="F59" s="957">
        <f>Tabulka13[[#This Row],[Jednotková cena v Kč(bez DPH)]]*Tabulka13[[#This Row],[Množství]]</f>
        <v>0</v>
      </c>
    </row>
    <row r="60" spans="1:6">
      <c r="A60" s="971" t="s">
        <v>1511</v>
      </c>
      <c r="B60" s="960" t="s">
        <v>1512</v>
      </c>
      <c r="C60" s="956">
        <v>5</v>
      </c>
      <c r="D60" s="972" t="s">
        <v>1444</v>
      </c>
      <c r="E60" s="973"/>
      <c r="F60" s="957">
        <f>Tabulka13[[#This Row],[Jednotková cena v Kč(bez DPH)]]*Tabulka13[[#This Row],[Množství]]</f>
        <v>0</v>
      </c>
    </row>
    <row r="61" spans="1:6">
      <c r="A61" s="971" t="s">
        <v>1513</v>
      </c>
      <c r="B61" s="960" t="s">
        <v>1514</v>
      </c>
      <c r="C61" s="956">
        <v>2</v>
      </c>
      <c r="D61" s="972" t="s">
        <v>1444</v>
      </c>
      <c r="E61" s="973"/>
      <c r="F61" s="957">
        <f>Tabulka13[[#This Row],[Jednotková cena v Kč(bez DPH)]]*Tabulka13[[#This Row],[Množství]]</f>
        <v>0</v>
      </c>
    </row>
    <row r="62" spans="1:6">
      <c r="A62" s="971" t="s">
        <v>1515</v>
      </c>
      <c r="B62" s="960" t="s">
        <v>1516</v>
      </c>
      <c r="C62" s="956">
        <v>7</v>
      </c>
      <c r="D62" s="972" t="s">
        <v>1444</v>
      </c>
      <c r="E62" s="973"/>
      <c r="F62" s="957">
        <f>Tabulka13[[#This Row],[Jednotková cena v Kč(bez DPH)]]*Tabulka13[[#This Row],[Množství]]</f>
        <v>0</v>
      </c>
    </row>
    <row r="63" spans="1:6">
      <c r="A63" s="971" t="s">
        <v>1517</v>
      </c>
      <c r="B63" s="960" t="s">
        <v>1518</v>
      </c>
      <c r="C63" s="956">
        <v>2</v>
      </c>
      <c r="D63" s="972" t="s">
        <v>1444</v>
      </c>
      <c r="E63" s="973"/>
      <c r="F63" s="957">
        <f>Tabulka13[[#This Row],[Jednotková cena v Kč(bez DPH)]]*Tabulka13[[#This Row],[Množství]]</f>
        <v>0</v>
      </c>
    </row>
    <row r="64" spans="1:6">
      <c r="A64" s="971" t="s">
        <v>1519</v>
      </c>
      <c r="B64" s="960" t="s">
        <v>1520</v>
      </c>
      <c r="C64" s="956">
        <v>4</v>
      </c>
      <c r="D64" s="972" t="s">
        <v>1444</v>
      </c>
      <c r="E64" s="973"/>
      <c r="F64" s="957">
        <f>Tabulka13[[#This Row],[Jednotková cena v Kč(bez DPH)]]*Tabulka13[[#This Row],[Množství]]</f>
        <v>0</v>
      </c>
    </row>
    <row r="65" spans="1:6">
      <c r="A65" s="971" t="s">
        <v>1521</v>
      </c>
      <c r="B65" s="960" t="s">
        <v>1522</v>
      </c>
      <c r="C65" s="956">
        <v>1</v>
      </c>
      <c r="D65" s="972" t="s">
        <v>1444</v>
      </c>
      <c r="E65" s="973"/>
      <c r="F65" s="957">
        <f>Tabulka13[[#This Row],[Jednotková cena v Kč(bez DPH)]]*Tabulka13[[#This Row],[Množství]]</f>
        <v>0</v>
      </c>
    </row>
    <row r="66" spans="1:6">
      <c r="A66" s="971" t="s">
        <v>1523</v>
      </c>
      <c r="B66" s="960" t="s">
        <v>1524</v>
      </c>
      <c r="C66" s="956">
        <v>4</v>
      </c>
      <c r="D66" s="972" t="s">
        <v>1444</v>
      </c>
      <c r="E66" s="973"/>
      <c r="F66" s="957">
        <f>Tabulka13[[#This Row],[Jednotková cena v Kč(bez DPH)]]*Tabulka13[[#This Row],[Množství]]</f>
        <v>0</v>
      </c>
    </row>
    <row r="67" spans="1:6" ht="30">
      <c r="A67" s="971" t="s">
        <v>1525</v>
      </c>
      <c r="B67" s="960" t="s">
        <v>1526</v>
      </c>
      <c r="C67" s="956">
        <v>1</v>
      </c>
      <c r="D67" s="972" t="s">
        <v>1444</v>
      </c>
      <c r="E67" s="973"/>
      <c r="F67" s="957">
        <f>Tabulka13[[#This Row],[Jednotková cena v Kč(bez DPH)]]*Tabulka13[[#This Row],[Množství]]</f>
        <v>0</v>
      </c>
    </row>
    <row r="68" spans="1:6" ht="30">
      <c r="A68" s="971" t="s">
        <v>1527</v>
      </c>
      <c r="B68" s="960" t="s">
        <v>1528</v>
      </c>
      <c r="C68" s="956">
        <v>1</v>
      </c>
      <c r="D68" s="972" t="s">
        <v>1444</v>
      </c>
      <c r="E68" s="973"/>
      <c r="F68" s="957">
        <f>Tabulka13[[#This Row],[Jednotková cena v Kč(bez DPH)]]*Tabulka13[[#This Row],[Množství]]</f>
        <v>0</v>
      </c>
    </row>
    <row r="69" spans="1:6">
      <c r="A69" s="971" t="s">
        <v>1529</v>
      </c>
      <c r="B69" s="960" t="s">
        <v>1530</v>
      </c>
      <c r="C69" s="956">
        <v>1</v>
      </c>
      <c r="D69" s="972" t="s">
        <v>1444</v>
      </c>
      <c r="E69" s="973"/>
      <c r="F69" s="957">
        <f>Tabulka13[[#This Row],[Jednotková cena v Kč(bez DPH)]]*Tabulka13[[#This Row],[Množství]]</f>
        <v>0</v>
      </c>
    </row>
    <row r="70" spans="1:6">
      <c r="A70" s="971" t="s">
        <v>1531</v>
      </c>
      <c r="B70" s="960" t="s">
        <v>1532</v>
      </c>
      <c r="C70" s="956">
        <v>1</v>
      </c>
      <c r="D70" s="972" t="s">
        <v>1444</v>
      </c>
      <c r="E70" s="973"/>
      <c r="F70" s="957">
        <f>Tabulka13[[#This Row],[Jednotková cena v Kč(bez DPH)]]*Tabulka13[[#This Row],[Množství]]</f>
        <v>0</v>
      </c>
    </row>
    <row r="71" spans="1:6">
      <c r="A71" s="961">
        <v>4</v>
      </c>
      <c r="B71" s="962" t="s">
        <v>1533</v>
      </c>
      <c r="C71" s="963"/>
      <c r="D71" s="963"/>
      <c r="E71" s="964"/>
      <c r="F71" s="964">
        <f>SUBTOTAL(109,F72:F98)</f>
        <v>0</v>
      </c>
    </row>
    <row r="72" spans="1:6" ht="45">
      <c r="A72" s="971" t="s">
        <v>1534</v>
      </c>
      <c r="B72" s="960" t="s">
        <v>1535</v>
      </c>
      <c r="C72" s="956">
        <f>C53+C54+C55+C56</f>
        <v>7</v>
      </c>
      <c r="D72" s="972" t="s">
        <v>1328</v>
      </c>
      <c r="E72" s="973"/>
      <c r="F72" s="957">
        <f>Tabulka13[[#This Row],[Jednotková cena v Kč(bez DPH)]]*Tabulka13[[#This Row],[Množství]]</f>
        <v>0</v>
      </c>
    </row>
    <row r="73" spans="1:6" ht="30">
      <c r="A73" s="971" t="s">
        <v>1536</v>
      </c>
      <c r="B73" s="960" t="s">
        <v>1537</v>
      </c>
      <c r="C73" s="956">
        <v>2</v>
      </c>
      <c r="D73" s="972" t="s">
        <v>1328</v>
      </c>
      <c r="E73" s="973"/>
      <c r="F73" s="957">
        <f>Tabulka13[[#This Row],[Jednotková cena v Kč(bez DPH)]]*Tabulka13[[#This Row],[Množství]]</f>
        <v>0</v>
      </c>
    </row>
    <row r="74" spans="1:6">
      <c r="A74" s="971" t="s">
        <v>1538</v>
      </c>
      <c r="B74" s="960" t="s">
        <v>1539</v>
      </c>
      <c r="C74" s="956">
        <f>C59</f>
        <v>9</v>
      </c>
      <c r="D74" s="972" t="s">
        <v>1328</v>
      </c>
      <c r="E74" s="973"/>
      <c r="F74" s="957">
        <f>Tabulka13[[#This Row],[Jednotková cena v Kč(bez DPH)]]*Tabulka13[[#This Row],[Množství]]</f>
        <v>0</v>
      </c>
    </row>
    <row r="75" spans="1:6" ht="30">
      <c r="A75" s="971" t="s">
        <v>1540</v>
      </c>
      <c r="B75" s="960" t="s">
        <v>1541</v>
      </c>
      <c r="C75" s="956">
        <f>C60</f>
        <v>5</v>
      </c>
      <c r="D75" s="972" t="s">
        <v>1328</v>
      </c>
      <c r="E75" s="973"/>
      <c r="F75" s="957">
        <f>Tabulka13[[#This Row],[Jednotková cena v Kč(bez DPH)]]*Tabulka13[[#This Row],[Množství]]</f>
        <v>0</v>
      </c>
    </row>
    <row r="76" spans="1:6" ht="60">
      <c r="A76" s="971" t="s">
        <v>1542</v>
      </c>
      <c r="B76" s="960" t="s">
        <v>1543</v>
      </c>
      <c r="C76" s="956">
        <v>2</v>
      </c>
      <c r="D76" s="972" t="s">
        <v>1328</v>
      </c>
      <c r="E76" s="973"/>
      <c r="F76" s="957">
        <f>Tabulka13[[#This Row],[Jednotková cena v Kč(bez DPH)]]*Tabulka13[[#This Row],[Množství]]</f>
        <v>0</v>
      </c>
    </row>
    <row r="77" spans="1:6" ht="45">
      <c r="A77" s="971" t="s">
        <v>1544</v>
      </c>
      <c r="B77" s="960" t="s">
        <v>1545</v>
      </c>
      <c r="C77" s="956">
        <v>7</v>
      </c>
      <c r="D77" s="972" t="s">
        <v>1328</v>
      </c>
      <c r="E77" s="973"/>
      <c r="F77" s="957">
        <f>Tabulka13[[#This Row],[Jednotková cena v Kč(bez DPH)]]*Tabulka13[[#This Row],[Množství]]</f>
        <v>0</v>
      </c>
    </row>
    <row r="78" spans="1:6" ht="30">
      <c r="A78" s="971" t="s">
        <v>1546</v>
      </c>
      <c r="B78" s="960" t="s">
        <v>1547</v>
      </c>
      <c r="C78" s="956">
        <v>2</v>
      </c>
      <c r="D78" s="972" t="s">
        <v>1328</v>
      </c>
      <c r="E78" s="973"/>
      <c r="F78" s="957">
        <f>Tabulka13[[#This Row],[Jednotková cena v Kč(bez DPH)]]*Tabulka13[[#This Row],[Množství]]</f>
        <v>0</v>
      </c>
    </row>
    <row r="79" spans="1:6" ht="30">
      <c r="A79" s="971" t="s">
        <v>1548</v>
      </c>
      <c r="B79" s="960" t="s">
        <v>1549</v>
      </c>
      <c r="C79" s="956">
        <v>9</v>
      </c>
      <c r="D79" s="972" t="s">
        <v>1328</v>
      </c>
      <c r="E79" s="973"/>
      <c r="F79" s="957">
        <f>Tabulka13[[#This Row],[Jednotková cena v Kč(bez DPH)]]*Tabulka13[[#This Row],[Množství]]</f>
        <v>0</v>
      </c>
    </row>
    <row r="80" spans="1:6" ht="30">
      <c r="A80" s="971" t="s">
        <v>1550</v>
      </c>
      <c r="B80" s="960" t="s">
        <v>1551</v>
      </c>
      <c r="C80" s="956">
        <v>2</v>
      </c>
      <c r="D80" s="972" t="s">
        <v>1328</v>
      </c>
      <c r="E80" s="973"/>
      <c r="F80" s="957">
        <f>Tabulka13[[#This Row],[Jednotková cena v Kč(bez DPH)]]*Tabulka13[[#This Row],[Množství]]</f>
        <v>0</v>
      </c>
    </row>
    <row r="81" spans="1:6">
      <c r="A81" s="971" t="s">
        <v>1552</v>
      </c>
      <c r="B81" s="960" t="s">
        <v>1553</v>
      </c>
      <c r="C81" s="956">
        <v>1</v>
      </c>
      <c r="D81" s="972" t="s">
        <v>1328</v>
      </c>
      <c r="E81" s="973"/>
      <c r="F81" s="957">
        <f>Tabulka13[[#This Row],[Jednotková cena v Kč(bez DPH)]]*Tabulka13[[#This Row],[Množství]]</f>
        <v>0</v>
      </c>
    </row>
    <row r="82" spans="1:6">
      <c r="A82" s="971" t="s">
        <v>1554</v>
      </c>
      <c r="B82" s="960" t="s">
        <v>1555</v>
      </c>
      <c r="C82" s="956">
        <v>1</v>
      </c>
      <c r="D82" s="972" t="s">
        <v>1328</v>
      </c>
      <c r="E82" s="973"/>
      <c r="F82" s="957">
        <f>Tabulka13[[#This Row],[Jednotková cena v Kč(bez DPH)]]*Tabulka13[[#This Row],[Množství]]</f>
        <v>0</v>
      </c>
    </row>
    <row r="83" spans="1:6">
      <c r="A83" s="971" t="s">
        <v>1556</v>
      </c>
      <c r="B83" s="960" t="s">
        <v>1557</v>
      </c>
      <c r="C83" s="956">
        <v>8</v>
      </c>
      <c r="D83" s="972" t="s">
        <v>1328</v>
      </c>
      <c r="E83" s="973"/>
      <c r="F83" s="957">
        <f>Tabulka13[[#This Row],[Jednotková cena v Kč(bez DPH)]]*Tabulka13[[#This Row],[Množství]]</f>
        <v>0</v>
      </c>
    </row>
    <row r="84" spans="1:6">
      <c r="A84" s="971" t="s">
        <v>1558</v>
      </c>
      <c r="B84" s="960" t="s">
        <v>1559</v>
      </c>
      <c r="C84" s="956">
        <v>1</v>
      </c>
      <c r="D84" s="972" t="s">
        <v>1328</v>
      </c>
      <c r="E84" s="973"/>
      <c r="F84" s="957">
        <f>Tabulka13[[#This Row],[Jednotková cena v Kč(bez DPH)]]*Tabulka13[[#This Row],[Množství]]</f>
        <v>0</v>
      </c>
    </row>
    <row r="85" spans="1:6">
      <c r="A85" s="971" t="s">
        <v>1560</v>
      </c>
      <c r="B85" s="960" t="s">
        <v>1561</v>
      </c>
      <c r="C85" s="956">
        <v>2</v>
      </c>
      <c r="D85" s="972" t="s">
        <v>1328</v>
      </c>
      <c r="E85" s="973"/>
      <c r="F85" s="957">
        <f>Tabulka13[[#This Row],[Jednotková cena v Kč(bez DPH)]]*Tabulka13[[#This Row],[Množství]]</f>
        <v>0</v>
      </c>
    </row>
    <row r="86" spans="1:6">
      <c r="A86" s="971" t="s">
        <v>1562</v>
      </c>
      <c r="B86" s="960" t="s">
        <v>1563</v>
      </c>
      <c r="C86" s="956">
        <v>1</v>
      </c>
      <c r="D86" s="972" t="s">
        <v>1328</v>
      </c>
      <c r="E86" s="973"/>
      <c r="F86" s="957">
        <f>Tabulka13[[#This Row],[Jednotková cena v Kč(bez DPH)]]*Tabulka13[[#This Row],[Množství]]</f>
        <v>0</v>
      </c>
    </row>
    <row r="87" spans="1:6">
      <c r="A87" s="971" t="s">
        <v>1564</v>
      </c>
      <c r="B87" s="960" t="s">
        <v>1565</v>
      </c>
      <c r="C87" s="956">
        <v>1</v>
      </c>
      <c r="D87" s="972" t="s">
        <v>1328</v>
      </c>
      <c r="E87" s="973"/>
      <c r="F87" s="957">
        <f>Tabulka13[[#This Row],[Jednotková cena v Kč(bez DPH)]]*Tabulka13[[#This Row],[Množství]]</f>
        <v>0</v>
      </c>
    </row>
    <row r="88" spans="1:6">
      <c r="A88" s="971" t="s">
        <v>1566</v>
      </c>
      <c r="B88" s="960" t="s">
        <v>1567</v>
      </c>
      <c r="C88" s="956">
        <v>6</v>
      </c>
      <c r="D88" s="972" t="s">
        <v>1328</v>
      </c>
      <c r="E88" s="973"/>
      <c r="F88" s="957">
        <f>Tabulka13[[#This Row],[Jednotková cena v Kč(bez DPH)]]*Tabulka13[[#This Row],[Množství]]</f>
        <v>0</v>
      </c>
    </row>
    <row r="89" spans="1:6" ht="45">
      <c r="A89" s="971" t="s">
        <v>1568</v>
      </c>
      <c r="B89" s="960" t="s">
        <v>1569</v>
      </c>
      <c r="C89" s="956">
        <v>8</v>
      </c>
      <c r="D89" s="972" t="s">
        <v>1328</v>
      </c>
      <c r="E89" s="973"/>
      <c r="F89" s="957">
        <f>Tabulka13[[#This Row],[Jednotková cena v Kč(bez DPH)]]*Tabulka13[[#This Row],[Množství]]</f>
        <v>0</v>
      </c>
    </row>
    <row r="90" spans="1:6" ht="33">
      <c r="A90" s="971" t="s">
        <v>1570</v>
      </c>
      <c r="B90" s="960" t="s">
        <v>1571</v>
      </c>
      <c r="C90" s="956">
        <v>8</v>
      </c>
      <c r="D90" s="972" t="s">
        <v>1328</v>
      </c>
      <c r="E90" s="973"/>
      <c r="F90" s="957">
        <f>Tabulka13[[#This Row],[Jednotková cena v Kč(bez DPH)]]*Tabulka13[[#This Row],[Množství]]</f>
        <v>0</v>
      </c>
    </row>
    <row r="91" spans="1:6" ht="60">
      <c r="A91" s="971" t="s">
        <v>1572</v>
      </c>
      <c r="B91" s="960" t="s">
        <v>1573</v>
      </c>
      <c r="C91" s="956">
        <v>2</v>
      </c>
      <c r="D91" s="972" t="s">
        <v>1328</v>
      </c>
      <c r="E91" s="973"/>
      <c r="F91" s="957">
        <f>Tabulka13[[#This Row],[Jednotková cena v Kč(bez DPH)]]*Tabulka13[[#This Row],[Množství]]</f>
        <v>0</v>
      </c>
    </row>
    <row r="92" spans="1:6" ht="60">
      <c r="A92" s="971" t="s">
        <v>1574</v>
      </c>
      <c r="B92" s="960" t="s">
        <v>1575</v>
      </c>
      <c r="C92" s="956">
        <v>3</v>
      </c>
      <c r="D92" s="972" t="s">
        <v>1328</v>
      </c>
      <c r="E92" s="973"/>
      <c r="F92" s="957">
        <f>Tabulka13[[#This Row],[Jednotková cena v Kč(bez DPH)]]*Tabulka13[[#This Row],[Množství]]</f>
        <v>0</v>
      </c>
    </row>
    <row r="93" spans="1:6" ht="30">
      <c r="A93" s="971" t="s">
        <v>1576</v>
      </c>
      <c r="B93" s="960" t="s">
        <v>1577</v>
      </c>
      <c r="C93" s="956">
        <v>1</v>
      </c>
      <c r="D93" s="972" t="s">
        <v>1328</v>
      </c>
      <c r="E93" s="973"/>
      <c r="F93" s="957">
        <f>Tabulka13[[#This Row],[Jednotková cena v Kč(bez DPH)]]*Tabulka13[[#This Row],[Množství]]</f>
        <v>0</v>
      </c>
    </row>
    <row r="94" spans="1:6" ht="75">
      <c r="A94" s="971" t="s">
        <v>1578</v>
      </c>
      <c r="B94" s="960" t="s">
        <v>1579</v>
      </c>
      <c r="C94" s="956">
        <v>2</v>
      </c>
      <c r="D94" s="972" t="s">
        <v>1328</v>
      </c>
      <c r="E94" s="973"/>
      <c r="F94" s="957">
        <f>Tabulka13[[#This Row],[Jednotková cena v Kč(bez DPH)]]*Tabulka13[[#This Row],[Množství]]</f>
        <v>0</v>
      </c>
    </row>
    <row r="95" spans="1:6" ht="30">
      <c r="A95" s="971" t="s">
        <v>1580</v>
      </c>
      <c r="B95" s="960" t="s">
        <v>1581</v>
      </c>
      <c r="C95" s="956">
        <v>1</v>
      </c>
      <c r="D95" s="972" t="s">
        <v>1328</v>
      </c>
      <c r="E95" s="973"/>
      <c r="F95" s="957">
        <f>Tabulka13[[#This Row],[Jednotková cena v Kč(bez DPH)]]*Tabulka13[[#This Row],[Množství]]</f>
        <v>0</v>
      </c>
    </row>
    <row r="96" spans="1:6" ht="30">
      <c r="A96" s="971" t="s">
        <v>1582</v>
      </c>
      <c r="B96" s="960" t="s">
        <v>1583</v>
      </c>
      <c r="C96" s="956">
        <v>1</v>
      </c>
      <c r="D96" s="972" t="s">
        <v>1328</v>
      </c>
      <c r="E96" s="973"/>
      <c r="F96" s="957">
        <f>Tabulka13[[#This Row],[Jednotková cena v Kč(bez DPH)]]*Tabulka13[[#This Row],[Množství]]</f>
        <v>0</v>
      </c>
    </row>
    <row r="97" spans="1:6" ht="30">
      <c r="A97" s="971" t="s">
        <v>1584</v>
      </c>
      <c r="B97" s="960" t="s">
        <v>1585</v>
      </c>
      <c r="C97" s="956">
        <v>5</v>
      </c>
      <c r="D97" s="972" t="s">
        <v>1328</v>
      </c>
      <c r="E97" s="973"/>
      <c r="F97" s="957">
        <f>Tabulka13[[#This Row],[Jednotková cena v Kč(bez DPH)]]*Tabulka13[[#This Row],[Množství]]</f>
        <v>0</v>
      </c>
    </row>
    <row r="98" spans="1:6">
      <c r="A98" s="971" t="s">
        <v>1586</v>
      </c>
      <c r="B98" s="960" t="s">
        <v>1587</v>
      </c>
      <c r="C98" s="956">
        <v>5</v>
      </c>
      <c r="D98" s="972" t="s">
        <v>1328</v>
      </c>
      <c r="E98" s="973"/>
      <c r="F98" s="957">
        <f>Tabulka13[[#This Row],[Jednotková cena v Kč(bez DPH)]]*Tabulka13[[#This Row],[Množství]]</f>
        <v>0</v>
      </c>
    </row>
    <row r="99" spans="1:6">
      <c r="A99" s="961">
        <v>5</v>
      </c>
      <c r="B99" s="962" t="s">
        <v>1588</v>
      </c>
      <c r="C99" s="963"/>
      <c r="D99" s="963"/>
      <c r="E99" s="964"/>
      <c r="F99" s="964">
        <f>SUBTOTAL(109,F100:F113)</f>
        <v>0</v>
      </c>
    </row>
    <row r="100" spans="1:6">
      <c r="A100" s="971" t="s">
        <v>1589</v>
      </c>
      <c r="B100" s="980" t="s">
        <v>1590</v>
      </c>
      <c r="C100" s="956">
        <f>'[11]Kabelová listina'!$C$160</f>
        <v>146</v>
      </c>
      <c r="D100" s="972" t="s">
        <v>142</v>
      </c>
      <c r="E100" s="973"/>
      <c r="F100" s="957">
        <f>Tabulka13[[#This Row],[Jednotková cena v Kč(bez DPH)]]*Tabulka13[[#This Row],[Množství]]</f>
        <v>0</v>
      </c>
    </row>
    <row r="101" spans="1:6">
      <c r="A101" s="971" t="s">
        <v>1591</v>
      </c>
      <c r="B101" s="980" t="s">
        <v>1592</v>
      </c>
      <c r="C101" s="956">
        <f>'[11]Kabelová listina'!$C$161</f>
        <v>62</v>
      </c>
      <c r="D101" s="972" t="s">
        <v>142</v>
      </c>
      <c r="E101" s="973"/>
      <c r="F101" s="957">
        <f>Tabulka13[[#This Row],[Jednotková cena v Kč(bez DPH)]]*Tabulka13[[#This Row],[Množství]]</f>
        <v>0</v>
      </c>
    </row>
    <row r="102" spans="1:6">
      <c r="A102" s="971" t="s">
        <v>1593</v>
      </c>
      <c r="B102" s="980" t="s">
        <v>1594</v>
      </c>
      <c r="C102" s="956">
        <f>'[11]Kabelová listina'!$C$162</f>
        <v>13</v>
      </c>
      <c r="D102" s="972" t="s">
        <v>142</v>
      </c>
      <c r="E102" s="973"/>
      <c r="F102" s="957">
        <f>Tabulka13[[#This Row],[Jednotková cena v Kč(bez DPH)]]*Tabulka13[[#This Row],[Množství]]</f>
        <v>0</v>
      </c>
    </row>
    <row r="103" spans="1:6">
      <c r="A103" s="971" t="s">
        <v>1595</v>
      </c>
      <c r="B103" s="980" t="s">
        <v>1596</v>
      </c>
      <c r="C103" s="956">
        <f>'[11]Kabelová listina'!$C$163</f>
        <v>60</v>
      </c>
      <c r="D103" s="972" t="s">
        <v>142</v>
      </c>
      <c r="E103" s="973"/>
      <c r="F103" s="957">
        <f>Tabulka13[[#This Row],[Jednotková cena v Kč(bez DPH)]]*Tabulka13[[#This Row],[Množství]]</f>
        <v>0</v>
      </c>
    </row>
    <row r="104" spans="1:6">
      <c r="A104" s="971" t="s">
        <v>1597</v>
      </c>
      <c r="B104" s="955" t="s">
        <v>1598</v>
      </c>
      <c r="C104" s="956">
        <f>'[11]Kabelová listina'!$C$164</f>
        <v>374</v>
      </c>
      <c r="D104" s="972" t="s">
        <v>142</v>
      </c>
      <c r="E104" s="973"/>
      <c r="F104" s="957">
        <f>Tabulka13[[#This Row],[Jednotková cena v Kč(bez DPH)]]*Tabulka13[[#This Row],[Množství]]</f>
        <v>0</v>
      </c>
    </row>
    <row r="105" spans="1:6">
      <c r="A105" s="971" t="s">
        <v>1599</v>
      </c>
      <c r="B105" s="955" t="s">
        <v>1600</v>
      </c>
      <c r="C105" s="956">
        <f>'[11]Kabelová listina'!$C$165</f>
        <v>686</v>
      </c>
      <c r="D105" s="972" t="s">
        <v>142</v>
      </c>
      <c r="E105" s="973"/>
      <c r="F105" s="957">
        <f>Tabulka13[[#This Row],[Jednotková cena v Kč(bez DPH)]]*Tabulka13[[#This Row],[Množství]]</f>
        <v>0</v>
      </c>
    </row>
    <row r="106" spans="1:6">
      <c r="A106" s="971" t="s">
        <v>1601</v>
      </c>
      <c r="B106" s="955" t="s">
        <v>1602</v>
      </c>
      <c r="C106" s="956">
        <f>'[11]Kabelová listina'!$C$166</f>
        <v>66</v>
      </c>
      <c r="D106" s="972" t="s">
        <v>142</v>
      </c>
      <c r="E106" s="973"/>
      <c r="F106" s="957">
        <f>Tabulka13[[#This Row],[Jednotková cena v Kč(bez DPH)]]*Tabulka13[[#This Row],[Množství]]</f>
        <v>0</v>
      </c>
    </row>
    <row r="107" spans="1:6">
      <c r="A107" s="971" t="s">
        <v>1603</v>
      </c>
      <c r="B107" s="960" t="s">
        <v>1604</v>
      </c>
      <c r="C107" s="956">
        <v>15</v>
      </c>
      <c r="D107" s="972" t="s">
        <v>1444</v>
      </c>
      <c r="E107" s="973"/>
      <c r="F107" s="957">
        <f>Tabulka13[[#This Row],[Jednotková cena v Kč(bez DPH)]]*Tabulka13[[#This Row],[Množství]]</f>
        <v>0</v>
      </c>
    </row>
    <row r="108" spans="1:6" ht="30">
      <c r="A108" s="971" t="s">
        <v>1605</v>
      </c>
      <c r="B108" s="960" t="s">
        <v>1606</v>
      </c>
      <c r="C108" s="956">
        <v>4</v>
      </c>
      <c r="D108" s="972" t="s">
        <v>1444</v>
      </c>
      <c r="E108" s="973"/>
      <c r="F108" s="957">
        <f>Tabulka13[[#This Row],[Jednotková cena v Kč(bez DPH)]]*Tabulka13[[#This Row],[Množství]]</f>
        <v>0</v>
      </c>
    </row>
    <row r="109" spans="1:6" ht="30">
      <c r="A109" s="971" t="s">
        <v>1607</v>
      </c>
      <c r="B109" s="960" t="s">
        <v>1608</v>
      </c>
      <c r="C109" s="956">
        <v>20</v>
      </c>
      <c r="D109" s="972" t="s">
        <v>142</v>
      </c>
      <c r="E109" s="973"/>
      <c r="F109" s="957">
        <f>Tabulka13[[#This Row],[Jednotková cena v Kč(bez DPH)]]*Tabulka13[[#This Row],[Množství]]</f>
        <v>0</v>
      </c>
    </row>
    <row r="110" spans="1:6">
      <c r="A110" s="971" t="s">
        <v>1609</v>
      </c>
      <c r="B110" s="960" t="s">
        <v>1610</v>
      </c>
      <c r="C110" s="956">
        <v>50</v>
      </c>
      <c r="D110" s="972" t="s">
        <v>142</v>
      </c>
      <c r="E110" s="973"/>
      <c r="F110" s="957">
        <f>Tabulka13[[#This Row],[Jednotková cena v Kč(bez DPH)]]*Tabulka13[[#This Row],[Množství]]</f>
        <v>0</v>
      </c>
    </row>
    <row r="111" spans="1:6">
      <c r="A111" s="971" t="s">
        <v>1611</v>
      </c>
      <c r="B111" s="960" t="s">
        <v>1612</v>
      </c>
      <c r="C111" s="956">
        <v>120</v>
      </c>
      <c r="D111" s="972" t="s">
        <v>1444</v>
      </c>
      <c r="E111" s="973"/>
      <c r="F111" s="957">
        <f>Tabulka13[[#This Row],[Jednotková cena v Kč(bez DPH)]]*Tabulka13[[#This Row],[Množství]]</f>
        <v>0</v>
      </c>
    </row>
    <row r="112" spans="1:6">
      <c r="A112" s="971" t="s">
        <v>1613</v>
      </c>
      <c r="B112" s="960" t="s">
        <v>1614</v>
      </c>
      <c r="C112" s="956">
        <v>19</v>
      </c>
      <c r="D112" s="972" t="s">
        <v>1444</v>
      </c>
      <c r="E112" s="973"/>
      <c r="F112" s="957">
        <f>Tabulka13[[#This Row],[Jednotková cena v Kč(bez DPH)]]*Tabulka13[[#This Row],[Množství]]</f>
        <v>0</v>
      </c>
    </row>
    <row r="113" spans="1:6" ht="30">
      <c r="A113" s="971" t="s">
        <v>1615</v>
      </c>
      <c r="B113" s="960" t="s">
        <v>1616</v>
      </c>
      <c r="C113" s="956">
        <v>20</v>
      </c>
      <c r="D113" s="972" t="s">
        <v>1444</v>
      </c>
      <c r="E113" s="973"/>
      <c r="F113" s="957">
        <f>Tabulka13[[#This Row],[Jednotková cena v Kč(bez DPH)]]*Tabulka13[[#This Row],[Množství]]</f>
        <v>0</v>
      </c>
    </row>
    <row r="114" spans="1:6">
      <c r="A114" s="961">
        <v>6</v>
      </c>
      <c r="B114" s="962" t="s">
        <v>1617</v>
      </c>
      <c r="C114" s="963"/>
      <c r="D114" s="963"/>
      <c r="E114" s="964"/>
      <c r="F114" s="964">
        <f>SUBTOTAL(109,F115:F117)</f>
        <v>0</v>
      </c>
    </row>
    <row r="115" spans="1:6">
      <c r="A115" s="971" t="s">
        <v>1618</v>
      </c>
      <c r="B115" s="960" t="s">
        <v>1619</v>
      </c>
      <c r="C115" s="956">
        <f>C100+C101+C102+C103</f>
        <v>281</v>
      </c>
      <c r="D115" s="972" t="s">
        <v>142</v>
      </c>
      <c r="E115" s="973"/>
      <c r="F115" s="957">
        <f>Tabulka13[[#This Row],[Jednotková cena v Kč(bez DPH)]]*Tabulka13[[#This Row],[Množství]]</f>
        <v>0</v>
      </c>
    </row>
    <row r="116" spans="1:6">
      <c r="A116" s="971" t="s">
        <v>1620</v>
      </c>
      <c r="B116" s="960" t="s">
        <v>1621</v>
      </c>
      <c r="C116" s="956">
        <f>C104+C105+C106</f>
        <v>1126</v>
      </c>
      <c r="D116" s="972" t="s">
        <v>142</v>
      </c>
      <c r="E116" s="973"/>
      <c r="F116" s="957">
        <f>Tabulka13[[#This Row],[Jednotková cena v Kč(bez DPH)]]*Tabulka13[[#This Row],[Množství]]</f>
        <v>0</v>
      </c>
    </row>
    <row r="117" spans="1:6">
      <c r="A117" s="971" t="s">
        <v>1622</v>
      </c>
      <c r="B117" s="960" t="s">
        <v>1617</v>
      </c>
      <c r="C117" s="956">
        <v>1</v>
      </c>
      <c r="D117" s="972" t="s">
        <v>1328</v>
      </c>
      <c r="E117" s="973"/>
      <c r="F117" s="957">
        <f>Tabulka13[[#This Row],[Jednotková cena v Kč(bez DPH)]]*Tabulka13[[#This Row],[Množství]]</f>
        <v>0</v>
      </c>
    </row>
    <row r="118" spans="1:6">
      <c r="A118" s="962" t="s">
        <v>132</v>
      </c>
      <c r="B118" s="962" t="s">
        <v>1623</v>
      </c>
      <c r="C118" s="962"/>
      <c r="D118" s="962"/>
      <c r="E118" s="964"/>
      <c r="F118" s="964">
        <f>SUBTOTAL(109,F119:F121)</f>
        <v>0</v>
      </c>
    </row>
    <row r="119" spans="1:6" ht="30">
      <c r="A119" s="971" t="s">
        <v>1624</v>
      </c>
      <c r="B119" s="960" t="s">
        <v>1625</v>
      </c>
      <c r="C119" s="956">
        <v>1</v>
      </c>
      <c r="D119" s="972" t="s">
        <v>1444</v>
      </c>
      <c r="E119" s="973"/>
      <c r="F119" s="957">
        <f>Tabulka13[[#This Row],[Jednotková cena v Kč(bez DPH)]]*Tabulka13[[#This Row],[Množství]]</f>
        <v>0</v>
      </c>
    </row>
    <row r="120" spans="1:6" ht="30">
      <c r="A120" s="971" t="s">
        <v>1626</v>
      </c>
      <c r="B120" s="960" t="s">
        <v>1627</v>
      </c>
      <c r="C120" s="956">
        <v>1</v>
      </c>
      <c r="D120" s="972" t="s">
        <v>1444</v>
      </c>
      <c r="E120" s="973"/>
      <c r="F120" s="957">
        <f>Tabulka13[[#This Row],[Jednotková cena v Kč(bez DPH)]]*Tabulka13[[#This Row],[Množství]]</f>
        <v>0</v>
      </c>
    </row>
    <row r="121" spans="1:6">
      <c r="A121" s="971" t="s">
        <v>1628</v>
      </c>
      <c r="B121" s="960" t="s">
        <v>1629</v>
      </c>
      <c r="C121" s="956">
        <v>99</v>
      </c>
      <c r="D121" s="972" t="s">
        <v>1630</v>
      </c>
      <c r="E121" s="973"/>
      <c r="F121" s="957">
        <f>Tabulka13[[#This Row],[Jednotková cena v Kč(bez DPH)]]*Tabulka13[[#This Row],[Množství]]</f>
        <v>0</v>
      </c>
    </row>
    <row r="122" spans="1:6">
      <c r="A122" s="961" t="s">
        <v>1184</v>
      </c>
      <c r="B122" s="962" t="s">
        <v>1631</v>
      </c>
      <c r="C122" s="963"/>
      <c r="D122" s="963"/>
      <c r="E122" s="964"/>
      <c r="F122" s="964">
        <f>SUBTOTAL(109,F123:F133)</f>
        <v>0</v>
      </c>
    </row>
    <row r="123" spans="1:6">
      <c r="A123" s="971" t="s">
        <v>1632</v>
      </c>
      <c r="B123" s="960" t="s">
        <v>1633</v>
      </c>
      <c r="C123" s="956">
        <v>1</v>
      </c>
      <c r="D123" s="972" t="s">
        <v>1328</v>
      </c>
      <c r="E123" s="973"/>
      <c r="F123" s="957">
        <f>Tabulka13[[#This Row],[Jednotková cena v Kč(bez DPH)]]*Tabulka13[[#This Row],[Množství]]</f>
        <v>0</v>
      </c>
    </row>
    <row r="124" spans="1:6">
      <c r="A124" s="971" t="s">
        <v>1634</v>
      </c>
      <c r="B124" s="960" t="s">
        <v>1635</v>
      </c>
      <c r="C124" s="956">
        <v>1</v>
      </c>
      <c r="D124" s="972" t="s">
        <v>1328</v>
      </c>
      <c r="E124" s="973"/>
      <c r="F124" s="957">
        <f>Tabulka13[[#This Row],[Jednotková cena v Kč(bez DPH)]]*Tabulka13[[#This Row],[Množství]]</f>
        <v>0</v>
      </c>
    </row>
    <row r="125" spans="1:6">
      <c r="A125" s="971" t="s">
        <v>1636</v>
      </c>
      <c r="B125" s="960" t="s">
        <v>1637</v>
      </c>
      <c r="C125" s="956">
        <v>1</v>
      </c>
      <c r="D125" s="972" t="s">
        <v>1328</v>
      </c>
      <c r="E125" s="973"/>
      <c r="F125" s="957">
        <f>Tabulka13[[#This Row],[Jednotková cena v Kč(bez DPH)]]*Tabulka13[[#This Row],[Množství]]</f>
        <v>0</v>
      </c>
    </row>
    <row r="126" spans="1:6" ht="30">
      <c r="A126" s="971" t="s">
        <v>1638</v>
      </c>
      <c r="B126" s="960" t="s">
        <v>1639</v>
      </c>
      <c r="C126" s="956">
        <v>1</v>
      </c>
      <c r="D126" s="972" t="s">
        <v>1328</v>
      </c>
      <c r="E126" s="973"/>
      <c r="F126" s="957">
        <f>Tabulka13[[#This Row],[Jednotková cena v Kč(bez DPH)]]*Tabulka13[[#This Row],[Množství]]</f>
        <v>0</v>
      </c>
    </row>
    <row r="127" spans="1:6" ht="30">
      <c r="A127" s="971" t="s">
        <v>1640</v>
      </c>
      <c r="B127" s="960" t="s">
        <v>1641</v>
      </c>
      <c r="C127" s="956">
        <v>3</v>
      </c>
      <c r="D127" s="972" t="s">
        <v>1328</v>
      </c>
      <c r="E127" s="973"/>
      <c r="F127" s="957">
        <f>Tabulka13[[#This Row],[Jednotková cena v Kč(bez DPH)]]*Tabulka13[[#This Row],[Množství]]</f>
        <v>0</v>
      </c>
    </row>
    <row r="128" spans="1:6" ht="30">
      <c r="A128" s="971" t="s">
        <v>1642</v>
      </c>
      <c r="B128" s="960" t="s">
        <v>1643</v>
      </c>
      <c r="C128" s="956">
        <v>2</v>
      </c>
      <c r="D128" s="972" t="s">
        <v>1328</v>
      </c>
      <c r="E128" s="973"/>
      <c r="F128" s="957">
        <f>Tabulka13[[#This Row],[Jednotková cena v Kč(bez DPH)]]*Tabulka13[[#This Row],[Množství]]</f>
        <v>0</v>
      </c>
    </row>
    <row r="129" spans="1:6" ht="30">
      <c r="A129" s="971" t="s">
        <v>1644</v>
      </c>
      <c r="B129" s="960" t="s">
        <v>1645</v>
      </c>
      <c r="C129" s="956">
        <v>8</v>
      </c>
      <c r="D129" s="972" t="s">
        <v>1328</v>
      </c>
      <c r="E129" s="973"/>
      <c r="F129" s="957">
        <f>Tabulka13[[#This Row],[Jednotková cena v Kč(bez DPH)]]*Tabulka13[[#This Row],[Množství]]</f>
        <v>0</v>
      </c>
    </row>
    <row r="130" spans="1:6" ht="30">
      <c r="A130" s="971" t="s">
        <v>1646</v>
      </c>
      <c r="B130" s="960" t="s">
        <v>1647</v>
      </c>
      <c r="C130" s="956">
        <v>2</v>
      </c>
      <c r="D130" s="972" t="s">
        <v>1328</v>
      </c>
      <c r="E130" s="973"/>
      <c r="F130" s="957">
        <f>Tabulka13[[#This Row],[Jednotková cena v Kč(bez DPH)]]*Tabulka13[[#This Row],[Množství]]</f>
        <v>0</v>
      </c>
    </row>
    <row r="131" spans="1:6" ht="30">
      <c r="A131" s="971" t="s">
        <v>1648</v>
      </c>
      <c r="B131" s="960" t="s">
        <v>1649</v>
      </c>
      <c r="C131" s="956">
        <v>1</v>
      </c>
      <c r="D131" s="972" t="s">
        <v>1328</v>
      </c>
      <c r="E131" s="973"/>
      <c r="F131" s="957">
        <f>Tabulka13[[#This Row],[Jednotková cena v Kč(bez DPH)]]*Tabulka13[[#This Row],[Množství]]</f>
        <v>0</v>
      </c>
    </row>
    <row r="132" spans="1:6" ht="30">
      <c r="A132" s="971" t="s">
        <v>1650</v>
      </c>
      <c r="B132" s="960" t="s">
        <v>1651</v>
      </c>
      <c r="C132" s="956">
        <v>120</v>
      </c>
      <c r="D132" s="972" t="s">
        <v>1328</v>
      </c>
      <c r="E132" s="973"/>
      <c r="F132" s="957">
        <f>Tabulka13[[#This Row],[Jednotková cena v Kč(bez DPH)]]*Tabulka13[[#This Row],[Množství]]</f>
        <v>0</v>
      </c>
    </row>
    <row r="133" spans="1:6" ht="30">
      <c r="A133" s="971" t="s">
        <v>1652</v>
      </c>
      <c r="B133" s="960" t="s">
        <v>1653</v>
      </c>
      <c r="C133" s="956">
        <v>1</v>
      </c>
      <c r="D133" s="972" t="s">
        <v>1328</v>
      </c>
      <c r="E133" s="973"/>
      <c r="F133" s="957">
        <f>Tabulka13[[#This Row],[Jednotková cena v Kč(bez DPH)]]*Tabulka13[[#This Row],[Množství]]</f>
        <v>0</v>
      </c>
    </row>
    <row r="134" spans="1:6">
      <c r="C134" s="981"/>
    </row>
    <row r="135" spans="1:6">
      <c r="C135" s="981"/>
    </row>
    <row r="136" spans="1:6">
      <c r="C136" s="981"/>
    </row>
  </sheetData>
  <mergeCells count="1">
    <mergeCell ref="B2:E2"/>
  </mergeCells>
  <pageMargins left="0.23622047244094491" right="0.23622047244094491" top="0.74803149606299213" bottom="0.74803149606299213" header="0.31496062992125984" footer="0.31496062992125984"/>
  <pageSetup paperSize="9" scale="88" fitToHeight="0" orientation="portrait" horizontalDpi="4294967293" verticalDpi="4294967293" r:id="rId1"/>
  <headerFooter>
    <oddHeader>&amp;RSoupis komponent</oddHeader>
    <oddFooter>Stránka &amp;P z &amp;N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BE3F-332C-47A2-8939-B0D7A8C36D76}">
  <sheetPr>
    <tabColor rgb="FFFF66FF"/>
    <pageSetUpPr fitToPage="1"/>
  </sheetPr>
  <dimension ref="A1:DQ381"/>
  <sheetViews>
    <sheetView zoomScaleNormal="100" workbookViewId="0"/>
  </sheetViews>
  <sheetFormatPr defaultRowHeight="10.5"/>
  <cols>
    <col min="1" max="1" width="4.83203125" customWidth="1"/>
    <col min="2" max="2" width="4.83203125" style="1278" customWidth="1"/>
    <col min="3" max="3" width="16.83203125" customWidth="1"/>
    <col min="4" max="4" width="75.83203125" customWidth="1"/>
    <col min="5" max="5" width="7.83203125" customWidth="1"/>
    <col min="6" max="6" width="11.83203125" style="1279" customWidth="1"/>
    <col min="7" max="7" width="15.33203125" customWidth="1"/>
    <col min="8" max="8" width="18.33203125" customWidth="1"/>
    <col min="9" max="9" width="19.83203125" customWidth="1"/>
    <col min="10" max="10" width="19" customWidth="1"/>
    <col min="12" max="12" width="13.1640625" customWidth="1"/>
    <col min="13" max="13" width="12.6640625" customWidth="1"/>
    <col min="16" max="16" width="13.33203125" customWidth="1"/>
    <col min="17" max="17" width="11.83203125" customWidth="1"/>
    <col min="18" max="18" width="12.5" customWidth="1"/>
    <col min="23" max="23" width="12.33203125" customWidth="1"/>
  </cols>
  <sheetData>
    <row r="1" spans="1:20" s="510" customFormat="1" ht="19.5" customHeight="1">
      <c r="A1" s="133" t="s">
        <v>2956</v>
      </c>
      <c r="B1" s="2267"/>
      <c r="C1" s="509"/>
      <c r="D1" s="509"/>
      <c r="F1" s="1187"/>
      <c r="G1" s="1187"/>
      <c r="H1" s="1187"/>
      <c r="I1" s="1187"/>
      <c r="J1" s="2268"/>
    </row>
    <row r="2" spans="1:20" s="2269" customFormat="1" ht="13.5" customHeight="1">
      <c r="A2" s="3082" t="s">
        <v>116</v>
      </c>
      <c r="B2" s="3083"/>
      <c r="C2" s="3083"/>
      <c r="D2" s="3083"/>
      <c r="E2" s="3083"/>
      <c r="F2" s="3083"/>
      <c r="G2" s="3083"/>
      <c r="H2" s="3083"/>
      <c r="I2" s="3083"/>
    </row>
    <row r="3" spans="1:20" s="2269" customFormat="1" ht="13.5" customHeight="1">
      <c r="A3" s="2270" t="s">
        <v>1923</v>
      </c>
      <c r="B3" s="2271"/>
      <c r="C3" s="2271"/>
      <c r="D3" s="2271"/>
      <c r="E3" s="2271"/>
      <c r="F3" s="2272"/>
      <c r="G3" s="2272"/>
      <c r="H3" s="2273"/>
      <c r="I3" s="2273"/>
    </row>
    <row r="4" spans="1:20" s="510" customFormat="1" ht="13.5" customHeight="1">
      <c r="A4" s="1188"/>
      <c r="B4" s="1189"/>
      <c r="C4" s="1189"/>
      <c r="D4" s="1189"/>
      <c r="E4" s="1189"/>
      <c r="F4" s="1190"/>
      <c r="G4" s="1190"/>
      <c r="H4" s="1191"/>
      <c r="I4" s="1191"/>
      <c r="K4" s="1191"/>
      <c r="L4" s="1191"/>
      <c r="M4" s="1191"/>
      <c r="N4" s="1191"/>
      <c r="O4" s="1191"/>
      <c r="P4" s="1191"/>
      <c r="Q4" s="1192"/>
    </row>
    <row r="5" spans="1:20" ht="24.75" customHeight="1">
      <c r="A5" s="1193" t="s">
        <v>119</v>
      </c>
      <c r="B5" s="1194" t="s">
        <v>120</v>
      </c>
      <c r="C5" s="1193" t="s">
        <v>121</v>
      </c>
      <c r="D5" s="1193" t="s">
        <v>1924</v>
      </c>
      <c r="E5" s="1193" t="s">
        <v>123</v>
      </c>
      <c r="F5" s="1195" t="s">
        <v>124</v>
      </c>
      <c r="G5" s="1193" t="s">
        <v>125</v>
      </c>
      <c r="H5" s="1193" t="s">
        <v>2</v>
      </c>
      <c r="I5" s="1193" t="s">
        <v>46</v>
      </c>
      <c r="J5" s="1196"/>
    </row>
    <row r="6" spans="1:20" ht="12.75" customHeight="1">
      <c r="A6" s="1193" t="s">
        <v>126</v>
      </c>
      <c r="B6" s="1194" t="s">
        <v>127</v>
      </c>
      <c r="C6" s="1193" t="s">
        <v>128</v>
      </c>
      <c r="D6" s="1193" t="s">
        <v>129</v>
      </c>
      <c r="E6" s="1193" t="s">
        <v>130</v>
      </c>
      <c r="F6" s="1195" t="s">
        <v>131</v>
      </c>
      <c r="G6" s="1193" t="s">
        <v>132</v>
      </c>
      <c r="H6" s="1193">
        <v>8</v>
      </c>
      <c r="I6" s="1193">
        <v>9</v>
      </c>
      <c r="J6" s="1197"/>
    </row>
    <row r="7" spans="1:20" s="1191" customFormat="1" ht="21" customHeight="1">
      <c r="A7" s="1198"/>
      <c r="B7" s="1199"/>
      <c r="C7" s="1200" t="s">
        <v>373</v>
      </c>
      <c r="D7" s="1201" t="s">
        <v>374</v>
      </c>
      <c r="E7" s="1200"/>
      <c r="F7" s="1202"/>
      <c r="G7" s="1203"/>
      <c r="H7" s="2130">
        <f>H8+H121+H200+H226+H263+H285+H320</f>
        <v>0</v>
      </c>
    </row>
    <row r="8" spans="1:20" s="1191" customFormat="1" ht="13.5" customHeight="1">
      <c r="A8" s="2274"/>
      <c r="B8" s="2076"/>
      <c r="C8" s="2076">
        <v>741</v>
      </c>
      <c r="D8" s="2076" t="s">
        <v>1925</v>
      </c>
      <c r="E8" s="2076"/>
      <c r="F8" s="2275"/>
      <c r="G8" s="2276"/>
      <c r="H8" s="2130">
        <f>SUM(H9:H120)</f>
        <v>0</v>
      </c>
      <c r="I8" s="2080"/>
    </row>
    <row r="9" spans="1:20" s="2280" customFormat="1" ht="13.5" customHeight="1">
      <c r="A9" s="2100">
        <v>1</v>
      </c>
      <c r="B9" s="2112">
        <v>741</v>
      </c>
      <c r="C9" s="2112" t="s">
        <v>1926</v>
      </c>
      <c r="D9" s="2112" t="s">
        <v>3084</v>
      </c>
      <c r="E9" s="2277" t="s">
        <v>210</v>
      </c>
      <c r="F9" s="2083">
        <f>ROUND(SUM(F11:F11),3)</f>
        <v>8</v>
      </c>
      <c r="G9" s="2117"/>
      <c r="H9" s="2072">
        <f t="shared" ref="H9" si="0">ROUND(F9*G9,2)</f>
        <v>0</v>
      </c>
      <c r="I9" s="2118" t="s">
        <v>111</v>
      </c>
      <c r="J9" s="2278"/>
      <c r="K9" s="2279"/>
      <c r="M9" s="1441"/>
      <c r="O9" s="2281"/>
      <c r="P9" s="2282"/>
      <c r="Q9" s="2281"/>
      <c r="T9" s="2283"/>
    </row>
    <row r="10" spans="1:20" s="2280" customFormat="1" ht="13.5" customHeight="1">
      <c r="A10" s="2137"/>
      <c r="B10" s="2112"/>
      <c r="C10" s="2112"/>
      <c r="D10" s="2284" t="s">
        <v>3085</v>
      </c>
      <c r="E10" s="2277"/>
      <c r="F10" s="2285"/>
      <c r="G10" s="2117"/>
      <c r="H10" s="2117"/>
      <c r="I10" s="2118"/>
      <c r="J10" s="2187"/>
      <c r="N10" s="2286"/>
      <c r="O10" s="2281"/>
      <c r="P10" s="2281"/>
      <c r="Q10" s="2281"/>
      <c r="T10" s="2283"/>
    </row>
    <row r="11" spans="1:20" s="2280" customFormat="1" ht="13.5" customHeight="1">
      <c r="A11" s="2137"/>
      <c r="B11" s="2112"/>
      <c r="C11" s="2112"/>
      <c r="D11" s="2284" t="s">
        <v>1235</v>
      </c>
      <c r="E11" s="2112"/>
      <c r="F11" s="2287">
        <v>8</v>
      </c>
      <c r="G11" s="2117"/>
      <c r="H11" s="2117"/>
      <c r="I11" s="2118"/>
      <c r="M11" s="1441"/>
      <c r="O11" s="2281"/>
      <c r="P11" s="2282"/>
      <c r="Q11" s="2281"/>
    </row>
    <row r="12" spans="1:20" s="2280" customFormat="1" ht="13.5" customHeight="1">
      <c r="A12" s="2137"/>
      <c r="B12" s="2112"/>
      <c r="C12" s="2112"/>
      <c r="D12" s="2099" t="s">
        <v>3086</v>
      </c>
      <c r="E12" s="2277"/>
      <c r="F12" s="2287"/>
      <c r="G12" s="2117"/>
      <c r="H12" s="2117"/>
      <c r="I12" s="2118"/>
      <c r="M12" s="1441"/>
      <c r="O12" s="2281"/>
      <c r="P12" s="2282"/>
      <c r="Q12" s="2281"/>
    </row>
    <row r="13" spans="1:20" s="2280" customFormat="1" ht="13.5" customHeight="1">
      <c r="A13" s="2100">
        <v>2</v>
      </c>
      <c r="B13" s="2112">
        <v>741</v>
      </c>
      <c r="C13" s="2112" t="s">
        <v>3087</v>
      </c>
      <c r="D13" s="2112" t="s">
        <v>3088</v>
      </c>
      <c r="E13" s="2277" t="s">
        <v>210</v>
      </c>
      <c r="F13" s="2083">
        <f>ROUND(SUM(F15:F17),3)</f>
        <v>6</v>
      </c>
      <c r="G13" s="2117"/>
      <c r="H13" s="2072">
        <f t="shared" ref="H13" si="1">ROUND(F13*G13,2)</f>
        <v>0</v>
      </c>
      <c r="I13" s="2118" t="s">
        <v>111</v>
      </c>
      <c r="J13" s="2278"/>
      <c r="K13" s="2279"/>
      <c r="M13" s="1441"/>
      <c r="O13" s="2281"/>
      <c r="P13" s="2282"/>
      <c r="Q13" s="2281"/>
      <c r="T13" s="2283"/>
    </row>
    <row r="14" spans="1:20" s="2280" customFormat="1" ht="13.5" customHeight="1">
      <c r="A14" s="2137"/>
      <c r="B14" s="2112"/>
      <c r="C14" s="2112"/>
      <c r="D14" s="2284" t="s">
        <v>3089</v>
      </c>
      <c r="E14" s="2277"/>
      <c r="F14" s="2285"/>
      <c r="G14" s="2117"/>
      <c r="H14" s="2117"/>
      <c r="I14" s="2118"/>
      <c r="J14" s="2187"/>
      <c r="N14" s="2286"/>
      <c r="O14" s="2281"/>
      <c r="P14" s="2281"/>
      <c r="Q14" s="2281"/>
      <c r="T14" s="2283"/>
    </row>
    <row r="15" spans="1:20" s="2280" customFormat="1" ht="13.5" customHeight="1">
      <c r="A15" s="2137"/>
      <c r="B15" s="2112"/>
      <c r="C15" s="2112"/>
      <c r="D15" s="2284" t="s">
        <v>1234</v>
      </c>
      <c r="E15" s="2112"/>
      <c r="F15" s="2287">
        <v>3</v>
      </c>
      <c r="G15" s="2117"/>
      <c r="H15" s="2117"/>
      <c r="I15" s="2118"/>
      <c r="M15" s="1441"/>
      <c r="O15" s="2281"/>
      <c r="P15" s="2282"/>
      <c r="Q15" s="2281"/>
    </row>
    <row r="16" spans="1:20" s="2280" customFormat="1" ht="13.5" customHeight="1">
      <c r="A16" s="2137"/>
      <c r="B16" s="2112"/>
      <c r="C16" s="2112"/>
      <c r="D16" s="2284" t="s">
        <v>1182</v>
      </c>
      <c r="E16" s="2112"/>
      <c r="F16" s="2287">
        <v>1</v>
      </c>
      <c r="G16" s="2117"/>
      <c r="H16" s="2117"/>
      <c r="I16" s="2118"/>
      <c r="M16" s="1441"/>
      <c r="O16" s="2281"/>
      <c r="P16" s="2282"/>
      <c r="Q16" s="2281"/>
    </row>
    <row r="17" spans="1:20" s="2280" customFormat="1" ht="13.5" customHeight="1">
      <c r="A17" s="2137"/>
      <c r="B17" s="2112"/>
      <c r="C17" s="2112"/>
      <c r="D17" s="2284" t="s">
        <v>1235</v>
      </c>
      <c r="E17" s="2112"/>
      <c r="F17" s="2287">
        <v>2</v>
      </c>
      <c r="G17" s="2117"/>
      <c r="H17" s="2117"/>
      <c r="I17" s="2118"/>
      <c r="M17" s="1441"/>
      <c r="O17" s="2281"/>
      <c r="P17" s="2282"/>
      <c r="Q17" s="2281"/>
    </row>
    <row r="18" spans="1:20" s="2280" customFormat="1" ht="13.5" customHeight="1">
      <c r="A18" s="2137"/>
      <c r="B18" s="2112"/>
      <c r="C18" s="2112"/>
      <c r="D18" s="2099" t="s">
        <v>3086</v>
      </c>
      <c r="E18" s="2277"/>
      <c r="F18" s="2287"/>
      <c r="G18" s="2117"/>
      <c r="H18" s="2117"/>
      <c r="I18" s="2118"/>
      <c r="M18" s="1441"/>
      <c r="O18" s="2281"/>
      <c r="P18" s="2282"/>
      <c r="Q18" s="2281"/>
    </row>
    <row r="19" spans="1:20" s="2280" customFormat="1" ht="13.5" customHeight="1">
      <c r="A19" s="2100">
        <v>3</v>
      </c>
      <c r="B19" s="2112">
        <v>741</v>
      </c>
      <c r="C19" s="2112" t="s">
        <v>3090</v>
      </c>
      <c r="D19" s="2112" t="s">
        <v>3091</v>
      </c>
      <c r="E19" s="2277" t="s">
        <v>210</v>
      </c>
      <c r="F19" s="2083">
        <f>ROUND(SUM(F21:F21),3)</f>
        <v>1</v>
      </c>
      <c r="G19" s="2117"/>
      <c r="H19" s="2072">
        <f t="shared" ref="H19" si="2">ROUND(F19*G19,2)</f>
        <v>0</v>
      </c>
      <c r="I19" s="2118" t="s">
        <v>111</v>
      </c>
      <c r="J19" s="2278"/>
      <c r="K19" s="2279"/>
      <c r="M19" s="1441"/>
      <c r="O19" s="2281"/>
      <c r="P19" s="2282"/>
      <c r="Q19" s="2281"/>
      <c r="T19" s="2283"/>
    </row>
    <row r="20" spans="1:20" s="2280" customFormat="1" ht="13.5" customHeight="1">
      <c r="A20" s="2137"/>
      <c r="B20" s="2112"/>
      <c r="C20" s="2112"/>
      <c r="D20" s="2284" t="s">
        <v>3092</v>
      </c>
      <c r="E20" s="2277"/>
      <c r="F20" s="2285"/>
      <c r="G20" s="2117"/>
      <c r="H20" s="2117"/>
      <c r="I20" s="2118"/>
      <c r="J20" s="2187"/>
      <c r="N20" s="2286"/>
      <c r="O20" s="2281"/>
      <c r="P20" s="2281"/>
      <c r="Q20" s="2281"/>
      <c r="T20" s="2283"/>
    </row>
    <row r="21" spans="1:20" s="2280" customFormat="1" ht="13.5" customHeight="1">
      <c r="A21" s="2137"/>
      <c r="B21" s="2112"/>
      <c r="C21" s="2112"/>
      <c r="D21" s="2284" t="s">
        <v>1235</v>
      </c>
      <c r="E21" s="2112"/>
      <c r="F21" s="2287">
        <v>1</v>
      </c>
      <c r="G21" s="2117"/>
      <c r="H21" s="2117"/>
      <c r="I21" s="2118"/>
      <c r="M21" s="1441"/>
      <c r="O21" s="2281"/>
      <c r="P21" s="2282"/>
      <c r="Q21" s="2281"/>
    </row>
    <row r="22" spans="1:20" s="2280" customFormat="1" ht="13.5" customHeight="1">
      <c r="A22" s="2137"/>
      <c r="B22" s="2112"/>
      <c r="C22" s="2112"/>
      <c r="D22" s="2099" t="s">
        <v>3086</v>
      </c>
      <c r="E22" s="2277"/>
      <c r="F22" s="2287"/>
      <c r="G22" s="2117"/>
      <c r="H22" s="2117"/>
      <c r="I22" s="2118"/>
      <c r="M22" s="1441"/>
      <c r="O22" s="2281"/>
      <c r="P22" s="2282"/>
      <c r="Q22" s="2281"/>
    </row>
    <row r="23" spans="1:20" s="2280" customFormat="1" ht="13.5" customHeight="1">
      <c r="A23" s="2100">
        <v>4</v>
      </c>
      <c r="B23" s="2112">
        <v>741</v>
      </c>
      <c r="C23" s="2112" t="s">
        <v>3093</v>
      </c>
      <c r="D23" s="2112" t="s">
        <v>3094</v>
      </c>
      <c r="E23" s="2277" t="s">
        <v>210</v>
      </c>
      <c r="F23" s="2083">
        <f>ROUND(SUM(F25:F26),3)</f>
        <v>3</v>
      </c>
      <c r="G23" s="2117"/>
      <c r="H23" s="2072">
        <f t="shared" ref="H23" si="3">ROUND(F23*G23,2)</f>
        <v>0</v>
      </c>
      <c r="I23" s="2118" t="s">
        <v>111</v>
      </c>
      <c r="J23" s="2278"/>
      <c r="K23" s="2279"/>
      <c r="M23" s="1441"/>
      <c r="O23" s="2281"/>
      <c r="P23" s="2282"/>
      <c r="Q23" s="2281"/>
      <c r="T23" s="2283"/>
    </row>
    <row r="24" spans="1:20" s="2280" customFormat="1" ht="13.5" customHeight="1">
      <c r="A24" s="2137"/>
      <c r="B24" s="2112"/>
      <c r="C24" s="2112"/>
      <c r="D24" s="2284" t="s">
        <v>3095</v>
      </c>
      <c r="E24" s="2277"/>
      <c r="F24" s="2285"/>
      <c r="G24" s="2117"/>
      <c r="H24" s="2117"/>
      <c r="I24" s="2118"/>
      <c r="J24" s="2187"/>
      <c r="N24" s="2286"/>
      <c r="O24" s="2281"/>
      <c r="P24" s="2281"/>
      <c r="Q24" s="2281"/>
      <c r="T24" s="2283"/>
    </row>
    <row r="25" spans="1:20" s="2280" customFormat="1" ht="13.5" customHeight="1">
      <c r="A25" s="2137"/>
      <c r="B25" s="2112"/>
      <c r="C25" s="2112"/>
      <c r="D25" s="2284" t="s">
        <v>1182</v>
      </c>
      <c r="E25" s="2112"/>
      <c r="F25" s="2287">
        <v>1</v>
      </c>
      <c r="G25" s="2117"/>
      <c r="H25" s="2117"/>
      <c r="I25" s="2118"/>
      <c r="M25" s="1441"/>
      <c r="O25" s="2281"/>
      <c r="P25" s="2282"/>
      <c r="Q25" s="2281"/>
    </row>
    <row r="26" spans="1:20" s="2280" customFormat="1" ht="13.5" customHeight="1">
      <c r="A26" s="2137"/>
      <c r="B26" s="2112"/>
      <c r="C26" s="2112"/>
      <c r="D26" s="2284" t="s">
        <v>1235</v>
      </c>
      <c r="E26" s="2112"/>
      <c r="F26" s="2287">
        <v>2</v>
      </c>
      <c r="G26" s="2117"/>
      <c r="H26" s="2117"/>
      <c r="I26" s="2118"/>
      <c r="M26" s="1441"/>
      <c r="O26" s="2281"/>
      <c r="P26" s="2282"/>
      <c r="Q26" s="2281"/>
    </row>
    <row r="27" spans="1:20" s="2280" customFormat="1" ht="13.5" customHeight="1">
      <c r="A27" s="2137"/>
      <c r="B27" s="2112"/>
      <c r="C27" s="2112"/>
      <c r="D27" s="2099" t="s">
        <v>3086</v>
      </c>
      <c r="E27" s="2277"/>
      <c r="F27" s="2287"/>
      <c r="G27" s="2117"/>
      <c r="H27" s="2117"/>
      <c r="I27" s="2118"/>
      <c r="M27" s="1441"/>
      <c r="O27" s="2281"/>
      <c r="P27" s="2282"/>
      <c r="Q27" s="2281"/>
    </row>
    <row r="28" spans="1:20" s="2280" customFormat="1" ht="13.5" customHeight="1">
      <c r="A28" s="2100">
        <v>5</v>
      </c>
      <c r="B28" s="2112">
        <v>741</v>
      </c>
      <c r="C28" s="2112" t="s">
        <v>3096</v>
      </c>
      <c r="D28" s="2112" t="s">
        <v>3097</v>
      </c>
      <c r="E28" s="2277" t="s">
        <v>210</v>
      </c>
      <c r="F28" s="2083">
        <f>ROUND(SUM(F30:F31),3)</f>
        <v>25</v>
      </c>
      <c r="G28" s="2117"/>
      <c r="H28" s="2072">
        <f t="shared" ref="H28" si="4">ROUND(F28*G28,2)</f>
        <v>0</v>
      </c>
      <c r="I28" s="2118" t="s">
        <v>111</v>
      </c>
      <c r="J28" s="2278"/>
      <c r="K28" s="2279"/>
      <c r="M28" s="1441"/>
      <c r="O28" s="2281"/>
      <c r="P28" s="2282"/>
      <c r="Q28" s="2281"/>
      <c r="T28" s="2283"/>
    </row>
    <row r="29" spans="1:20" s="2280" customFormat="1" ht="13.5" customHeight="1">
      <c r="A29" s="2137"/>
      <c r="B29" s="2112"/>
      <c r="C29" s="2112"/>
      <c r="D29" s="2284" t="s">
        <v>3098</v>
      </c>
      <c r="E29" s="2277"/>
      <c r="F29" s="2285"/>
      <c r="G29" s="2117"/>
      <c r="H29" s="2117"/>
      <c r="I29" s="2118"/>
      <c r="J29" s="2187"/>
      <c r="N29" s="2286"/>
      <c r="O29" s="2281"/>
      <c r="P29" s="2281"/>
      <c r="Q29" s="2281"/>
      <c r="T29" s="2283"/>
    </row>
    <row r="30" spans="1:20" s="2280" customFormat="1" ht="13.5" customHeight="1">
      <c r="A30" s="2137"/>
      <c r="B30" s="2112"/>
      <c r="C30" s="2112"/>
      <c r="D30" s="2284" t="s">
        <v>1234</v>
      </c>
      <c r="E30" s="2112"/>
      <c r="F30" s="2287">
        <v>16</v>
      </c>
      <c r="G30" s="2117"/>
      <c r="H30" s="2117"/>
      <c r="I30" s="2118"/>
      <c r="M30" s="1441"/>
      <c r="O30" s="2281"/>
      <c r="P30" s="2282"/>
      <c r="Q30" s="2281"/>
    </row>
    <row r="31" spans="1:20" s="2280" customFormat="1" ht="13.5" customHeight="1">
      <c r="A31" s="2137"/>
      <c r="B31" s="2112"/>
      <c r="C31" s="2112"/>
      <c r="D31" s="2284" t="s">
        <v>1182</v>
      </c>
      <c r="E31" s="2112"/>
      <c r="F31" s="2287">
        <v>9</v>
      </c>
      <c r="G31" s="2117"/>
      <c r="H31" s="2117"/>
      <c r="I31" s="2118"/>
      <c r="M31" s="1441"/>
      <c r="O31" s="2281"/>
      <c r="P31" s="2282"/>
      <c r="Q31" s="2281"/>
    </row>
    <row r="32" spans="1:20" s="2280" customFormat="1" ht="13.5" customHeight="1">
      <c r="A32" s="2137"/>
      <c r="B32" s="2112"/>
      <c r="C32" s="2112"/>
      <c r="D32" s="2099" t="s">
        <v>3086</v>
      </c>
      <c r="E32" s="2277"/>
      <c r="F32" s="2287"/>
      <c r="G32" s="2117"/>
      <c r="H32" s="2117"/>
      <c r="I32" s="2118"/>
      <c r="M32" s="1441"/>
      <c r="O32" s="2281"/>
      <c r="P32" s="2282"/>
      <c r="Q32" s="2281"/>
    </row>
    <row r="33" spans="1:20" s="2280" customFormat="1" ht="13.5" customHeight="1">
      <c r="A33" s="2100">
        <v>6</v>
      </c>
      <c r="B33" s="2112">
        <v>741</v>
      </c>
      <c r="C33" s="2112" t="s">
        <v>3099</v>
      </c>
      <c r="D33" s="2112" t="s">
        <v>3100</v>
      </c>
      <c r="E33" s="2277" t="s">
        <v>210</v>
      </c>
      <c r="F33" s="2083">
        <f>ROUND(SUM(F35:F35),3)</f>
        <v>1</v>
      </c>
      <c r="G33" s="2117"/>
      <c r="H33" s="2072">
        <f t="shared" ref="H33" si="5">ROUND(F33*G33,2)</f>
        <v>0</v>
      </c>
      <c r="I33" s="2118" t="s">
        <v>111</v>
      </c>
      <c r="J33" s="2278"/>
      <c r="K33" s="2279"/>
      <c r="M33" s="1441"/>
      <c r="O33" s="2281"/>
      <c r="P33" s="2282"/>
      <c r="Q33" s="2281"/>
      <c r="T33" s="2283"/>
    </row>
    <row r="34" spans="1:20" s="2280" customFormat="1" ht="13.5" customHeight="1">
      <c r="A34" s="2137"/>
      <c r="B34" s="2112"/>
      <c r="C34" s="2112"/>
      <c r="D34" s="2284" t="s">
        <v>3101</v>
      </c>
      <c r="E34" s="2277"/>
      <c r="F34" s="2285"/>
      <c r="G34" s="2117"/>
      <c r="H34" s="2117"/>
      <c r="I34" s="2118"/>
      <c r="J34" s="2187"/>
      <c r="N34" s="2286"/>
      <c r="O34" s="2281"/>
      <c r="P34" s="2281"/>
      <c r="Q34" s="2281"/>
      <c r="T34" s="2283"/>
    </row>
    <row r="35" spans="1:20" s="2280" customFormat="1" ht="13.5" customHeight="1">
      <c r="A35" s="2137"/>
      <c r="B35" s="2112"/>
      <c r="C35" s="2112"/>
      <c r="D35" s="2284" t="s">
        <v>1182</v>
      </c>
      <c r="E35" s="2112"/>
      <c r="F35" s="2287">
        <v>1</v>
      </c>
      <c r="G35" s="2117"/>
      <c r="H35" s="2117"/>
      <c r="I35" s="2118"/>
      <c r="M35" s="1441"/>
      <c r="O35" s="2281"/>
      <c r="P35" s="2282"/>
      <c r="Q35" s="2281"/>
    </row>
    <row r="36" spans="1:20" s="2280" customFormat="1" ht="13.5" customHeight="1">
      <c r="A36" s="2137"/>
      <c r="B36" s="2112"/>
      <c r="C36" s="2112"/>
      <c r="D36" s="2099" t="s">
        <v>3086</v>
      </c>
      <c r="E36" s="2277"/>
      <c r="F36" s="2287"/>
      <c r="G36" s="2117"/>
      <c r="H36" s="2117"/>
      <c r="I36" s="2118"/>
      <c r="M36" s="1441"/>
      <c r="O36" s="2281"/>
      <c r="P36" s="2282"/>
      <c r="Q36" s="2281"/>
    </row>
    <row r="37" spans="1:20" s="2280" customFormat="1" ht="13.5" customHeight="1">
      <c r="A37" s="2100">
        <v>7</v>
      </c>
      <c r="B37" s="2112">
        <v>741</v>
      </c>
      <c r="C37" s="2112" t="s">
        <v>3102</v>
      </c>
      <c r="D37" s="2112" t="s">
        <v>3103</v>
      </c>
      <c r="E37" s="2277" t="s">
        <v>210</v>
      </c>
      <c r="F37" s="2083">
        <f>ROUND(SUM(F39:F40),3)</f>
        <v>77</v>
      </c>
      <c r="G37" s="2117"/>
      <c r="H37" s="2072">
        <f t="shared" ref="H37" si="6">ROUND(F37*G37,2)</f>
        <v>0</v>
      </c>
      <c r="I37" s="2118" t="s">
        <v>111</v>
      </c>
      <c r="J37" s="2278"/>
      <c r="K37" s="2279"/>
      <c r="M37" s="1441"/>
      <c r="O37" s="2281"/>
      <c r="P37" s="2282"/>
      <c r="Q37" s="2281"/>
      <c r="T37" s="2283"/>
    </row>
    <row r="38" spans="1:20" s="2280" customFormat="1" ht="13.5" customHeight="1">
      <c r="A38" s="2137"/>
      <c r="B38" s="2112"/>
      <c r="C38" s="2112"/>
      <c r="D38" s="2284" t="s">
        <v>3104</v>
      </c>
      <c r="E38" s="2277"/>
      <c r="F38" s="2285"/>
      <c r="G38" s="2117"/>
      <c r="H38" s="2117"/>
      <c r="I38" s="2118"/>
      <c r="J38" s="2187"/>
      <c r="N38" s="2286"/>
      <c r="O38" s="2281"/>
      <c r="P38" s="2281"/>
      <c r="Q38" s="2281"/>
      <c r="T38" s="2283"/>
    </row>
    <row r="39" spans="1:20" s="2280" customFormat="1" ht="13.5" customHeight="1">
      <c r="A39" s="2137"/>
      <c r="B39" s="2112"/>
      <c r="C39" s="2112"/>
      <c r="D39" s="2284" t="s">
        <v>1182</v>
      </c>
      <c r="E39" s="2112"/>
      <c r="F39" s="2287">
        <v>20</v>
      </c>
      <c r="G39" s="2117"/>
      <c r="H39" s="2117"/>
      <c r="I39" s="2118"/>
      <c r="M39" s="1441"/>
      <c r="O39" s="2281"/>
      <c r="P39" s="2282"/>
      <c r="Q39" s="2281"/>
    </row>
    <row r="40" spans="1:20" s="2280" customFormat="1" ht="13.5" customHeight="1">
      <c r="A40" s="2137"/>
      <c r="B40" s="2112"/>
      <c r="C40" s="2112"/>
      <c r="D40" s="2284" t="s">
        <v>1235</v>
      </c>
      <c r="E40" s="2112"/>
      <c r="F40" s="2287">
        <v>57</v>
      </c>
      <c r="G40" s="2117"/>
      <c r="H40" s="2117"/>
      <c r="I40" s="2118"/>
      <c r="M40" s="1441"/>
      <c r="O40" s="2281"/>
      <c r="P40" s="2282"/>
      <c r="Q40" s="2281"/>
    </row>
    <row r="41" spans="1:20" s="2280" customFormat="1" ht="13.5" customHeight="1">
      <c r="A41" s="2137"/>
      <c r="B41" s="2112"/>
      <c r="C41" s="2112"/>
      <c r="D41" s="2099" t="s">
        <v>3086</v>
      </c>
      <c r="E41" s="2277"/>
      <c r="F41" s="2287"/>
      <c r="G41" s="2117"/>
      <c r="H41" s="2117"/>
      <c r="I41" s="2118"/>
      <c r="M41" s="1441"/>
      <c r="O41" s="2281"/>
      <c r="P41" s="2282"/>
      <c r="Q41" s="2281"/>
    </row>
    <row r="42" spans="1:20" s="2280" customFormat="1" ht="13.5" customHeight="1">
      <c r="A42" s="2100">
        <v>8</v>
      </c>
      <c r="B42" s="2112">
        <v>741</v>
      </c>
      <c r="C42" s="2112" t="s">
        <v>3105</v>
      </c>
      <c r="D42" s="2112" t="s">
        <v>3106</v>
      </c>
      <c r="E42" s="2277" t="s">
        <v>210</v>
      </c>
      <c r="F42" s="2083">
        <f>ROUND(SUM(F44:F44),3)</f>
        <v>86</v>
      </c>
      <c r="G42" s="2117"/>
      <c r="H42" s="2072">
        <f t="shared" ref="H42" si="7">ROUND(F42*G42,2)</f>
        <v>0</v>
      </c>
      <c r="I42" s="2118" t="s">
        <v>111</v>
      </c>
      <c r="J42" s="2278"/>
      <c r="K42" s="2279"/>
      <c r="M42" s="1441"/>
      <c r="O42" s="2281"/>
      <c r="P42" s="2282"/>
      <c r="Q42" s="2281"/>
      <c r="T42" s="2283"/>
    </row>
    <row r="43" spans="1:20" s="2280" customFormat="1" ht="13.5" customHeight="1">
      <c r="A43" s="2137"/>
      <c r="B43" s="2112"/>
      <c r="C43" s="2112"/>
      <c r="D43" s="2284" t="s">
        <v>3107</v>
      </c>
      <c r="E43" s="2277"/>
      <c r="F43" s="2285"/>
      <c r="G43" s="2117"/>
      <c r="H43" s="2117"/>
      <c r="I43" s="2118"/>
      <c r="J43" s="2187"/>
      <c r="N43" s="2286"/>
      <c r="O43" s="2281"/>
      <c r="P43" s="2281"/>
      <c r="Q43" s="2281"/>
      <c r="T43" s="2283"/>
    </row>
    <row r="44" spans="1:20" s="2280" customFormat="1" ht="13.5" customHeight="1">
      <c r="A44" s="2137"/>
      <c r="B44" s="2112"/>
      <c r="C44" s="2112"/>
      <c r="D44" s="2284" t="s">
        <v>1235</v>
      </c>
      <c r="E44" s="2112"/>
      <c r="F44" s="2287">
        <v>86</v>
      </c>
      <c r="G44" s="2117"/>
      <c r="H44" s="2117"/>
      <c r="I44" s="2118"/>
      <c r="M44" s="1441"/>
      <c r="O44" s="2281"/>
      <c r="P44" s="2282"/>
      <c r="Q44" s="2281"/>
    </row>
    <row r="45" spans="1:20" s="2280" customFormat="1" ht="13.5" customHeight="1">
      <c r="A45" s="2137"/>
      <c r="B45" s="2112"/>
      <c r="C45" s="2112"/>
      <c r="D45" s="2099" t="s">
        <v>3086</v>
      </c>
      <c r="E45" s="2277"/>
      <c r="F45" s="2287"/>
      <c r="G45" s="2117"/>
      <c r="H45" s="2117"/>
      <c r="I45" s="2118"/>
      <c r="M45" s="1441"/>
      <c r="O45" s="2281"/>
      <c r="P45" s="2282"/>
      <c r="Q45" s="2281"/>
    </row>
    <row r="46" spans="1:20" s="2280" customFormat="1" ht="13.5" customHeight="1">
      <c r="A46" s="2100">
        <v>9</v>
      </c>
      <c r="B46" s="2112">
        <v>741</v>
      </c>
      <c r="C46" s="2112" t="s">
        <v>3108</v>
      </c>
      <c r="D46" s="2112" t="s">
        <v>3109</v>
      </c>
      <c r="E46" s="2277" t="s">
        <v>210</v>
      </c>
      <c r="F46" s="2083">
        <f>ROUND(SUM(F48:F48),3)</f>
        <v>45</v>
      </c>
      <c r="G46" s="2117"/>
      <c r="H46" s="2072">
        <f t="shared" ref="H46" si="8">ROUND(F46*G46,2)</f>
        <v>0</v>
      </c>
      <c r="I46" s="2118" t="s">
        <v>111</v>
      </c>
      <c r="J46" s="2278"/>
      <c r="K46" s="2279"/>
      <c r="M46" s="1441"/>
      <c r="O46" s="2281"/>
      <c r="P46" s="2282"/>
      <c r="Q46" s="2281"/>
      <c r="T46" s="2283"/>
    </row>
    <row r="47" spans="1:20" s="2280" customFormat="1" ht="13.5" customHeight="1">
      <c r="A47" s="2137"/>
      <c r="B47" s="2112"/>
      <c r="C47" s="2112"/>
      <c r="D47" s="2284" t="s">
        <v>3107</v>
      </c>
      <c r="E47" s="2277"/>
      <c r="F47" s="2285"/>
      <c r="G47" s="2117"/>
      <c r="H47" s="2117"/>
      <c r="I47" s="2118"/>
      <c r="J47" s="2187"/>
      <c r="N47" s="2286"/>
      <c r="O47" s="2281"/>
      <c r="P47" s="2281"/>
      <c r="Q47" s="2281"/>
      <c r="T47" s="2283"/>
    </row>
    <row r="48" spans="1:20" s="2280" customFormat="1" ht="13.5" customHeight="1">
      <c r="A48" s="2137"/>
      <c r="B48" s="2112"/>
      <c r="C48" s="2112"/>
      <c r="D48" s="2284" t="s">
        <v>1182</v>
      </c>
      <c r="E48" s="2112"/>
      <c r="F48" s="2287">
        <v>45</v>
      </c>
      <c r="G48" s="2117"/>
      <c r="H48" s="2117"/>
      <c r="I48" s="2118"/>
      <c r="M48" s="1441"/>
      <c r="O48" s="2281"/>
      <c r="P48" s="2282"/>
      <c r="Q48" s="2281"/>
    </row>
    <row r="49" spans="1:20" s="2280" customFormat="1" ht="13.5" customHeight="1">
      <c r="A49" s="2137"/>
      <c r="B49" s="2112"/>
      <c r="C49" s="2112"/>
      <c r="D49" s="2099" t="s">
        <v>3086</v>
      </c>
      <c r="E49" s="2277"/>
      <c r="F49" s="2287"/>
      <c r="G49" s="2117"/>
      <c r="H49" s="2117"/>
      <c r="I49" s="2118"/>
      <c r="M49" s="1441"/>
      <c r="O49" s="2281"/>
      <c r="P49" s="2282"/>
      <c r="Q49" s="2281"/>
    </row>
    <row r="50" spans="1:20" s="2280" customFormat="1" ht="13.5" customHeight="1">
      <c r="A50" s="2100">
        <v>10</v>
      </c>
      <c r="B50" s="2112">
        <v>741</v>
      </c>
      <c r="C50" s="2112" t="s">
        <v>3110</v>
      </c>
      <c r="D50" s="2112" t="s">
        <v>3111</v>
      </c>
      <c r="E50" s="2277" t="s">
        <v>210</v>
      </c>
      <c r="F50" s="2083">
        <f>ROUND(SUM(F52:F52),3)</f>
        <v>1</v>
      </c>
      <c r="G50" s="2117"/>
      <c r="H50" s="2072">
        <f t="shared" ref="H50" si="9">ROUND(F50*G50,2)</f>
        <v>0</v>
      </c>
      <c r="I50" s="2118" t="s">
        <v>111</v>
      </c>
      <c r="J50" s="2278"/>
      <c r="K50" s="2279"/>
      <c r="M50" s="1441"/>
      <c r="O50" s="2281"/>
      <c r="P50" s="2282"/>
      <c r="Q50" s="2281"/>
      <c r="T50" s="2283"/>
    </row>
    <row r="51" spans="1:20" s="2280" customFormat="1" ht="13.5" customHeight="1">
      <c r="A51" s="2137"/>
      <c r="B51" s="2112"/>
      <c r="C51" s="2112"/>
      <c r="D51" s="2284" t="s">
        <v>3112</v>
      </c>
      <c r="E51" s="2277"/>
      <c r="F51" s="2285"/>
      <c r="G51" s="2117"/>
      <c r="H51" s="2117"/>
      <c r="I51" s="2118"/>
      <c r="J51" s="2187"/>
      <c r="N51" s="2286"/>
      <c r="O51" s="2281"/>
      <c r="P51" s="2281"/>
      <c r="Q51" s="2281"/>
      <c r="T51" s="2283"/>
    </row>
    <row r="52" spans="1:20" s="2280" customFormat="1" ht="13.5" customHeight="1">
      <c r="A52" s="2137"/>
      <c r="B52" s="2112"/>
      <c r="C52" s="2112"/>
      <c r="D52" s="2284" t="s">
        <v>1235</v>
      </c>
      <c r="E52" s="2112"/>
      <c r="F52" s="2287">
        <v>1</v>
      </c>
      <c r="G52" s="2117"/>
      <c r="H52" s="2117"/>
      <c r="I52" s="2118"/>
      <c r="M52" s="1441"/>
      <c r="O52" s="2281"/>
      <c r="P52" s="2282"/>
      <c r="Q52" s="2281"/>
    </row>
    <row r="53" spans="1:20" s="2280" customFormat="1" ht="13.5" customHeight="1">
      <c r="A53" s="2137"/>
      <c r="B53" s="2112"/>
      <c r="C53" s="2112"/>
      <c r="D53" s="2099" t="s">
        <v>3086</v>
      </c>
      <c r="E53" s="2277"/>
      <c r="F53" s="2287"/>
      <c r="G53" s="2117"/>
      <c r="H53" s="2117"/>
      <c r="I53" s="2118"/>
      <c r="M53" s="1441"/>
      <c r="O53" s="2281"/>
      <c r="P53" s="2282"/>
      <c r="Q53" s="2281"/>
    </row>
    <row r="54" spans="1:20" s="2280" customFormat="1" ht="13.5" customHeight="1">
      <c r="A54" s="2100">
        <v>11</v>
      </c>
      <c r="B54" s="2112">
        <v>741</v>
      </c>
      <c r="C54" s="2112" t="s">
        <v>3113</v>
      </c>
      <c r="D54" s="2112" t="s">
        <v>3114</v>
      </c>
      <c r="E54" s="2277" t="s">
        <v>210</v>
      </c>
      <c r="F54" s="2083">
        <f>ROUND(SUM(F56:F56),3)</f>
        <v>3</v>
      </c>
      <c r="G54" s="2117"/>
      <c r="H54" s="2072">
        <f t="shared" ref="H54" si="10">ROUND(F54*G54,2)</f>
        <v>0</v>
      </c>
      <c r="I54" s="2118" t="s">
        <v>111</v>
      </c>
      <c r="J54" s="2278"/>
      <c r="K54" s="2279"/>
      <c r="M54" s="1441"/>
      <c r="O54" s="2281"/>
      <c r="P54" s="2282"/>
      <c r="Q54" s="2281"/>
      <c r="T54" s="2283"/>
    </row>
    <row r="55" spans="1:20" s="2280" customFormat="1" ht="13.5" customHeight="1">
      <c r="A55" s="2137"/>
      <c r="B55" s="2112"/>
      <c r="C55" s="2112"/>
      <c r="D55" s="2284" t="s">
        <v>3115</v>
      </c>
      <c r="E55" s="2277"/>
      <c r="F55" s="2285"/>
      <c r="G55" s="2117"/>
      <c r="H55" s="2117"/>
      <c r="I55" s="2118"/>
      <c r="J55" s="2187"/>
      <c r="N55" s="2286"/>
      <c r="O55" s="2281"/>
      <c r="P55" s="2281"/>
      <c r="Q55" s="2281"/>
      <c r="T55" s="2283"/>
    </row>
    <row r="56" spans="1:20" s="2280" customFormat="1" ht="13.5" customHeight="1">
      <c r="A56" s="2137"/>
      <c r="B56" s="2112"/>
      <c r="C56" s="2112"/>
      <c r="D56" s="2284" t="s">
        <v>1182</v>
      </c>
      <c r="E56" s="2112"/>
      <c r="F56" s="2287">
        <v>3</v>
      </c>
      <c r="G56" s="2117"/>
      <c r="H56" s="2117"/>
      <c r="I56" s="2118"/>
      <c r="M56" s="1441"/>
      <c r="O56" s="2281"/>
      <c r="P56" s="2282"/>
      <c r="Q56" s="2281"/>
    </row>
    <row r="57" spans="1:20" s="2280" customFormat="1" ht="13.5" customHeight="1">
      <c r="A57" s="2137"/>
      <c r="B57" s="2112"/>
      <c r="C57" s="2112"/>
      <c r="D57" s="2099" t="s">
        <v>3086</v>
      </c>
      <c r="E57" s="2277"/>
      <c r="F57" s="2287"/>
      <c r="G57" s="2117"/>
      <c r="H57" s="2117"/>
      <c r="I57" s="2118"/>
      <c r="M57" s="1441"/>
      <c r="O57" s="2281"/>
      <c r="P57" s="2282"/>
      <c r="Q57" s="2281"/>
    </row>
    <row r="58" spans="1:20" s="2280" customFormat="1" ht="13.5" customHeight="1">
      <c r="A58" s="2100">
        <v>12</v>
      </c>
      <c r="B58" s="2112">
        <v>741</v>
      </c>
      <c r="C58" s="2112" t="s">
        <v>3116</v>
      </c>
      <c r="D58" s="2112" t="s">
        <v>3117</v>
      </c>
      <c r="E58" s="2277" t="s">
        <v>210</v>
      </c>
      <c r="F58" s="2083">
        <f>ROUND(SUM(F60:F61),3)</f>
        <v>35</v>
      </c>
      <c r="G58" s="2117"/>
      <c r="H58" s="2072">
        <f t="shared" ref="H58" si="11">ROUND(F58*G58,2)</f>
        <v>0</v>
      </c>
      <c r="I58" s="2118" t="s">
        <v>111</v>
      </c>
      <c r="J58" s="2278"/>
      <c r="K58" s="2279"/>
      <c r="M58" s="1441"/>
      <c r="O58" s="2281"/>
      <c r="P58" s="2282"/>
      <c r="Q58" s="2281"/>
      <c r="T58" s="2283"/>
    </row>
    <row r="59" spans="1:20" s="2280" customFormat="1" ht="13.5" customHeight="1">
      <c r="A59" s="2137"/>
      <c r="B59" s="2112"/>
      <c r="C59" s="2112"/>
      <c r="D59" s="2284" t="s">
        <v>3118</v>
      </c>
      <c r="E59" s="2277"/>
      <c r="F59" s="2285"/>
      <c r="G59" s="2117"/>
      <c r="H59" s="2117"/>
      <c r="I59" s="2118"/>
      <c r="J59" s="2187"/>
      <c r="N59" s="2286"/>
      <c r="O59" s="2281"/>
      <c r="P59" s="2281"/>
      <c r="Q59" s="2281"/>
      <c r="T59" s="2283"/>
    </row>
    <row r="60" spans="1:20" s="2280" customFormat="1" ht="13.5" customHeight="1">
      <c r="A60" s="2137"/>
      <c r="B60" s="2112"/>
      <c r="C60" s="2112"/>
      <c r="D60" s="2284" t="s">
        <v>1182</v>
      </c>
      <c r="E60" s="2112"/>
      <c r="F60" s="2287">
        <v>24</v>
      </c>
      <c r="G60" s="2117"/>
      <c r="H60" s="2117"/>
      <c r="I60" s="2118"/>
      <c r="M60" s="1441"/>
      <c r="O60" s="2281"/>
      <c r="P60" s="2282"/>
      <c r="Q60" s="2281"/>
    </row>
    <row r="61" spans="1:20" s="2280" customFormat="1" ht="13.5" customHeight="1">
      <c r="A61" s="2137"/>
      <c r="B61" s="2112"/>
      <c r="C61" s="2112"/>
      <c r="D61" s="2284" t="s">
        <v>1235</v>
      </c>
      <c r="E61" s="2112"/>
      <c r="F61" s="2287">
        <v>11</v>
      </c>
      <c r="G61" s="2117"/>
      <c r="H61" s="2117"/>
      <c r="I61" s="2118"/>
      <c r="M61" s="1441"/>
      <c r="O61" s="2281"/>
      <c r="P61" s="2282"/>
      <c r="Q61" s="2281"/>
    </row>
    <row r="62" spans="1:20" s="2280" customFormat="1" ht="13.5" customHeight="1">
      <c r="A62" s="2137"/>
      <c r="B62" s="2112"/>
      <c r="C62" s="2112"/>
      <c r="D62" s="2099" t="s">
        <v>3086</v>
      </c>
      <c r="E62" s="2277"/>
      <c r="F62" s="2287"/>
      <c r="G62" s="2117"/>
      <c r="H62" s="2117"/>
      <c r="I62" s="2118"/>
      <c r="M62" s="1441"/>
      <c r="O62" s="2281"/>
      <c r="P62" s="2282"/>
      <c r="Q62" s="2281"/>
    </row>
    <row r="63" spans="1:20" s="2280" customFormat="1" ht="13.5" customHeight="1">
      <c r="A63" s="2100">
        <v>13</v>
      </c>
      <c r="B63" s="2112">
        <v>741</v>
      </c>
      <c r="C63" s="2112" t="s">
        <v>3119</v>
      </c>
      <c r="D63" s="2112" t="s">
        <v>3120</v>
      </c>
      <c r="E63" s="2277" t="s">
        <v>210</v>
      </c>
      <c r="F63" s="2083">
        <f>ROUND(SUM(F65:F65),3)</f>
        <v>6</v>
      </c>
      <c r="G63" s="2117"/>
      <c r="H63" s="2072">
        <f t="shared" ref="H63" si="12">ROUND(F63*G63,2)</f>
        <v>0</v>
      </c>
      <c r="I63" s="2118" t="s">
        <v>111</v>
      </c>
      <c r="J63" s="2278"/>
      <c r="K63" s="2279"/>
      <c r="M63" s="1441"/>
      <c r="O63" s="2281"/>
      <c r="P63" s="2282"/>
      <c r="Q63" s="2281"/>
      <c r="T63" s="2283"/>
    </row>
    <row r="64" spans="1:20" s="2280" customFormat="1" ht="13.5" customHeight="1">
      <c r="A64" s="2137"/>
      <c r="B64" s="2112"/>
      <c r="C64" s="2112"/>
      <c r="D64" s="2284" t="s">
        <v>3118</v>
      </c>
      <c r="E64" s="2277"/>
      <c r="F64" s="2285"/>
      <c r="G64" s="2117"/>
      <c r="H64" s="2117"/>
      <c r="I64" s="2118"/>
      <c r="J64" s="2187"/>
      <c r="N64" s="2286"/>
      <c r="O64" s="2281"/>
      <c r="P64" s="2281"/>
      <c r="Q64" s="2281"/>
      <c r="T64" s="2283"/>
    </row>
    <row r="65" spans="1:20" s="2280" customFormat="1" ht="13.5" customHeight="1">
      <c r="A65" s="2137"/>
      <c r="B65" s="2112"/>
      <c r="C65" s="2112"/>
      <c r="D65" s="2284" t="s">
        <v>1182</v>
      </c>
      <c r="E65" s="2112"/>
      <c r="F65" s="2287">
        <v>6</v>
      </c>
      <c r="G65" s="2117"/>
      <c r="H65" s="2117"/>
      <c r="I65" s="2118"/>
      <c r="M65" s="1441"/>
      <c r="O65" s="2281"/>
      <c r="P65" s="2282"/>
      <c r="Q65" s="2281"/>
    </row>
    <row r="66" spans="1:20" s="2280" customFormat="1" ht="13.5" customHeight="1">
      <c r="A66" s="2137"/>
      <c r="B66" s="2112"/>
      <c r="C66" s="2112"/>
      <c r="D66" s="2099" t="s">
        <v>3086</v>
      </c>
      <c r="E66" s="2277"/>
      <c r="F66" s="2287"/>
      <c r="G66" s="2117"/>
      <c r="H66" s="2117"/>
      <c r="I66" s="2118"/>
      <c r="M66" s="1441"/>
      <c r="O66" s="2281"/>
      <c r="P66" s="2282"/>
      <c r="Q66" s="2281"/>
    </row>
    <row r="67" spans="1:20" s="2280" customFormat="1" ht="13.5" customHeight="1">
      <c r="A67" s="2100">
        <v>14</v>
      </c>
      <c r="B67" s="2112">
        <v>741</v>
      </c>
      <c r="C67" s="2112" t="s">
        <v>3121</v>
      </c>
      <c r="D67" s="2112" t="s">
        <v>3122</v>
      </c>
      <c r="E67" s="2277" t="s">
        <v>210</v>
      </c>
      <c r="F67" s="2083">
        <f>ROUND(SUM(F69:F70),3)</f>
        <v>25</v>
      </c>
      <c r="G67" s="2117"/>
      <c r="H67" s="2072">
        <f t="shared" ref="H67" si="13">ROUND(F67*G67,2)</f>
        <v>0</v>
      </c>
      <c r="I67" s="2118" t="s">
        <v>111</v>
      </c>
      <c r="J67" s="2278"/>
      <c r="K67" s="2279"/>
      <c r="M67" s="1441"/>
      <c r="O67" s="2281"/>
      <c r="P67" s="2282"/>
      <c r="Q67" s="2281"/>
      <c r="T67" s="2283"/>
    </row>
    <row r="68" spans="1:20" s="2280" customFormat="1" ht="13.5" customHeight="1">
      <c r="A68" s="2137"/>
      <c r="B68" s="2112"/>
      <c r="C68" s="2112"/>
      <c r="D68" s="2284" t="s">
        <v>3123</v>
      </c>
      <c r="E68" s="2277"/>
      <c r="F68" s="2285"/>
      <c r="G68" s="2117"/>
      <c r="H68" s="2117"/>
      <c r="I68" s="2118"/>
      <c r="J68" s="2187"/>
      <c r="N68" s="2286"/>
      <c r="O68" s="2281"/>
      <c r="P68" s="2281"/>
      <c r="Q68" s="2281"/>
      <c r="T68" s="2283"/>
    </row>
    <row r="69" spans="1:20" s="2280" customFormat="1" ht="13.5" customHeight="1">
      <c r="A69" s="2137"/>
      <c r="B69" s="2112"/>
      <c r="C69" s="2112"/>
      <c r="D69" s="2284" t="s">
        <v>1182</v>
      </c>
      <c r="E69" s="2112"/>
      <c r="F69" s="2287">
        <v>7</v>
      </c>
      <c r="G69" s="2117"/>
      <c r="H69" s="2117"/>
      <c r="I69" s="2118"/>
      <c r="M69" s="1441"/>
      <c r="O69" s="2281"/>
      <c r="P69" s="2282"/>
      <c r="Q69" s="2281"/>
    </row>
    <row r="70" spans="1:20" s="2280" customFormat="1" ht="13.5" customHeight="1">
      <c r="A70" s="2137"/>
      <c r="B70" s="2112"/>
      <c r="C70" s="2112"/>
      <c r="D70" s="2284" t="s">
        <v>1235</v>
      </c>
      <c r="E70" s="2112"/>
      <c r="F70" s="2287">
        <v>18</v>
      </c>
      <c r="G70" s="2117"/>
      <c r="H70" s="2117"/>
      <c r="I70" s="2118"/>
      <c r="M70" s="1441"/>
      <c r="O70" s="2281"/>
      <c r="P70" s="2282"/>
      <c r="Q70" s="2281"/>
    </row>
    <row r="71" spans="1:20" s="2280" customFormat="1" ht="13.5" customHeight="1">
      <c r="A71" s="2137"/>
      <c r="B71" s="2112"/>
      <c r="C71" s="2112"/>
      <c r="D71" s="2099" t="s">
        <v>3086</v>
      </c>
      <c r="E71" s="2277"/>
      <c r="F71" s="2287"/>
      <c r="G71" s="2117"/>
      <c r="H71" s="2117"/>
      <c r="I71" s="2118"/>
      <c r="M71" s="1441"/>
      <c r="O71" s="2281"/>
      <c r="P71" s="2282"/>
      <c r="Q71" s="2281"/>
    </row>
    <row r="72" spans="1:20" s="2280" customFormat="1" ht="13.5" customHeight="1">
      <c r="A72" s="2100">
        <v>15</v>
      </c>
      <c r="B72" s="2112">
        <v>741</v>
      </c>
      <c r="C72" s="2112" t="s">
        <v>3124</v>
      </c>
      <c r="D72" s="2112" t="s">
        <v>3125</v>
      </c>
      <c r="E72" s="2277" t="s">
        <v>210</v>
      </c>
      <c r="F72" s="2083">
        <f>ROUND(SUM(F74:F75),3)</f>
        <v>41</v>
      </c>
      <c r="G72" s="2117"/>
      <c r="H72" s="2072">
        <f t="shared" ref="H72" si="14">ROUND(F72*G72,2)</f>
        <v>0</v>
      </c>
      <c r="I72" s="2118" t="s">
        <v>111</v>
      </c>
      <c r="J72" s="2278"/>
      <c r="K72" s="2279"/>
      <c r="M72" s="1441"/>
      <c r="O72" s="2281"/>
      <c r="P72" s="2282"/>
      <c r="Q72" s="2281"/>
      <c r="T72" s="2283"/>
    </row>
    <row r="73" spans="1:20" s="2280" customFormat="1" ht="13.5" customHeight="1">
      <c r="A73" s="2137"/>
      <c r="B73" s="2112"/>
      <c r="C73" s="2112"/>
      <c r="D73" s="2284" t="s">
        <v>3126</v>
      </c>
      <c r="E73" s="2277"/>
      <c r="F73" s="2285"/>
      <c r="G73" s="2117"/>
      <c r="H73" s="2117"/>
      <c r="I73" s="2118"/>
      <c r="J73" s="2187"/>
      <c r="N73" s="2286"/>
      <c r="O73" s="2281"/>
      <c r="P73" s="2281"/>
      <c r="Q73" s="2281"/>
      <c r="T73" s="2283"/>
    </row>
    <row r="74" spans="1:20" s="2280" customFormat="1" ht="13.5" customHeight="1">
      <c r="A74" s="2137"/>
      <c r="B74" s="2112"/>
      <c r="C74" s="2112"/>
      <c r="D74" s="2284" t="s">
        <v>1182</v>
      </c>
      <c r="E74" s="2112"/>
      <c r="F74" s="2287">
        <v>32</v>
      </c>
      <c r="G74" s="2117"/>
      <c r="H74" s="2117"/>
      <c r="I74" s="2118"/>
      <c r="M74" s="1441"/>
      <c r="O74" s="2281"/>
      <c r="P74" s="2282"/>
      <c r="Q74" s="2281"/>
    </row>
    <row r="75" spans="1:20" s="2280" customFormat="1" ht="13.5" customHeight="1">
      <c r="A75" s="2137"/>
      <c r="B75" s="2112"/>
      <c r="C75" s="2112"/>
      <c r="D75" s="2284" t="s">
        <v>1235</v>
      </c>
      <c r="E75" s="2112"/>
      <c r="F75" s="2287">
        <v>9</v>
      </c>
      <c r="G75" s="2117"/>
      <c r="H75" s="2117"/>
      <c r="I75" s="2118"/>
      <c r="M75" s="1441"/>
      <c r="O75" s="2281"/>
      <c r="P75" s="2282"/>
      <c r="Q75" s="2281"/>
    </row>
    <row r="76" spans="1:20" s="2280" customFormat="1" ht="13.5" customHeight="1">
      <c r="A76" s="2137"/>
      <c r="B76" s="2112"/>
      <c r="C76" s="2112"/>
      <c r="D76" s="2099" t="s">
        <v>3086</v>
      </c>
      <c r="E76" s="2277"/>
      <c r="F76" s="2287"/>
      <c r="G76" s="2117"/>
      <c r="H76" s="2117"/>
      <c r="I76" s="2118"/>
      <c r="M76" s="1441"/>
      <c r="O76" s="2281"/>
      <c r="P76" s="2282"/>
      <c r="Q76" s="2281"/>
    </row>
    <row r="77" spans="1:20" s="2280" customFormat="1" ht="13.5" customHeight="1">
      <c r="A77" s="2100">
        <v>16</v>
      </c>
      <c r="B77" s="2112">
        <v>741</v>
      </c>
      <c r="C77" s="2112" t="s">
        <v>3127</v>
      </c>
      <c r="D77" s="2112" t="s">
        <v>3128</v>
      </c>
      <c r="E77" s="2277" t="s">
        <v>210</v>
      </c>
      <c r="F77" s="2083">
        <f>ROUND(SUM(F79:F79),3)</f>
        <v>5</v>
      </c>
      <c r="G77" s="2117"/>
      <c r="H77" s="2072">
        <f t="shared" ref="H77" si="15">ROUND(F77*G77,2)</f>
        <v>0</v>
      </c>
      <c r="I77" s="2118" t="s">
        <v>111</v>
      </c>
      <c r="J77" s="2278"/>
      <c r="K77" s="2279"/>
      <c r="M77" s="1441"/>
      <c r="O77" s="2281"/>
      <c r="P77" s="2282"/>
      <c r="Q77" s="2281"/>
      <c r="T77" s="2283"/>
    </row>
    <row r="78" spans="1:20" s="2280" customFormat="1" ht="13.5" customHeight="1">
      <c r="A78" s="2137"/>
      <c r="B78" s="2112"/>
      <c r="C78" s="2112"/>
      <c r="D78" s="2284" t="s">
        <v>3129</v>
      </c>
      <c r="E78" s="2277"/>
      <c r="F78" s="2285"/>
      <c r="G78" s="2117"/>
      <c r="H78" s="2117"/>
      <c r="I78" s="2118"/>
      <c r="J78" s="2187"/>
      <c r="N78" s="2286"/>
      <c r="O78" s="2281"/>
      <c r="P78" s="2281"/>
      <c r="Q78" s="2281"/>
      <c r="T78" s="2283"/>
    </row>
    <row r="79" spans="1:20" s="2280" customFormat="1" ht="13.5" customHeight="1">
      <c r="A79" s="2137"/>
      <c r="B79" s="2112"/>
      <c r="C79" s="2112"/>
      <c r="D79" s="2284" t="s">
        <v>1182</v>
      </c>
      <c r="E79" s="2112"/>
      <c r="F79" s="2287">
        <v>5</v>
      </c>
      <c r="G79" s="2117"/>
      <c r="H79" s="2117"/>
      <c r="I79" s="2118"/>
      <c r="M79" s="1441"/>
      <c r="O79" s="2281"/>
      <c r="P79" s="2282"/>
      <c r="Q79" s="2281"/>
    </row>
    <row r="80" spans="1:20" s="2280" customFormat="1" ht="13.5" customHeight="1">
      <c r="A80" s="2137"/>
      <c r="B80" s="2112"/>
      <c r="C80" s="2112"/>
      <c r="D80" s="2099" t="s">
        <v>3086</v>
      </c>
      <c r="E80" s="2277"/>
      <c r="F80" s="2287"/>
      <c r="G80" s="2117"/>
      <c r="H80" s="2117"/>
      <c r="I80" s="2118"/>
      <c r="M80" s="1441"/>
      <c r="O80" s="2281"/>
      <c r="P80" s="2282"/>
      <c r="Q80" s="2281"/>
    </row>
    <row r="81" spans="1:20" s="2280" customFormat="1" ht="13.5" customHeight="1">
      <c r="A81" s="2100">
        <v>17</v>
      </c>
      <c r="B81" s="2112">
        <v>741</v>
      </c>
      <c r="C81" s="2112" t="s">
        <v>3130</v>
      </c>
      <c r="D81" s="2112" t="s">
        <v>3131</v>
      </c>
      <c r="E81" s="2277" t="s">
        <v>210</v>
      </c>
      <c r="F81" s="2285">
        <f>SUM(F83:F85)</f>
        <v>29</v>
      </c>
      <c r="G81" s="2117"/>
      <c r="H81" s="2072">
        <f t="shared" ref="H81" si="16">ROUND(F81*G81,2)</f>
        <v>0</v>
      </c>
      <c r="I81" s="2118" t="s">
        <v>111</v>
      </c>
      <c r="J81" s="2288"/>
      <c r="M81" s="1441"/>
      <c r="O81" s="2281"/>
      <c r="P81" s="2282"/>
      <c r="Q81" s="2281"/>
    </row>
    <row r="82" spans="1:20" s="2280" customFormat="1" ht="13.5" customHeight="1">
      <c r="A82" s="2137"/>
      <c r="B82" s="2112"/>
      <c r="C82" s="2112"/>
      <c r="D82" s="2284" t="s">
        <v>3132</v>
      </c>
      <c r="E82" s="2277"/>
      <c r="F82" s="2285"/>
      <c r="G82" s="2117"/>
      <c r="H82" s="2117"/>
      <c r="I82" s="2118"/>
      <c r="J82" s="2279"/>
      <c r="O82" s="2281"/>
      <c r="P82" s="2281"/>
      <c r="Q82" s="2281"/>
      <c r="T82" s="2278"/>
    </row>
    <row r="83" spans="1:20" s="2280" customFormat="1" ht="13.5" customHeight="1">
      <c r="A83" s="2137"/>
      <c r="B83" s="2112"/>
      <c r="C83" s="2112"/>
      <c r="D83" s="2284" t="s">
        <v>1234</v>
      </c>
      <c r="E83" s="2112"/>
      <c r="F83" s="2287">
        <v>5</v>
      </c>
      <c r="G83" s="2117"/>
      <c r="H83" s="2117"/>
      <c r="I83" s="2118"/>
      <c r="M83" s="1441"/>
      <c r="O83" s="2278"/>
      <c r="P83" s="2282"/>
      <c r="Q83" s="2281"/>
    </row>
    <row r="84" spans="1:20" s="2280" customFormat="1" ht="13.5" customHeight="1">
      <c r="A84" s="2114"/>
      <c r="B84" s="2112"/>
      <c r="C84" s="2112"/>
      <c r="D84" s="2284" t="s">
        <v>1182</v>
      </c>
      <c r="E84" s="2112"/>
      <c r="F84" s="2287">
        <v>19</v>
      </c>
      <c r="G84" s="2117"/>
      <c r="H84" s="2117"/>
      <c r="I84" s="2118"/>
      <c r="M84" s="1441"/>
      <c r="O84" s="2281"/>
      <c r="P84" s="2282"/>
      <c r="Q84" s="2281"/>
    </row>
    <row r="85" spans="1:20" s="2280" customFormat="1" ht="13.5" customHeight="1">
      <c r="A85" s="2114"/>
      <c r="B85" s="2112"/>
      <c r="C85" s="2112"/>
      <c r="D85" s="2284" t="s">
        <v>1235</v>
      </c>
      <c r="E85" s="2112"/>
      <c r="F85" s="2287">
        <v>5</v>
      </c>
      <c r="G85" s="2117"/>
      <c r="H85" s="2117"/>
      <c r="I85" s="2118"/>
      <c r="M85" s="1441"/>
      <c r="O85" s="2281"/>
      <c r="P85" s="2282"/>
      <c r="Q85" s="2281"/>
    </row>
    <row r="86" spans="1:20" s="2280" customFormat="1" ht="13.5" customHeight="1">
      <c r="A86" s="2137"/>
      <c r="B86" s="2112"/>
      <c r="C86" s="2112"/>
      <c r="D86" s="2099" t="s">
        <v>3086</v>
      </c>
      <c r="E86" s="2277"/>
      <c r="F86" s="2287"/>
      <c r="G86" s="2117"/>
      <c r="H86" s="2117"/>
      <c r="I86" s="2118"/>
      <c r="M86" s="1441"/>
      <c r="O86" s="2281"/>
      <c r="P86" s="2282"/>
      <c r="Q86" s="2281"/>
    </row>
    <row r="87" spans="1:20" s="2280" customFormat="1" ht="13.5" customHeight="1">
      <c r="A87" s="2100">
        <v>18</v>
      </c>
      <c r="B87" s="2112">
        <v>741</v>
      </c>
      <c r="C87" s="2112" t="s">
        <v>3133</v>
      </c>
      <c r="D87" s="2112" t="s">
        <v>3134</v>
      </c>
      <c r="E87" s="2277" t="s">
        <v>210</v>
      </c>
      <c r="F87" s="2285">
        <f>SUM(F89:F90)</f>
        <v>16</v>
      </c>
      <c r="G87" s="2117"/>
      <c r="H87" s="2072">
        <f t="shared" ref="H87" si="17">ROUND(F87*G87,2)</f>
        <v>0</v>
      </c>
      <c r="I87" s="2118" t="s">
        <v>111</v>
      </c>
      <c r="M87" s="1441"/>
      <c r="O87" s="2281"/>
      <c r="P87" s="2282"/>
      <c r="Q87" s="2281"/>
    </row>
    <row r="88" spans="1:20" s="2280" customFormat="1" ht="13.5" customHeight="1">
      <c r="A88" s="2137"/>
      <c r="B88" s="2112"/>
      <c r="C88" s="2112"/>
      <c r="D88" s="2284" t="s">
        <v>3135</v>
      </c>
      <c r="E88" s="2277"/>
      <c r="F88" s="2285"/>
      <c r="G88" s="2117"/>
      <c r="H88" s="2117"/>
      <c r="I88" s="2118"/>
      <c r="J88" s="2279"/>
      <c r="O88" s="2281"/>
      <c r="P88" s="2281"/>
      <c r="Q88" s="2281"/>
      <c r="T88" s="2278"/>
    </row>
    <row r="89" spans="1:20" s="2280" customFormat="1" ht="13.5" customHeight="1">
      <c r="A89" s="2114"/>
      <c r="B89" s="2112"/>
      <c r="C89" s="2112"/>
      <c r="D89" s="2284" t="s">
        <v>1182</v>
      </c>
      <c r="E89" s="2112"/>
      <c r="F89" s="2287">
        <v>6</v>
      </c>
      <c r="G89" s="2117"/>
      <c r="H89" s="2117"/>
      <c r="I89" s="2118"/>
      <c r="M89" s="1441"/>
      <c r="O89" s="2281"/>
      <c r="P89" s="2282"/>
      <c r="Q89" s="2281"/>
    </row>
    <row r="90" spans="1:20" s="2280" customFormat="1" ht="13.5" customHeight="1">
      <c r="A90" s="2114"/>
      <c r="B90" s="2112"/>
      <c r="C90" s="2112"/>
      <c r="D90" s="2284" t="s">
        <v>1235</v>
      </c>
      <c r="E90" s="2112"/>
      <c r="F90" s="2287">
        <v>10</v>
      </c>
      <c r="G90" s="2117"/>
      <c r="H90" s="2117"/>
      <c r="I90" s="2118"/>
      <c r="M90" s="1441"/>
      <c r="O90" s="2281"/>
      <c r="P90" s="2282"/>
      <c r="Q90" s="2281"/>
    </row>
    <row r="91" spans="1:20" s="2280" customFormat="1" ht="13.5" customHeight="1">
      <c r="A91" s="2137"/>
      <c r="B91" s="2112"/>
      <c r="C91" s="2112"/>
      <c r="D91" s="2099" t="s">
        <v>3086</v>
      </c>
      <c r="E91" s="2277"/>
      <c r="F91" s="2287"/>
      <c r="G91" s="2117"/>
      <c r="H91" s="2117"/>
      <c r="I91" s="2118"/>
      <c r="M91" s="1441"/>
      <c r="O91" s="2281"/>
      <c r="P91" s="2282"/>
      <c r="Q91" s="2281"/>
    </row>
    <row r="92" spans="1:20" s="2280" customFormat="1" ht="13.5" customHeight="1">
      <c r="A92" s="2100">
        <v>19</v>
      </c>
      <c r="B92" s="2112">
        <v>741</v>
      </c>
      <c r="C92" s="2112" t="s">
        <v>3136</v>
      </c>
      <c r="D92" s="2112" t="s">
        <v>3137</v>
      </c>
      <c r="E92" s="2277" t="s">
        <v>210</v>
      </c>
      <c r="F92" s="2285">
        <f>SUM(F94:F95)</f>
        <v>19</v>
      </c>
      <c r="G92" s="2117"/>
      <c r="H92" s="2072">
        <f t="shared" ref="H92" si="18">ROUND(F92*G92,2)</f>
        <v>0</v>
      </c>
      <c r="I92" s="2118" t="s">
        <v>111</v>
      </c>
      <c r="M92" s="1441"/>
      <c r="O92" s="2281"/>
      <c r="P92" s="2282"/>
      <c r="Q92" s="2281"/>
    </row>
    <row r="93" spans="1:20" s="2280" customFormat="1" ht="13.5" customHeight="1">
      <c r="A93" s="2137"/>
      <c r="B93" s="2112"/>
      <c r="C93" s="2112"/>
      <c r="D93" s="2284" t="s">
        <v>3135</v>
      </c>
      <c r="E93" s="2277"/>
      <c r="F93" s="2285"/>
      <c r="G93" s="2117"/>
      <c r="H93" s="2117"/>
      <c r="I93" s="2118"/>
      <c r="J93" s="2279"/>
      <c r="O93" s="2281"/>
      <c r="P93" s="2281"/>
      <c r="Q93" s="2281"/>
      <c r="T93" s="2278"/>
    </row>
    <row r="94" spans="1:20" s="2280" customFormat="1" ht="13.5" customHeight="1">
      <c r="A94" s="2114"/>
      <c r="B94" s="2112"/>
      <c r="C94" s="2112"/>
      <c r="D94" s="2284" t="s">
        <v>1182</v>
      </c>
      <c r="E94" s="2112"/>
      <c r="F94" s="2287">
        <v>7</v>
      </c>
      <c r="G94" s="2117"/>
      <c r="H94" s="2117"/>
      <c r="I94" s="2118"/>
      <c r="M94" s="1441"/>
      <c r="O94" s="2281"/>
      <c r="P94" s="2282"/>
      <c r="Q94" s="2281"/>
    </row>
    <row r="95" spans="1:20" s="2280" customFormat="1" ht="13.5" customHeight="1">
      <c r="A95" s="2114"/>
      <c r="B95" s="2112"/>
      <c r="C95" s="2112"/>
      <c r="D95" s="2284" t="s">
        <v>1235</v>
      </c>
      <c r="E95" s="2112"/>
      <c r="F95" s="2287">
        <v>12</v>
      </c>
      <c r="G95" s="2117"/>
      <c r="H95" s="2117"/>
      <c r="I95" s="2118"/>
      <c r="M95" s="1441"/>
      <c r="O95" s="2281"/>
      <c r="P95" s="2282"/>
      <c r="Q95" s="2281"/>
    </row>
    <row r="96" spans="1:20" s="2280" customFormat="1" ht="13.5" customHeight="1">
      <c r="A96" s="2137"/>
      <c r="B96" s="2112"/>
      <c r="C96" s="2112"/>
      <c r="D96" s="2099" t="s">
        <v>3086</v>
      </c>
      <c r="E96" s="2277"/>
      <c r="F96" s="2287"/>
      <c r="G96" s="2117"/>
      <c r="H96" s="2117"/>
      <c r="I96" s="2118"/>
      <c r="M96" s="1441"/>
      <c r="O96" s="2281"/>
      <c r="P96" s="2282"/>
      <c r="Q96" s="2281"/>
    </row>
    <row r="97" spans="1:20" s="2280" customFormat="1" ht="13.5" customHeight="1">
      <c r="A97" s="2100">
        <v>20</v>
      </c>
      <c r="B97" s="2112">
        <v>741</v>
      </c>
      <c r="C97" s="2112" t="s">
        <v>3138</v>
      </c>
      <c r="D97" s="2112" t="s">
        <v>3139</v>
      </c>
      <c r="E97" s="2277" t="s">
        <v>210</v>
      </c>
      <c r="F97" s="2285">
        <f>SUM(F99:F100)</f>
        <v>10</v>
      </c>
      <c r="G97" s="2117"/>
      <c r="H97" s="2072">
        <f t="shared" ref="H97" si="19">ROUND(F97*G97,2)</f>
        <v>0</v>
      </c>
      <c r="I97" s="2118" t="s">
        <v>111</v>
      </c>
      <c r="M97" s="1441"/>
      <c r="O97" s="2281"/>
      <c r="P97" s="2282"/>
      <c r="Q97" s="2281"/>
    </row>
    <row r="98" spans="1:20" s="2280" customFormat="1" ht="13.5" customHeight="1">
      <c r="A98" s="2137"/>
      <c r="B98" s="2112"/>
      <c r="C98" s="2112"/>
      <c r="D98" s="2284" t="s">
        <v>3140</v>
      </c>
      <c r="E98" s="2277"/>
      <c r="F98" s="2285"/>
      <c r="G98" s="2117"/>
      <c r="H98" s="2117"/>
      <c r="I98" s="2118"/>
      <c r="J98" s="2279"/>
      <c r="O98" s="2281"/>
      <c r="P98" s="2281"/>
      <c r="Q98" s="2281"/>
      <c r="T98" s="2278"/>
    </row>
    <row r="99" spans="1:20" s="2280" customFormat="1" ht="13.5" customHeight="1">
      <c r="A99" s="2114"/>
      <c r="B99" s="2112"/>
      <c r="C99" s="2112"/>
      <c r="D99" s="2284" t="s">
        <v>1182</v>
      </c>
      <c r="E99" s="2112"/>
      <c r="F99" s="2287">
        <v>5</v>
      </c>
      <c r="G99" s="2117"/>
      <c r="H99" s="2117"/>
      <c r="I99" s="2118"/>
      <c r="M99" s="1441"/>
      <c r="O99" s="2281"/>
      <c r="P99" s="2282"/>
      <c r="Q99" s="2281"/>
    </row>
    <row r="100" spans="1:20" s="2280" customFormat="1" ht="13.5" customHeight="1">
      <c r="A100" s="2114"/>
      <c r="B100" s="2112"/>
      <c r="C100" s="2112"/>
      <c r="D100" s="2284" t="s">
        <v>1235</v>
      </c>
      <c r="E100" s="2112"/>
      <c r="F100" s="2287">
        <v>5</v>
      </c>
      <c r="G100" s="2117"/>
      <c r="H100" s="2117"/>
      <c r="I100" s="2118"/>
      <c r="M100" s="1441"/>
      <c r="O100" s="2281"/>
      <c r="P100" s="2282"/>
      <c r="Q100" s="2281"/>
    </row>
    <row r="101" spans="1:20" s="2280" customFormat="1" ht="13.5" customHeight="1">
      <c r="A101" s="2137"/>
      <c r="B101" s="2112"/>
      <c r="C101" s="2112"/>
      <c r="D101" s="2099" t="s">
        <v>3086</v>
      </c>
      <c r="E101" s="2277"/>
      <c r="F101" s="2287"/>
      <c r="G101" s="2117"/>
      <c r="H101" s="2117"/>
      <c r="I101" s="2118"/>
      <c r="M101" s="1441"/>
      <c r="O101" s="2281"/>
      <c r="P101" s="2282"/>
      <c r="Q101" s="2281"/>
    </row>
    <row r="102" spans="1:20" s="2280" customFormat="1" ht="13.5" customHeight="1">
      <c r="A102" s="2100">
        <v>21</v>
      </c>
      <c r="B102" s="2112">
        <v>741</v>
      </c>
      <c r="C102" s="2112" t="s">
        <v>3141</v>
      </c>
      <c r="D102" s="2112" t="s">
        <v>3142</v>
      </c>
      <c r="E102" s="2277" t="s">
        <v>210</v>
      </c>
      <c r="F102" s="2285">
        <f>SUM(F104:F104)</f>
        <v>3</v>
      </c>
      <c r="G102" s="2117"/>
      <c r="H102" s="2072">
        <f t="shared" ref="H102" si="20">ROUND(F102*G102,2)</f>
        <v>0</v>
      </c>
      <c r="I102" s="2118" t="s">
        <v>111</v>
      </c>
      <c r="M102" s="1441"/>
      <c r="O102" s="2281"/>
      <c r="P102" s="2282"/>
      <c r="Q102" s="2281"/>
    </row>
    <row r="103" spans="1:20" s="2280" customFormat="1" ht="13.5" customHeight="1">
      <c r="A103" s="2137"/>
      <c r="B103" s="2112"/>
      <c r="C103" s="2112"/>
      <c r="D103" s="2284" t="s">
        <v>3140</v>
      </c>
      <c r="E103" s="2277"/>
      <c r="F103" s="2285"/>
      <c r="G103" s="2117"/>
      <c r="H103" s="2117"/>
      <c r="I103" s="2118"/>
      <c r="J103" s="2279"/>
      <c r="O103" s="2281"/>
      <c r="P103" s="2281"/>
      <c r="Q103" s="2281"/>
      <c r="T103" s="2278"/>
    </row>
    <row r="104" spans="1:20" s="2280" customFormat="1" ht="13.5" customHeight="1">
      <c r="A104" s="2114"/>
      <c r="B104" s="2112"/>
      <c r="C104" s="2112"/>
      <c r="D104" s="2284" t="s">
        <v>1182</v>
      </c>
      <c r="E104" s="2112"/>
      <c r="F104" s="2287">
        <v>3</v>
      </c>
      <c r="G104" s="2117"/>
      <c r="H104" s="2117"/>
      <c r="I104" s="2118"/>
      <c r="M104" s="1441"/>
      <c r="O104" s="2281"/>
      <c r="P104" s="2282"/>
      <c r="Q104" s="2281"/>
    </row>
    <row r="105" spans="1:20" s="2280" customFormat="1" ht="13.5" customHeight="1">
      <c r="A105" s="2137"/>
      <c r="B105" s="2112"/>
      <c r="C105" s="2112"/>
      <c r="D105" s="2099" t="s">
        <v>3086</v>
      </c>
      <c r="E105" s="2277"/>
      <c r="F105" s="2287"/>
      <c r="G105" s="2117"/>
      <c r="H105" s="2117"/>
      <c r="I105" s="2118"/>
      <c r="M105" s="1441"/>
      <c r="O105" s="2281"/>
      <c r="P105" s="2282"/>
      <c r="Q105" s="2281"/>
    </row>
    <row r="106" spans="1:20" s="2280" customFormat="1" ht="13.5" customHeight="1">
      <c r="A106" s="2100">
        <v>22</v>
      </c>
      <c r="B106" s="2112">
        <v>741</v>
      </c>
      <c r="C106" s="2112" t="s">
        <v>3143</v>
      </c>
      <c r="D106" s="2112" t="s">
        <v>3144</v>
      </c>
      <c r="E106" s="2277" t="s">
        <v>210</v>
      </c>
      <c r="F106" s="2285">
        <f>SUM(F108:F109)</f>
        <v>2</v>
      </c>
      <c r="G106" s="2117"/>
      <c r="H106" s="2072">
        <f t="shared" ref="H106" si="21">ROUND(F106*G106,2)</f>
        <v>0</v>
      </c>
      <c r="I106" s="2118" t="s">
        <v>111</v>
      </c>
      <c r="M106" s="1441"/>
      <c r="O106" s="2281"/>
      <c r="P106" s="2282"/>
      <c r="Q106" s="2281"/>
    </row>
    <row r="107" spans="1:20" s="2280" customFormat="1" ht="13.5" customHeight="1">
      <c r="A107" s="2137"/>
      <c r="B107" s="2112"/>
      <c r="C107" s="2112"/>
      <c r="D107" s="2284" t="s">
        <v>3140</v>
      </c>
      <c r="E107" s="2277"/>
      <c r="F107" s="2285"/>
      <c r="G107" s="2117"/>
      <c r="H107" s="2117"/>
      <c r="I107" s="2118"/>
      <c r="J107" s="2279"/>
      <c r="O107" s="2281"/>
      <c r="P107" s="2281"/>
      <c r="Q107" s="2281"/>
      <c r="T107" s="2278"/>
    </row>
    <row r="108" spans="1:20" s="2280" customFormat="1" ht="13.5" customHeight="1">
      <c r="A108" s="2114"/>
      <c r="B108" s="2112"/>
      <c r="C108" s="2112"/>
      <c r="D108" s="2284" t="s">
        <v>1182</v>
      </c>
      <c r="E108" s="2112"/>
      <c r="F108" s="2287">
        <v>1</v>
      </c>
      <c r="G108" s="2117"/>
      <c r="H108" s="2117"/>
      <c r="I108" s="2118"/>
      <c r="M108" s="1441"/>
      <c r="O108" s="2281"/>
      <c r="P108" s="2282"/>
      <c r="Q108" s="2281"/>
    </row>
    <row r="109" spans="1:20" s="2280" customFormat="1" ht="13.5" customHeight="1">
      <c r="A109" s="2114"/>
      <c r="B109" s="2112"/>
      <c r="C109" s="2112"/>
      <c r="D109" s="2284" t="s">
        <v>1235</v>
      </c>
      <c r="E109" s="2112"/>
      <c r="F109" s="2287">
        <v>1</v>
      </c>
      <c r="G109" s="2117"/>
      <c r="H109" s="2117"/>
      <c r="I109" s="2118"/>
      <c r="M109" s="1441"/>
      <c r="O109" s="2281"/>
      <c r="P109" s="2282"/>
      <c r="Q109" s="2281"/>
    </row>
    <row r="110" spans="1:20" s="2280" customFormat="1" ht="13.5" customHeight="1">
      <c r="A110" s="2137"/>
      <c r="B110" s="2112"/>
      <c r="C110" s="2112"/>
      <c r="D110" s="2099" t="s">
        <v>3086</v>
      </c>
      <c r="E110" s="2277"/>
      <c r="F110" s="2287"/>
      <c r="G110" s="2117"/>
      <c r="H110" s="2117"/>
      <c r="I110" s="2118"/>
      <c r="M110" s="1441"/>
      <c r="O110" s="2281"/>
      <c r="P110" s="2282"/>
      <c r="Q110" s="2281"/>
    </row>
    <row r="111" spans="1:20" s="2280" customFormat="1" ht="13.5" customHeight="1">
      <c r="A111" s="2100">
        <v>23</v>
      </c>
      <c r="B111" s="2112">
        <v>741</v>
      </c>
      <c r="C111" s="2112" t="s">
        <v>3145</v>
      </c>
      <c r="D111" s="2112" t="s">
        <v>3146</v>
      </c>
      <c r="E111" s="2277" t="s">
        <v>210</v>
      </c>
      <c r="F111" s="2285">
        <f>SUM(F113:F115)</f>
        <v>10</v>
      </c>
      <c r="G111" s="2117"/>
      <c r="H111" s="2072">
        <f t="shared" ref="H111" si="22">ROUND(F111*G111,2)</f>
        <v>0</v>
      </c>
      <c r="I111" s="2118" t="s">
        <v>111</v>
      </c>
      <c r="M111" s="1441"/>
      <c r="O111" s="2281"/>
      <c r="P111" s="2282"/>
      <c r="Q111" s="2281"/>
    </row>
    <row r="112" spans="1:20" s="2280" customFormat="1" ht="13.5" customHeight="1">
      <c r="A112" s="2137"/>
      <c r="B112" s="2112"/>
      <c r="C112" s="2112"/>
      <c r="D112" s="2284" t="s">
        <v>3147</v>
      </c>
      <c r="E112" s="2277"/>
      <c r="F112" s="2285"/>
      <c r="G112" s="2117"/>
      <c r="H112" s="2117"/>
      <c r="I112" s="2118"/>
      <c r="J112" s="2279"/>
      <c r="O112" s="2281"/>
      <c r="P112" s="2281"/>
      <c r="Q112" s="2281"/>
      <c r="T112" s="2278"/>
    </row>
    <row r="113" spans="1:97" s="2280" customFormat="1" ht="13.5" customHeight="1">
      <c r="A113" s="2137"/>
      <c r="B113" s="2112"/>
      <c r="C113" s="2112"/>
      <c r="D113" s="2284" t="s">
        <v>1234</v>
      </c>
      <c r="E113" s="2112"/>
      <c r="F113" s="2287">
        <v>3</v>
      </c>
      <c r="G113" s="2117"/>
      <c r="H113" s="2117"/>
      <c r="I113" s="2118"/>
      <c r="M113" s="1441"/>
      <c r="O113" s="2278"/>
      <c r="P113" s="2282"/>
      <c r="Q113" s="2281"/>
    </row>
    <row r="114" spans="1:97" s="2280" customFormat="1" ht="13.5" customHeight="1">
      <c r="A114" s="2114"/>
      <c r="B114" s="2112"/>
      <c r="C114" s="2112"/>
      <c r="D114" s="2284" t="s">
        <v>1182</v>
      </c>
      <c r="E114" s="2112"/>
      <c r="F114" s="2287">
        <v>2</v>
      </c>
      <c r="G114" s="2117"/>
      <c r="H114" s="2117"/>
      <c r="I114" s="2118"/>
      <c r="M114" s="1441"/>
      <c r="O114" s="2281"/>
      <c r="P114" s="2282"/>
      <c r="Q114" s="2281"/>
    </row>
    <row r="115" spans="1:97" s="2280" customFormat="1" ht="13.5" customHeight="1">
      <c r="A115" s="2114"/>
      <c r="B115" s="2112"/>
      <c r="C115" s="2112"/>
      <c r="D115" s="2284" t="s">
        <v>1235</v>
      </c>
      <c r="E115" s="2112"/>
      <c r="F115" s="2287">
        <v>5</v>
      </c>
      <c r="G115" s="2117"/>
      <c r="H115" s="2117"/>
      <c r="I115" s="2118"/>
      <c r="M115" s="1441"/>
      <c r="O115" s="2281"/>
      <c r="P115" s="2282"/>
      <c r="Q115" s="2281"/>
    </row>
    <row r="116" spans="1:97" s="2280" customFormat="1" ht="13.5" customHeight="1">
      <c r="A116" s="2137"/>
      <c r="B116" s="2112"/>
      <c r="C116" s="2112"/>
      <c r="D116" s="2099" t="s">
        <v>3148</v>
      </c>
      <c r="E116" s="2277"/>
      <c r="F116" s="2287"/>
      <c r="G116" s="2117"/>
      <c r="H116" s="2117"/>
      <c r="I116" s="2118"/>
      <c r="M116" s="1441"/>
      <c r="O116" s="2281"/>
      <c r="P116" s="2282"/>
      <c r="Q116" s="2281"/>
    </row>
    <row r="117" spans="1:97" s="1225" customFormat="1" ht="13.5" customHeight="1">
      <c r="A117" s="2289" t="s">
        <v>1231</v>
      </c>
      <c r="B117" s="2082">
        <v>741</v>
      </c>
      <c r="C117" s="2082">
        <v>998741312</v>
      </c>
      <c r="D117" s="2082" t="s">
        <v>3149</v>
      </c>
      <c r="E117" s="2082" t="s">
        <v>10</v>
      </c>
      <c r="F117" s="2083">
        <v>0.78</v>
      </c>
      <c r="G117" s="2079"/>
      <c r="H117" s="2072">
        <f t="shared" ref="H117:H118" si="23">ROUND(F117*G117,2)</f>
        <v>0</v>
      </c>
      <c r="I117" s="2085" t="s">
        <v>1927</v>
      </c>
      <c r="J117" s="1222"/>
      <c r="K117" s="1223"/>
      <c r="L117" s="1224"/>
      <c r="M117" s="1224"/>
      <c r="N117" s="1224"/>
      <c r="O117" s="1224"/>
      <c r="P117" s="1224"/>
      <c r="Q117" s="1191"/>
      <c r="R117" s="1191"/>
      <c r="S117" s="1191"/>
      <c r="T117" s="1191"/>
      <c r="U117" s="1191"/>
      <c r="V117" s="1191"/>
      <c r="W117" s="1191"/>
      <c r="X117" s="1191"/>
      <c r="Y117" s="1191"/>
      <c r="Z117" s="1191"/>
      <c r="AA117" s="1191"/>
      <c r="AB117" s="1191"/>
      <c r="AC117" s="1191"/>
      <c r="AD117" s="1191"/>
      <c r="AE117" s="1191"/>
      <c r="AF117" s="1191"/>
      <c r="AG117" s="1191"/>
      <c r="AH117" s="1191"/>
      <c r="AI117" s="1191"/>
      <c r="AJ117" s="1191"/>
      <c r="AK117" s="1191"/>
      <c r="AL117" s="1191"/>
      <c r="AM117" s="1191"/>
      <c r="AN117" s="1191"/>
      <c r="AO117" s="1191"/>
      <c r="AP117" s="1191"/>
      <c r="AQ117" s="1191"/>
      <c r="AR117" s="1191"/>
      <c r="AS117" s="1191"/>
      <c r="AT117" s="1191"/>
      <c r="AU117" s="1191"/>
      <c r="AV117" s="1191"/>
      <c r="AW117" s="1191"/>
      <c r="AX117" s="1191"/>
      <c r="AY117" s="1191"/>
      <c r="AZ117" s="1191"/>
      <c r="BA117" s="1191"/>
      <c r="BB117" s="1191"/>
      <c r="BC117" s="1191"/>
      <c r="BD117" s="1191"/>
      <c r="BE117" s="1191"/>
      <c r="BF117" s="1191"/>
      <c r="BG117" s="1191"/>
      <c r="BH117" s="1191"/>
      <c r="BI117" s="1191"/>
      <c r="BJ117" s="1191"/>
      <c r="BK117" s="1191"/>
      <c r="BL117" s="1191"/>
      <c r="BM117" s="1191"/>
      <c r="BN117" s="1191"/>
      <c r="BO117" s="1191"/>
      <c r="BP117" s="1191"/>
      <c r="BQ117" s="1191"/>
      <c r="BR117" s="1191"/>
      <c r="BS117" s="1191"/>
      <c r="BT117" s="1191"/>
      <c r="BU117" s="1191"/>
      <c r="BV117" s="1191"/>
      <c r="BW117" s="1191"/>
      <c r="BX117" s="1191"/>
      <c r="BY117" s="1191"/>
      <c r="BZ117" s="1191"/>
      <c r="CA117" s="1191"/>
      <c r="CB117" s="1191"/>
      <c r="CC117" s="1191"/>
      <c r="CD117" s="1191"/>
      <c r="CE117" s="1191"/>
      <c r="CF117" s="1191"/>
      <c r="CG117" s="1191"/>
      <c r="CH117" s="1191"/>
      <c r="CI117" s="1191"/>
      <c r="CJ117" s="1191"/>
      <c r="CK117" s="1191"/>
      <c r="CL117" s="1191"/>
      <c r="CM117" s="1191"/>
      <c r="CN117" s="1191"/>
      <c r="CO117" s="1191"/>
      <c r="CP117" s="1191"/>
      <c r="CQ117" s="1191"/>
      <c r="CR117" s="1191"/>
      <c r="CS117" s="1191"/>
    </row>
    <row r="118" spans="1:97" s="1227" customFormat="1" ht="13.5" customHeight="1">
      <c r="A118" s="2289" t="s">
        <v>1236</v>
      </c>
      <c r="B118" s="2082" t="s">
        <v>369</v>
      </c>
      <c r="C118" s="2082" t="s">
        <v>1928</v>
      </c>
      <c r="D118" s="2082" t="s">
        <v>1929</v>
      </c>
      <c r="E118" s="2082" t="s">
        <v>69</v>
      </c>
      <c r="F118" s="2101">
        <f>ROUND(SUM(F119),3)</f>
        <v>20</v>
      </c>
      <c r="G118" s="2079"/>
      <c r="H118" s="2072">
        <f t="shared" si="23"/>
        <v>0</v>
      </c>
      <c r="I118" s="2085" t="s">
        <v>1927</v>
      </c>
      <c r="J118" s="1197"/>
      <c r="K118" s="1224"/>
      <c r="L118" s="1224"/>
      <c r="M118" s="1224"/>
      <c r="N118" s="1224"/>
      <c r="O118" s="1224"/>
      <c r="P118" s="1224"/>
      <c r="Q118" s="1226"/>
      <c r="R118" s="1226"/>
      <c r="S118" s="1226"/>
      <c r="T118" s="1226"/>
      <c r="U118" s="1226"/>
      <c r="V118" s="1226"/>
      <c r="W118" s="1226"/>
      <c r="X118" s="1226"/>
      <c r="Y118" s="1226"/>
      <c r="Z118" s="1226"/>
      <c r="AA118" s="1226"/>
      <c r="AB118" s="1226"/>
      <c r="AC118" s="1226"/>
      <c r="AD118" s="1226"/>
      <c r="AE118" s="1226"/>
      <c r="AF118" s="1226"/>
      <c r="AG118" s="1226"/>
      <c r="AH118" s="1226"/>
      <c r="AI118" s="1226"/>
      <c r="AJ118" s="1226"/>
      <c r="AK118" s="1226"/>
      <c r="AL118" s="1226"/>
      <c r="AM118" s="1226"/>
      <c r="AN118" s="1226"/>
      <c r="AO118" s="1226"/>
      <c r="AP118" s="1226"/>
      <c r="AQ118" s="1226"/>
      <c r="AR118" s="1226"/>
      <c r="AS118" s="1226"/>
      <c r="AT118" s="1226"/>
      <c r="AU118" s="1226"/>
      <c r="AV118" s="1226"/>
      <c r="AW118" s="1226"/>
      <c r="AX118" s="1226"/>
      <c r="AY118" s="1226"/>
      <c r="AZ118" s="1226"/>
      <c r="BA118" s="1226"/>
      <c r="BB118" s="1226"/>
      <c r="BC118" s="1226"/>
      <c r="BD118" s="1226"/>
      <c r="BE118" s="1226"/>
      <c r="BF118" s="1226"/>
      <c r="BG118" s="1226"/>
      <c r="BH118" s="1226"/>
      <c r="BI118" s="1226"/>
      <c r="BJ118" s="1226"/>
      <c r="BK118" s="1226"/>
      <c r="BL118" s="1226"/>
      <c r="BM118" s="1226"/>
      <c r="BN118" s="1226"/>
      <c r="BO118" s="1226"/>
      <c r="BP118" s="1226"/>
      <c r="BQ118" s="1226"/>
      <c r="BR118" s="1226"/>
      <c r="BS118" s="1226"/>
      <c r="BT118" s="1226"/>
      <c r="BU118" s="1226"/>
      <c r="BV118" s="1226"/>
      <c r="BW118" s="1226"/>
      <c r="BX118" s="1226"/>
      <c r="BY118" s="1226"/>
      <c r="BZ118" s="1226"/>
      <c r="CA118" s="1226"/>
      <c r="CB118" s="1226"/>
      <c r="CC118" s="1226"/>
      <c r="CD118" s="1226"/>
      <c r="CE118" s="1226"/>
      <c r="CF118" s="1226"/>
      <c r="CG118" s="1226"/>
      <c r="CH118" s="1226"/>
      <c r="CI118" s="1226"/>
      <c r="CJ118" s="1226"/>
      <c r="CK118" s="1226"/>
      <c r="CL118" s="1226"/>
      <c r="CM118" s="1226"/>
      <c r="CN118" s="1226"/>
      <c r="CO118" s="1226"/>
      <c r="CP118" s="1226"/>
      <c r="CQ118" s="1226"/>
      <c r="CR118" s="1226"/>
      <c r="CS118" s="1226"/>
    </row>
    <row r="119" spans="1:97" s="1227" customFormat="1" ht="13.5" customHeight="1">
      <c r="A119" s="2289"/>
      <c r="B119" s="2082"/>
      <c r="C119" s="2082"/>
      <c r="D119" s="2077" t="s">
        <v>1930</v>
      </c>
      <c r="E119" s="2082"/>
      <c r="F119" s="2078">
        <v>20</v>
      </c>
      <c r="G119" s="2079"/>
      <c r="H119" s="2079"/>
      <c r="I119" s="2085"/>
      <c r="J119" s="1226"/>
      <c r="K119" s="1224"/>
      <c r="L119" s="1224"/>
      <c r="M119" s="1224"/>
      <c r="N119" s="1224"/>
      <c r="O119" s="1224"/>
      <c r="P119" s="1224"/>
      <c r="Q119" s="1226"/>
      <c r="R119" s="1226"/>
      <c r="S119" s="1226"/>
      <c r="T119" s="1226"/>
      <c r="U119" s="1226"/>
      <c r="V119" s="1226"/>
      <c r="W119" s="1226"/>
      <c r="X119" s="1226"/>
      <c r="Y119" s="1226"/>
      <c r="Z119" s="1226"/>
      <c r="AA119" s="1226"/>
      <c r="AB119" s="1226"/>
      <c r="AC119" s="1226"/>
      <c r="AD119" s="1226"/>
      <c r="AE119" s="1226"/>
      <c r="AF119" s="1226"/>
      <c r="AG119" s="1226"/>
      <c r="AH119" s="1226"/>
      <c r="AI119" s="1226"/>
      <c r="AJ119" s="1226"/>
      <c r="AK119" s="1226"/>
      <c r="AL119" s="1226"/>
      <c r="AM119" s="1226"/>
      <c r="AN119" s="1226"/>
      <c r="AO119" s="1226"/>
      <c r="AP119" s="1226"/>
      <c r="AQ119" s="1226"/>
      <c r="AR119" s="1226"/>
      <c r="AS119" s="1226"/>
      <c r="AT119" s="1226"/>
      <c r="AU119" s="1226"/>
      <c r="AV119" s="1226"/>
      <c r="AW119" s="1226"/>
      <c r="AX119" s="1226"/>
      <c r="AY119" s="1226"/>
      <c r="AZ119" s="1226"/>
      <c r="BA119" s="1226"/>
      <c r="BB119" s="1226"/>
      <c r="BC119" s="1226"/>
      <c r="BD119" s="1226"/>
      <c r="BE119" s="1226"/>
      <c r="BF119" s="1226"/>
      <c r="BG119" s="1226"/>
      <c r="BH119" s="1226"/>
      <c r="BI119" s="1226"/>
      <c r="BJ119" s="1226"/>
      <c r="BK119" s="1226"/>
      <c r="BL119" s="1226"/>
      <c r="BM119" s="1226"/>
      <c r="BN119" s="1226"/>
      <c r="BO119" s="1226"/>
      <c r="BP119" s="1226"/>
      <c r="BQ119" s="1226"/>
      <c r="BR119" s="1226"/>
      <c r="BS119" s="1226"/>
      <c r="BT119" s="1226"/>
      <c r="BU119" s="1226"/>
      <c r="BV119" s="1226"/>
      <c r="BW119" s="1226"/>
      <c r="BX119" s="1226"/>
      <c r="BY119" s="1226"/>
      <c r="BZ119" s="1226"/>
      <c r="CA119" s="1226"/>
      <c r="CB119" s="1226"/>
      <c r="CC119" s="1226"/>
      <c r="CD119" s="1226"/>
      <c r="CE119" s="1226"/>
      <c r="CF119" s="1226"/>
      <c r="CG119" s="1226"/>
      <c r="CH119" s="1226"/>
      <c r="CI119" s="1226"/>
      <c r="CJ119" s="1226"/>
      <c r="CK119" s="1226"/>
      <c r="CL119" s="1226"/>
      <c r="CM119" s="1226"/>
      <c r="CN119" s="1226"/>
      <c r="CO119" s="1226"/>
      <c r="CP119" s="1226"/>
      <c r="CQ119" s="1226"/>
      <c r="CR119" s="1226"/>
      <c r="CS119" s="1226"/>
    </row>
    <row r="120" spans="1:97" s="1227" customFormat="1" ht="27" customHeight="1">
      <c r="A120" s="2289"/>
      <c r="B120" s="2082"/>
      <c r="C120" s="2082"/>
      <c r="D120" s="2077" t="s">
        <v>1931</v>
      </c>
      <c r="E120" s="2082"/>
      <c r="F120" s="2083"/>
      <c r="G120" s="2079"/>
      <c r="H120" s="2079"/>
      <c r="I120" s="2085"/>
      <c r="J120" s="1226"/>
      <c r="K120" s="1224"/>
      <c r="L120" s="1224"/>
      <c r="M120" s="1224"/>
      <c r="N120" s="1230"/>
      <c r="O120" s="1224"/>
      <c r="P120" s="1224"/>
      <c r="Q120" s="1226"/>
      <c r="R120" s="1226"/>
      <c r="S120" s="1226"/>
      <c r="T120" s="1226"/>
      <c r="U120" s="1226"/>
      <c r="V120" s="1226"/>
      <c r="W120" s="1226"/>
      <c r="X120" s="1226"/>
      <c r="Y120" s="1226"/>
      <c r="Z120" s="1226"/>
      <c r="AA120" s="1226"/>
      <c r="AB120" s="1226"/>
      <c r="AC120" s="1226"/>
      <c r="AD120" s="1226"/>
      <c r="AE120" s="1226"/>
      <c r="AF120" s="1226"/>
      <c r="AG120" s="1226"/>
      <c r="AH120" s="1226"/>
      <c r="AI120" s="1226"/>
      <c r="AJ120" s="1226"/>
      <c r="AK120" s="1226"/>
      <c r="AL120" s="1226"/>
      <c r="AM120" s="1226"/>
      <c r="AN120" s="1226"/>
      <c r="AO120" s="1226"/>
      <c r="AP120" s="1226"/>
      <c r="AQ120" s="1226"/>
      <c r="AR120" s="1226"/>
      <c r="AS120" s="1226"/>
      <c r="AT120" s="1226"/>
      <c r="AU120" s="1226"/>
      <c r="AV120" s="1226"/>
      <c r="AW120" s="1226"/>
      <c r="AX120" s="1226"/>
      <c r="AY120" s="1226"/>
      <c r="AZ120" s="1226"/>
      <c r="BA120" s="1226"/>
      <c r="BB120" s="1226"/>
      <c r="BC120" s="1226"/>
      <c r="BD120" s="1226"/>
      <c r="BE120" s="1226"/>
      <c r="BF120" s="1226"/>
      <c r="BG120" s="1226"/>
      <c r="BH120" s="1226"/>
      <c r="BI120" s="1226"/>
      <c r="BJ120" s="1226"/>
      <c r="BK120" s="1226"/>
      <c r="BL120" s="1226"/>
      <c r="BM120" s="1226"/>
      <c r="BN120" s="1226"/>
      <c r="BO120" s="1226"/>
      <c r="BP120" s="1226"/>
      <c r="BQ120" s="1226"/>
      <c r="BR120" s="1226"/>
      <c r="BS120" s="1226"/>
      <c r="BT120" s="1226"/>
      <c r="BU120" s="1226"/>
      <c r="BV120" s="1226"/>
      <c r="BW120" s="1226"/>
      <c r="BX120" s="1226"/>
      <c r="BY120" s="1226"/>
      <c r="BZ120" s="1226"/>
      <c r="CA120" s="1226"/>
      <c r="CB120" s="1226"/>
      <c r="CC120" s="1226"/>
      <c r="CD120" s="1226"/>
      <c r="CE120" s="1226"/>
      <c r="CF120" s="1226"/>
      <c r="CG120" s="1226"/>
      <c r="CH120" s="1226"/>
      <c r="CI120" s="1226"/>
      <c r="CJ120" s="1226"/>
      <c r="CK120" s="1226"/>
      <c r="CL120" s="1226"/>
      <c r="CM120" s="1226"/>
      <c r="CN120" s="1226"/>
      <c r="CO120" s="1226"/>
      <c r="CP120" s="1226"/>
      <c r="CQ120" s="1226"/>
      <c r="CR120" s="1226"/>
      <c r="CS120" s="1226"/>
    </row>
    <row r="121" spans="1:97" s="1191" customFormat="1" ht="13.5" customHeight="1">
      <c r="A121" s="2290"/>
      <c r="B121" s="2076"/>
      <c r="C121" s="2076">
        <v>741</v>
      </c>
      <c r="D121" s="2076" t="s">
        <v>1932</v>
      </c>
      <c r="E121" s="2076"/>
      <c r="F121" s="2128"/>
      <c r="G121" s="2130"/>
      <c r="H121" s="2130">
        <f>SUM(H122:H199)</f>
        <v>0</v>
      </c>
      <c r="I121" s="2080"/>
      <c r="K121" s="1224"/>
      <c r="L121" s="1224"/>
      <c r="M121" s="1224"/>
      <c r="N121" s="1224"/>
      <c r="O121" s="1224"/>
      <c r="P121" s="1224"/>
    </row>
    <row r="122" spans="1:97" s="1234" customFormat="1" ht="13.5" customHeight="1">
      <c r="A122" s="2100">
        <v>26</v>
      </c>
      <c r="B122" s="2082">
        <v>741</v>
      </c>
      <c r="C122" s="2082" t="s">
        <v>3150</v>
      </c>
      <c r="D122" s="2082" t="s">
        <v>3151</v>
      </c>
      <c r="E122" s="2090" t="s">
        <v>210</v>
      </c>
      <c r="F122" s="2083">
        <f>ROUND(SUM(F124:F126),3)</f>
        <v>261</v>
      </c>
      <c r="G122" s="2117"/>
      <c r="H122" s="2072">
        <f t="shared" ref="H122" si="24">ROUND(F122*G122,2)</f>
        <v>0</v>
      </c>
      <c r="I122" s="2118" t="s">
        <v>111</v>
      </c>
      <c r="J122" s="2291"/>
      <c r="K122" s="1896"/>
      <c r="L122" s="2292"/>
      <c r="M122" s="2292"/>
      <c r="N122" s="2292"/>
      <c r="O122" s="2292"/>
      <c r="P122" s="2292"/>
      <c r="Q122" s="2292"/>
      <c r="R122" s="2292"/>
      <c r="S122" s="2292"/>
      <c r="T122" s="2292"/>
      <c r="U122" s="2292"/>
      <c r="V122" s="2292"/>
      <c r="W122" s="2293"/>
      <c r="X122" s="2293"/>
      <c r="Y122" s="2292"/>
      <c r="Z122" s="2292"/>
    </row>
    <row r="123" spans="1:97" s="1234" customFormat="1" ht="13.5" customHeight="1">
      <c r="A123" s="2137"/>
      <c r="B123" s="2082"/>
      <c r="C123" s="2082"/>
      <c r="D123" s="2099" t="s">
        <v>3152</v>
      </c>
      <c r="E123" s="2090"/>
      <c r="F123" s="2172"/>
      <c r="G123" s="2079"/>
      <c r="H123" s="2079"/>
      <c r="I123" s="2085"/>
      <c r="J123" s="1488"/>
      <c r="K123" s="2294"/>
      <c r="L123" s="2295"/>
      <c r="M123" s="2295"/>
      <c r="N123" s="2295"/>
      <c r="O123" s="2295"/>
      <c r="P123" s="2295"/>
      <c r="Q123" s="2295"/>
      <c r="R123" s="2295"/>
      <c r="S123" s="2295"/>
      <c r="T123" s="2295"/>
      <c r="U123" s="2295"/>
      <c r="V123" s="2295"/>
      <c r="W123" s="2291"/>
      <c r="X123" s="2296"/>
      <c r="Y123" s="2295"/>
      <c r="Z123" s="2295"/>
    </row>
    <row r="124" spans="1:97" s="1234" customFormat="1" ht="13.5" customHeight="1">
      <c r="A124" s="2297"/>
      <c r="B124" s="2297"/>
      <c r="C124" s="2297"/>
      <c r="D124" s="2077" t="s">
        <v>1032</v>
      </c>
      <c r="E124" s="2082"/>
      <c r="F124" s="2287">
        <v>2</v>
      </c>
      <c r="G124" s="2079"/>
      <c r="H124" s="2079"/>
      <c r="I124" s="2085"/>
      <c r="K124" s="1567"/>
    </row>
    <row r="125" spans="1:97" s="1234" customFormat="1" ht="13.5" customHeight="1">
      <c r="A125" s="2297"/>
      <c r="B125" s="2297"/>
      <c r="C125" s="2297"/>
      <c r="D125" s="2077" t="s">
        <v>1040</v>
      </c>
      <c r="E125" s="2082"/>
      <c r="F125" s="2287">
        <v>65</v>
      </c>
      <c r="G125" s="2079"/>
      <c r="H125" s="2079"/>
      <c r="I125" s="2085"/>
      <c r="K125" s="1567"/>
    </row>
    <row r="126" spans="1:97" s="1234" customFormat="1" ht="13.5" customHeight="1">
      <c r="A126" s="2143"/>
      <c r="B126" s="2082"/>
      <c r="C126" s="2082"/>
      <c r="D126" s="2077" t="s">
        <v>1235</v>
      </c>
      <c r="E126" s="2082"/>
      <c r="F126" s="2287">
        <v>194</v>
      </c>
      <c r="G126" s="2079"/>
      <c r="H126" s="2079"/>
      <c r="I126" s="2085"/>
    </row>
    <row r="127" spans="1:97" s="1234" customFormat="1" ht="13.5" customHeight="1">
      <c r="A127" s="2143"/>
      <c r="B127" s="2082"/>
      <c r="C127" s="2082"/>
      <c r="D127" s="2099" t="s">
        <v>3153</v>
      </c>
      <c r="E127" s="2090"/>
      <c r="F127" s="2078"/>
      <c r="G127" s="2079"/>
      <c r="H127" s="2079"/>
      <c r="I127" s="2085"/>
      <c r="N127" s="1236"/>
    </row>
    <row r="128" spans="1:97" s="1234" customFormat="1" ht="13.5" customHeight="1">
      <c r="A128" s="2100">
        <v>27</v>
      </c>
      <c r="B128" s="2082">
        <v>741</v>
      </c>
      <c r="C128" s="2082" t="s">
        <v>3154</v>
      </c>
      <c r="D128" s="2082" t="s">
        <v>3155</v>
      </c>
      <c r="E128" s="2090" t="s">
        <v>210</v>
      </c>
      <c r="F128" s="2083">
        <f>ROUND(SUM(F130:F132),3)</f>
        <v>71</v>
      </c>
      <c r="G128" s="2117"/>
      <c r="H128" s="2072">
        <f t="shared" ref="H128" si="25">ROUND(F128*G128,2)</f>
        <v>0</v>
      </c>
      <c r="I128" s="2118" t="s">
        <v>111</v>
      </c>
      <c r="J128" s="2291"/>
      <c r="K128" s="1896"/>
      <c r="L128" s="2292"/>
      <c r="M128" s="2292"/>
      <c r="N128" s="2292"/>
      <c r="O128" s="2292"/>
      <c r="P128" s="2292"/>
      <c r="Q128" s="2292"/>
      <c r="R128" s="2292"/>
      <c r="S128" s="2292"/>
      <c r="T128" s="2292"/>
      <c r="U128" s="2292"/>
      <c r="V128" s="2292"/>
      <c r="W128" s="2293"/>
      <c r="X128" s="2293"/>
      <c r="Y128" s="2292"/>
      <c r="Z128" s="2292"/>
    </row>
    <row r="129" spans="1:26" s="1234" customFormat="1" ht="13.5" customHeight="1">
      <c r="A129" s="2137"/>
      <c r="B129" s="2082"/>
      <c r="C129" s="2082"/>
      <c r="D129" s="2099" t="s">
        <v>3156</v>
      </c>
      <c r="E129" s="2090"/>
      <c r="F129" s="2172"/>
      <c r="G129" s="2079"/>
      <c r="H129" s="2079"/>
      <c r="I129" s="2085"/>
      <c r="J129" s="1488"/>
      <c r="K129" s="2294"/>
      <c r="L129" s="2295"/>
      <c r="M129" s="2295"/>
      <c r="N129" s="2295"/>
      <c r="O129" s="2295"/>
      <c r="P129" s="2295"/>
      <c r="Q129" s="2295"/>
      <c r="R129" s="2295"/>
      <c r="S129" s="2295"/>
      <c r="T129" s="2295"/>
      <c r="U129" s="2295"/>
      <c r="V129" s="2295"/>
      <c r="W129" s="2291"/>
      <c r="X129" s="2296"/>
      <c r="Y129" s="2295"/>
      <c r="Z129" s="2295"/>
    </row>
    <row r="130" spans="1:26" s="1234" customFormat="1" ht="13.5" customHeight="1">
      <c r="A130" s="2137"/>
      <c r="B130" s="2082"/>
      <c r="C130" s="2082"/>
      <c r="D130" s="2077" t="s">
        <v>1032</v>
      </c>
      <c r="E130" s="2082"/>
      <c r="F130" s="2287">
        <v>15</v>
      </c>
      <c r="G130" s="2079"/>
      <c r="H130" s="2079"/>
      <c r="I130" s="2085"/>
    </row>
    <row r="131" spans="1:26" s="1234" customFormat="1" ht="13.5" customHeight="1">
      <c r="A131" s="2137"/>
      <c r="B131" s="2082"/>
      <c r="C131" s="2082"/>
      <c r="D131" s="2077" t="s">
        <v>1040</v>
      </c>
      <c r="E131" s="2082"/>
      <c r="F131" s="2287">
        <v>53</v>
      </c>
      <c r="G131" s="2079"/>
      <c r="H131" s="2079"/>
      <c r="I131" s="2085"/>
    </row>
    <row r="132" spans="1:26" s="1234" customFormat="1" ht="13.5" customHeight="1">
      <c r="A132" s="2137"/>
      <c r="B132" s="2082"/>
      <c r="C132" s="2082"/>
      <c r="D132" s="2077" t="s">
        <v>1235</v>
      </c>
      <c r="E132" s="2082"/>
      <c r="F132" s="2287">
        <v>3</v>
      </c>
      <c r="G132" s="2079"/>
      <c r="H132" s="2079"/>
      <c r="I132" s="2085"/>
    </row>
    <row r="133" spans="1:26" s="1234" customFormat="1" ht="13.5" customHeight="1">
      <c r="A133" s="2137"/>
      <c r="B133" s="2082"/>
      <c r="C133" s="2082"/>
      <c r="D133" s="2099" t="s">
        <v>3153</v>
      </c>
      <c r="E133" s="2090"/>
      <c r="F133" s="2078"/>
      <c r="G133" s="2079"/>
      <c r="H133" s="2079"/>
      <c r="I133" s="2085"/>
    </row>
    <row r="134" spans="1:26" s="1234" customFormat="1" ht="13.5" customHeight="1">
      <c r="A134" s="2100">
        <v>28</v>
      </c>
      <c r="B134" s="2082">
        <v>741</v>
      </c>
      <c r="C134" s="2082" t="s">
        <v>3157</v>
      </c>
      <c r="D134" s="2082" t="s">
        <v>3158</v>
      </c>
      <c r="E134" s="2090" t="s">
        <v>210</v>
      </c>
      <c r="F134" s="2083">
        <f>ROUND(SUM(F136:F137),3)</f>
        <v>14</v>
      </c>
      <c r="G134" s="2117"/>
      <c r="H134" s="2072">
        <f t="shared" ref="H134" si="26">ROUND(F134*G134,2)</f>
        <v>0</v>
      </c>
      <c r="I134" s="2118" t="s">
        <v>111</v>
      </c>
      <c r="J134" s="2291"/>
      <c r="K134" s="1896"/>
      <c r="W134" s="2293"/>
    </row>
    <row r="135" spans="1:26" s="1234" customFormat="1" ht="13.5" customHeight="1">
      <c r="A135" s="2137"/>
      <c r="B135" s="2082"/>
      <c r="C135" s="2082"/>
      <c r="D135" s="2099" t="s">
        <v>3159</v>
      </c>
      <c r="E135" s="2090"/>
      <c r="F135" s="2172"/>
      <c r="G135" s="2079"/>
      <c r="H135" s="2079"/>
      <c r="I135" s="2085"/>
      <c r="J135" s="1488"/>
      <c r="W135" s="2291"/>
    </row>
    <row r="136" spans="1:26" s="1234" customFormat="1" ht="13.5" customHeight="1">
      <c r="A136" s="2137"/>
      <c r="B136" s="2082"/>
      <c r="C136" s="2082"/>
      <c r="D136" s="2077" t="s">
        <v>1040</v>
      </c>
      <c r="E136" s="2082"/>
      <c r="F136" s="2287">
        <v>12</v>
      </c>
      <c r="G136" s="2079"/>
      <c r="H136" s="2079"/>
      <c r="I136" s="2085"/>
      <c r="W136" s="2291"/>
    </row>
    <row r="137" spans="1:26" s="1234" customFormat="1" ht="13.5" customHeight="1">
      <c r="A137" s="2137"/>
      <c r="B137" s="2082"/>
      <c r="C137" s="2082"/>
      <c r="D137" s="2077" t="s">
        <v>1235</v>
      </c>
      <c r="E137" s="2082"/>
      <c r="F137" s="2287">
        <v>2</v>
      </c>
      <c r="G137" s="2079"/>
      <c r="H137" s="2079"/>
      <c r="I137" s="2085"/>
    </row>
    <row r="138" spans="1:26" s="1234" customFormat="1" ht="13.5" customHeight="1">
      <c r="A138" s="2137"/>
      <c r="B138" s="2082"/>
      <c r="C138" s="2082"/>
      <c r="D138" s="2099" t="s">
        <v>3153</v>
      </c>
      <c r="F138" s="1236"/>
      <c r="G138" s="2079"/>
      <c r="H138" s="2079"/>
      <c r="I138" s="2085"/>
    </row>
    <row r="139" spans="1:26" s="1234" customFormat="1" ht="13.5" customHeight="1">
      <c r="A139" s="2100">
        <v>29</v>
      </c>
      <c r="B139" s="2082">
        <v>741</v>
      </c>
      <c r="C139" s="2082" t="s">
        <v>3160</v>
      </c>
      <c r="D139" s="2082" t="s">
        <v>3161</v>
      </c>
      <c r="E139" s="2090" t="s">
        <v>210</v>
      </c>
      <c r="F139" s="2083">
        <f>ROUND(SUM(F141:F141),3)</f>
        <v>8</v>
      </c>
      <c r="G139" s="2117"/>
      <c r="H139" s="2072">
        <f t="shared" ref="H139" si="27">ROUND(F139*G139,2)</f>
        <v>0</v>
      </c>
      <c r="I139" s="2118" t="s">
        <v>111</v>
      </c>
      <c r="J139" s="2291"/>
      <c r="K139" s="1896"/>
      <c r="L139" s="2292"/>
      <c r="M139" s="2292"/>
      <c r="N139" s="2292"/>
      <c r="O139" s="2292"/>
      <c r="P139" s="2292"/>
      <c r="Q139" s="2292"/>
      <c r="R139" s="2292"/>
      <c r="S139" s="2292"/>
      <c r="T139" s="2292"/>
      <c r="U139" s="2292"/>
      <c r="V139" s="2292"/>
      <c r="W139" s="2293"/>
      <c r="X139" s="2293"/>
      <c r="Y139" s="2292"/>
      <c r="Z139" s="2292"/>
    </row>
    <row r="140" spans="1:26" s="1234" customFormat="1" ht="13.5" customHeight="1">
      <c r="A140" s="2137"/>
      <c r="B140" s="2082"/>
      <c r="C140" s="2082"/>
      <c r="D140" s="2099" t="s">
        <v>3162</v>
      </c>
      <c r="E140" s="2090"/>
      <c r="F140" s="2172"/>
      <c r="G140" s="2079"/>
      <c r="H140" s="2079"/>
      <c r="I140" s="2085"/>
      <c r="J140" s="1488"/>
      <c r="K140" s="2294"/>
      <c r="L140" s="2295"/>
      <c r="M140" s="2295"/>
      <c r="N140" s="2295"/>
      <c r="O140" s="2295"/>
      <c r="P140" s="2295"/>
      <c r="Q140" s="2295"/>
      <c r="R140" s="2295"/>
      <c r="S140" s="2295"/>
      <c r="T140" s="2295"/>
      <c r="U140" s="2295"/>
      <c r="V140" s="2295"/>
      <c r="W140" s="2291"/>
      <c r="X140" s="2296"/>
      <c r="Y140" s="2295"/>
      <c r="Z140" s="2295"/>
    </row>
    <row r="141" spans="1:26" s="1234" customFormat="1" ht="13.5" customHeight="1">
      <c r="A141" s="2143"/>
      <c r="B141" s="2082"/>
      <c r="C141" s="2082"/>
      <c r="D141" s="2077" t="s">
        <v>1235</v>
      </c>
      <c r="E141" s="2082"/>
      <c r="F141" s="2287">
        <v>8</v>
      </c>
      <c r="G141" s="2079"/>
      <c r="H141" s="2079"/>
      <c r="I141" s="2085"/>
    </row>
    <row r="142" spans="1:26" s="1234" customFormat="1" ht="13.5" customHeight="1">
      <c r="A142" s="2143"/>
      <c r="B142" s="2082"/>
      <c r="C142" s="2082"/>
      <c r="D142" s="2099" t="s">
        <v>3153</v>
      </c>
      <c r="E142" s="2090"/>
      <c r="F142" s="2078"/>
      <c r="G142" s="2079"/>
      <c r="H142" s="2079"/>
      <c r="I142" s="2085"/>
      <c r="N142" s="1236"/>
    </row>
    <row r="143" spans="1:26" s="1234" customFormat="1" ht="13.5" customHeight="1">
      <c r="A143" s="2100">
        <v>30</v>
      </c>
      <c r="B143" s="2082">
        <v>741</v>
      </c>
      <c r="C143" s="2082" t="s">
        <v>3163</v>
      </c>
      <c r="D143" s="2122" t="s">
        <v>3164</v>
      </c>
      <c r="E143" s="2090" t="s">
        <v>210</v>
      </c>
      <c r="F143" s="2083">
        <f>ROUND(SUM(F145:F146),3)</f>
        <v>55</v>
      </c>
      <c r="G143" s="2117"/>
      <c r="H143" s="2072">
        <f t="shared" ref="H143" si="28">ROUND(F143*G143,2)</f>
        <v>0</v>
      </c>
      <c r="I143" s="2118" t="s">
        <v>111</v>
      </c>
      <c r="J143" s="1235"/>
      <c r="K143" s="1527"/>
      <c r="L143" s="1527"/>
      <c r="M143" s="1527"/>
      <c r="N143" s="1527"/>
      <c r="O143" s="1527"/>
      <c r="P143" s="1527"/>
      <c r="Q143" s="1527"/>
      <c r="R143" s="2298"/>
      <c r="S143" s="2134"/>
      <c r="T143" s="2134"/>
      <c r="U143" s="2298"/>
      <c r="V143" s="2292"/>
      <c r="W143" s="2293"/>
    </row>
    <row r="144" spans="1:26" s="1234" customFormat="1" ht="13.5" customHeight="1">
      <c r="A144" s="2137"/>
      <c r="B144" s="2082"/>
      <c r="C144" s="2082"/>
      <c r="D144" s="2077" t="s">
        <v>3165</v>
      </c>
      <c r="E144" s="2090"/>
      <c r="F144" s="2078"/>
      <c r="G144" s="2079"/>
      <c r="H144" s="2079"/>
      <c r="I144" s="2085"/>
      <c r="J144" s="2299"/>
      <c r="K144" s="1527"/>
      <c r="L144" s="1527"/>
      <c r="M144" s="1527"/>
      <c r="N144" s="1527"/>
      <c r="O144" s="1527"/>
      <c r="P144" s="1527"/>
      <c r="Q144" s="1527"/>
      <c r="R144" s="1235"/>
      <c r="S144" s="2134"/>
      <c r="T144" s="2134"/>
      <c r="U144" s="1235"/>
      <c r="V144" s="2295"/>
      <c r="W144" s="2291"/>
    </row>
    <row r="145" spans="1:23" s="1234" customFormat="1" ht="13.5" customHeight="1">
      <c r="A145" s="2137"/>
      <c r="B145" s="2082"/>
      <c r="C145" s="2082"/>
      <c r="D145" s="2077" t="s">
        <v>1040</v>
      </c>
      <c r="E145" s="2082"/>
      <c r="F145" s="2287">
        <v>23</v>
      </c>
      <c r="G145" s="2079"/>
      <c r="H145" s="2079"/>
      <c r="I145" s="2085"/>
    </row>
    <row r="146" spans="1:23" s="1234" customFormat="1" ht="13.5" customHeight="1">
      <c r="A146" s="2137"/>
      <c r="B146" s="2082"/>
      <c r="C146" s="2082"/>
      <c r="D146" s="2077" t="s">
        <v>1235</v>
      </c>
      <c r="E146" s="2082"/>
      <c r="F146" s="2287">
        <v>32</v>
      </c>
      <c r="G146" s="2079"/>
      <c r="H146" s="2079"/>
      <c r="I146" s="2085"/>
    </row>
    <row r="147" spans="1:23" s="1234" customFormat="1" ht="13.5" customHeight="1">
      <c r="A147" s="2137"/>
      <c r="B147" s="2082"/>
      <c r="C147" s="2082"/>
      <c r="D147" s="2077" t="s">
        <v>3166</v>
      </c>
      <c r="E147" s="2082"/>
      <c r="F147" s="2078"/>
      <c r="G147" s="2079"/>
      <c r="H147" s="2079"/>
      <c r="I147" s="2085"/>
    </row>
    <row r="148" spans="1:23" s="1234" customFormat="1" ht="13.5" customHeight="1">
      <c r="A148" s="2100">
        <v>31</v>
      </c>
      <c r="B148" s="2082">
        <v>741</v>
      </c>
      <c r="C148" s="2082" t="s">
        <v>3167</v>
      </c>
      <c r="D148" s="2122" t="s">
        <v>3168</v>
      </c>
      <c r="E148" s="2090" t="s">
        <v>210</v>
      </c>
      <c r="F148" s="2083">
        <f>ROUND(SUM(F150:F152),3)</f>
        <v>18</v>
      </c>
      <c r="G148" s="2117"/>
      <c r="H148" s="2072">
        <f t="shared" ref="H148" si="29">ROUND(F148*G148,2)</f>
        <v>0</v>
      </c>
      <c r="I148" s="2118" t="s">
        <v>111</v>
      </c>
      <c r="J148" s="1235"/>
      <c r="K148" s="1527"/>
      <c r="L148" s="1527"/>
      <c r="M148" s="1527"/>
      <c r="N148" s="1527"/>
      <c r="O148" s="1527"/>
      <c r="P148" s="1527"/>
      <c r="Q148" s="1527"/>
      <c r="R148" s="2298"/>
      <c r="S148" s="2134"/>
      <c r="T148" s="2134"/>
      <c r="U148" s="2298"/>
      <c r="V148" s="2292"/>
      <c r="W148" s="2293"/>
    </row>
    <row r="149" spans="1:23" s="1234" customFormat="1" ht="13.5" customHeight="1">
      <c r="A149" s="2137"/>
      <c r="B149" s="2082"/>
      <c r="C149" s="2082"/>
      <c r="D149" s="2077" t="s">
        <v>3169</v>
      </c>
      <c r="E149" s="2090"/>
      <c r="F149" s="2078"/>
      <c r="G149" s="2079"/>
      <c r="H149" s="2079"/>
      <c r="I149" s="2085"/>
      <c r="J149" s="2299"/>
      <c r="K149" s="1527"/>
      <c r="L149" s="1527"/>
      <c r="M149" s="1527"/>
      <c r="N149" s="1527"/>
      <c r="O149" s="1527"/>
      <c r="P149" s="1527"/>
      <c r="Q149" s="1527"/>
      <c r="R149" s="1235"/>
      <c r="S149" s="2134"/>
      <c r="T149" s="2134"/>
      <c r="U149" s="1235"/>
      <c r="V149" s="2295"/>
      <c r="W149" s="2291"/>
    </row>
    <row r="150" spans="1:23" s="1234" customFormat="1" ht="13.5" customHeight="1">
      <c r="A150" s="2137"/>
      <c r="B150" s="2082"/>
      <c r="C150" s="2082"/>
      <c r="D150" s="2077" t="s">
        <v>1032</v>
      </c>
      <c r="E150" s="2082"/>
      <c r="F150" s="2287">
        <v>2</v>
      </c>
      <c r="G150" s="2079"/>
      <c r="H150" s="2079"/>
      <c r="I150" s="2085"/>
    </row>
    <row r="151" spans="1:23" s="1234" customFormat="1" ht="13.5" customHeight="1">
      <c r="A151" s="2137"/>
      <c r="B151" s="2082"/>
      <c r="C151" s="2082"/>
      <c r="D151" s="2077" t="s">
        <v>1040</v>
      </c>
      <c r="E151" s="2082"/>
      <c r="F151" s="2287">
        <v>4</v>
      </c>
      <c r="G151" s="2079"/>
      <c r="H151" s="2079"/>
      <c r="I151" s="2085"/>
    </row>
    <row r="152" spans="1:23" s="1234" customFormat="1" ht="13.5" customHeight="1">
      <c r="A152" s="2137"/>
      <c r="B152" s="2082"/>
      <c r="C152" s="2082"/>
      <c r="D152" s="2077" t="s">
        <v>1235</v>
      </c>
      <c r="E152" s="2082"/>
      <c r="F152" s="2287">
        <v>12</v>
      </c>
      <c r="G152" s="2079"/>
      <c r="H152" s="2079"/>
      <c r="I152" s="2085"/>
    </row>
    <row r="153" spans="1:23" s="1234" customFormat="1" ht="13.5" customHeight="1">
      <c r="A153" s="2137"/>
      <c r="B153" s="2082"/>
      <c r="C153" s="2082"/>
      <c r="D153" s="2077" t="s">
        <v>3166</v>
      </c>
      <c r="E153" s="2082"/>
      <c r="F153" s="2078"/>
      <c r="G153" s="2079"/>
      <c r="H153" s="2079"/>
      <c r="I153" s="2085"/>
    </row>
    <row r="154" spans="1:23" s="1234" customFormat="1" ht="13.5" customHeight="1">
      <c r="A154" s="2100">
        <v>32</v>
      </c>
      <c r="B154" s="2082">
        <v>741</v>
      </c>
      <c r="C154" s="2082" t="s">
        <v>3170</v>
      </c>
      <c r="D154" s="2122" t="s">
        <v>3171</v>
      </c>
      <c r="E154" s="2090" t="s">
        <v>210</v>
      </c>
      <c r="F154" s="2083">
        <f>ROUND(SUM(F156:F157),3)</f>
        <v>33</v>
      </c>
      <c r="G154" s="2117"/>
      <c r="H154" s="2072">
        <f t="shared" ref="H154" si="30">ROUND(F154*G154,2)</f>
        <v>0</v>
      </c>
      <c r="I154" s="2118" t="s">
        <v>111</v>
      </c>
      <c r="J154" s="1235"/>
      <c r="K154" s="1527"/>
      <c r="L154" s="1191"/>
      <c r="M154" s="1191"/>
      <c r="N154" s="1191"/>
      <c r="O154" s="1191"/>
      <c r="P154" s="1191"/>
      <c r="Q154" s="1191"/>
      <c r="R154" s="1567"/>
      <c r="T154" s="2293"/>
      <c r="U154" s="2298"/>
    </row>
    <row r="155" spans="1:23" s="1234" customFormat="1" ht="13.5" customHeight="1">
      <c r="A155" s="2137"/>
      <c r="B155" s="2082"/>
      <c r="C155" s="2082"/>
      <c r="D155" s="2077" t="s">
        <v>3172</v>
      </c>
      <c r="E155" s="2090"/>
      <c r="F155" s="2078"/>
      <c r="G155" s="2079"/>
      <c r="H155" s="2079"/>
      <c r="I155" s="2085"/>
      <c r="J155" s="2187"/>
      <c r="K155" s="1191"/>
      <c r="L155" s="1191"/>
      <c r="M155" s="1191"/>
      <c r="N155" s="1191"/>
      <c r="O155" s="1191"/>
      <c r="P155" s="1192"/>
      <c r="Q155" s="1235"/>
      <c r="S155" s="1567"/>
      <c r="T155" s="2291"/>
      <c r="U155" s="1235"/>
    </row>
    <row r="156" spans="1:23" s="1234" customFormat="1" ht="13.5" customHeight="1">
      <c r="A156" s="2137"/>
      <c r="B156" s="2082"/>
      <c r="C156" s="2082"/>
      <c r="D156" s="2077" t="s">
        <v>1040</v>
      </c>
      <c r="E156" s="2082"/>
      <c r="F156" s="2078">
        <v>12</v>
      </c>
      <c r="G156" s="2079"/>
      <c r="H156" s="2079"/>
      <c r="I156" s="2085"/>
      <c r="U156" s="1235"/>
    </row>
    <row r="157" spans="1:23" s="1234" customFormat="1" ht="13.5" customHeight="1">
      <c r="A157" s="2137"/>
      <c r="B157" s="2082"/>
      <c r="C157" s="2082"/>
      <c r="D157" s="2077" t="s">
        <v>1235</v>
      </c>
      <c r="E157" s="2082"/>
      <c r="F157" s="2078">
        <v>21</v>
      </c>
      <c r="G157" s="2079"/>
      <c r="H157" s="2079"/>
      <c r="I157" s="2085"/>
      <c r="J157" s="1191"/>
      <c r="K157" s="1567"/>
      <c r="L157" s="1191"/>
      <c r="M157" s="1191"/>
      <c r="N157" s="1191"/>
      <c r="O157" s="1192"/>
      <c r="P157" s="1192"/>
    </row>
    <row r="158" spans="1:23" s="1234" customFormat="1" ht="13.5" customHeight="1">
      <c r="A158" s="2137"/>
      <c r="B158" s="2082"/>
      <c r="C158" s="2082"/>
      <c r="D158" s="2077" t="s">
        <v>1933</v>
      </c>
      <c r="E158" s="2090"/>
      <c r="F158" s="2140"/>
      <c r="G158" s="2079"/>
      <c r="H158" s="2079"/>
      <c r="I158" s="2085"/>
    </row>
    <row r="159" spans="1:23" s="1234" customFormat="1" ht="13.5" customHeight="1">
      <c r="A159" s="2100">
        <v>33</v>
      </c>
      <c r="B159" s="2082">
        <v>741</v>
      </c>
      <c r="C159" s="2082" t="s">
        <v>3173</v>
      </c>
      <c r="D159" s="2082" t="s">
        <v>3174</v>
      </c>
      <c r="E159" s="2090" t="s">
        <v>210</v>
      </c>
      <c r="F159" s="2083">
        <f>ROUND(SUM(F161),3)</f>
        <v>1</v>
      </c>
      <c r="G159" s="2117"/>
      <c r="H159" s="2072">
        <f t="shared" ref="H159" si="31">ROUND(F159*G159,2)</f>
        <v>0</v>
      </c>
      <c r="I159" s="2118" t="s">
        <v>111</v>
      </c>
      <c r="J159" s="2291"/>
      <c r="K159" s="1896"/>
      <c r="L159" s="2292"/>
      <c r="M159" s="2292"/>
      <c r="N159" s="2292"/>
      <c r="O159" s="2292"/>
      <c r="P159" s="2292"/>
      <c r="Q159" s="2292"/>
      <c r="R159" s="2292"/>
      <c r="S159" s="2292"/>
      <c r="T159" s="2292"/>
      <c r="U159" s="2292"/>
      <c r="V159" s="2292"/>
      <c r="W159" s="2293"/>
    </row>
    <row r="160" spans="1:23" s="1234" customFormat="1" ht="13.5" customHeight="1">
      <c r="A160" s="2137"/>
      <c r="B160" s="2082"/>
      <c r="C160" s="2082"/>
      <c r="D160" s="2077" t="s">
        <v>3175</v>
      </c>
      <c r="E160" s="2090"/>
      <c r="F160" s="2078"/>
      <c r="G160" s="2079"/>
      <c r="H160" s="2079"/>
      <c r="I160" s="2085"/>
      <c r="J160" s="2300"/>
      <c r="K160" s="1896"/>
      <c r="L160" s="2292"/>
      <c r="M160" s="2292"/>
      <c r="N160" s="2292"/>
      <c r="O160" s="2292"/>
      <c r="P160" s="2292"/>
      <c r="Q160" s="2292"/>
      <c r="R160" s="2292"/>
      <c r="S160" s="2292"/>
      <c r="T160" s="2292"/>
      <c r="U160" s="2292"/>
      <c r="V160" s="2292"/>
      <c r="W160" s="2291"/>
    </row>
    <row r="161" spans="1:23" s="1234" customFormat="1" ht="13.5" customHeight="1">
      <c r="A161" s="2137"/>
      <c r="B161" s="2082"/>
      <c r="C161" s="2082"/>
      <c r="D161" s="2099" t="s">
        <v>1182</v>
      </c>
      <c r="E161" s="2082"/>
      <c r="F161" s="2287">
        <v>1</v>
      </c>
      <c r="G161" s="2079"/>
      <c r="H161" s="2079"/>
      <c r="I161" s="2085"/>
    </row>
    <row r="162" spans="1:23" s="1234" customFormat="1" ht="13.5" customHeight="1">
      <c r="A162" s="2137"/>
      <c r="B162" s="2082"/>
      <c r="C162" s="2082"/>
      <c r="D162" s="2077" t="s">
        <v>1933</v>
      </c>
      <c r="E162" s="2082"/>
      <c r="F162" s="2078"/>
      <c r="G162" s="2079"/>
      <c r="H162" s="2079"/>
      <c r="I162" s="2085"/>
    </row>
    <row r="163" spans="1:23" s="1234" customFormat="1" ht="13.5" customHeight="1">
      <c r="A163" s="2100">
        <v>34</v>
      </c>
      <c r="B163" s="2082">
        <v>741</v>
      </c>
      <c r="C163" s="2082" t="s">
        <v>3176</v>
      </c>
      <c r="D163" s="2122" t="s">
        <v>3177</v>
      </c>
      <c r="E163" s="2090" t="s">
        <v>210</v>
      </c>
      <c r="F163" s="2083">
        <f>ROUND(SUM(F165:F166),3)</f>
        <v>44</v>
      </c>
      <c r="G163" s="2091"/>
      <c r="H163" s="2072">
        <f t="shared" ref="H163" si="32">ROUND(F163*G163,2)</f>
        <v>0</v>
      </c>
      <c r="I163" s="2085" t="s">
        <v>111</v>
      </c>
      <c r="J163" s="2291"/>
      <c r="K163" s="1896"/>
      <c r="L163" s="2292"/>
      <c r="M163" s="2292"/>
      <c r="N163" s="2292"/>
      <c r="O163" s="2292"/>
      <c r="P163" s="2292"/>
      <c r="Q163" s="2292"/>
      <c r="R163" s="2292"/>
      <c r="S163" s="2292"/>
      <c r="T163" s="2292"/>
      <c r="U163" s="2292"/>
      <c r="V163" s="2292"/>
      <c r="W163" s="2293"/>
    </row>
    <row r="164" spans="1:23" s="1234" customFormat="1" ht="13.5" customHeight="1">
      <c r="A164" s="2098"/>
      <c r="B164" s="2082"/>
      <c r="C164" s="2098"/>
      <c r="D164" s="2077" t="s">
        <v>3178</v>
      </c>
      <c r="E164" s="2090"/>
      <c r="F164" s="2078"/>
      <c r="G164" s="2091"/>
      <c r="H164" s="2079"/>
      <c r="I164" s="2085"/>
      <c r="J164" s="2291"/>
      <c r="K164" s="1896"/>
      <c r="L164" s="1191"/>
      <c r="W164" s="2293"/>
    </row>
    <row r="165" spans="1:23" s="1234" customFormat="1" ht="13.5" customHeight="1">
      <c r="A165" s="2098"/>
      <c r="B165" s="2082"/>
      <c r="C165" s="2098"/>
      <c r="D165" s="2077" t="s">
        <v>1040</v>
      </c>
      <c r="E165" s="2082"/>
      <c r="F165" s="2078">
        <v>13</v>
      </c>
      <c r="G165" s="2091"/>
      <c r="H165" s="2079"/>
      <c r="I165" s="2085"/>
      <c r="J165" s="1191"/>
      <c r="L165" s="1191"/>
    </row>
    <row r="166" spans="1:23" s="1234" customFormat="1" ht="13.5" customHeight="1">
      <c r="A166" s="2098"/>
      <c r="B166" s="2082"/>
      <c r="C166" s="2098"/>
      <c r="D166" s="2077" t="s">
        <v>1235</v>
      </c>
      <c r="E166" s="2082"/>
      <c r="F166" s="2078">
        <v>31</v>
      </c>
      <c r="G166" s="2091"/>
      <c r="H166" s="2079"/>
      <c r="I166" s="2085"/>
      <c r="J166" s="1191"/>
      <c r="L166" s="1191"/>
    </row>
    <row r="167" spans="1:23" s="1234" customFormat="1" ht="13.5" customHeight="1">
      <c r="A167" s="2098"/>
      <c r="B167" s="2082"/>
      <c r="C167" s="2098"/>
      <c r="D167" s="2077" t="s">
        <v>1933</v>
      </c>
      <c r="E167" s="2090"/>
      <c r="F167" s="2140"/>
      <c r="G167" s="2091"/>
      <c r="H167" s="2079"/>
      <c r="I167" s="2085"/>
      <c r="J167" s="1191"/>
      <c r="L167" s="1191"/>
    </row>
    <row r="168" spans="1:23" s="1234" customFormat="1" ht="13.5" customHeight="1">
      <c r="A168" s="2100">
        <v>35</v>
      </c>
      <c r="B168" s="2082">
        <v>741</v>
      </c>
      <c r="C168" s="2082" t="s">
        <v>3179</v>
      </c>
      <c r="D168" s="2082" t="s">
        <v>3180</v>
      </c>
      <c r="E168" s="2090" t="s">
        <v>210</v>
      </c>
      <c r="F168" s="2083">
        <f>ROUND(SUM(F170:F171),3)</f>
        <v>10</v>
      </c>
      <c r="G168" s="2091"/>
      <c r="H168" s="2072">
        <f t="shared" ref="H168" si="33">ROUND(F168*G168,2)</f>
        <v>0</v>
      </c>
      <c r="I168" s="2085" t="s">
        <v>111</v>
      </c>
      <c r="J168" s="2291"/>
      <c r="K168" s="1896"/>
      <c r="L168" s="2292"/>
      <c r="M168" s="2292"/>
      <c r="N168" s="2292"/>
      <c r="O168" s="2292"/>
      <c r="P168" s="2292"/>
      <c r="Q168" s="2292"/>
      <c r="R168" s="2292"/>
      <c r="S168" s="2292"/>
      <c r="T168" s="2292"/>
      <c r="U168" s="2292"/>
      <c r="V168" s="2292"/>
      <c r="W168" s="2293"/>
    </row>
    <row r="169" spans="1:23" s="1234" customFormat="1" ht="13.5" customHeight="1">
      <c r="A169" s="2098"/>
      <c r="B169" s="2082"/>
      <c r="C169" s="2098"/>
      <c r="D169" s="2077" t="s">
        <v>3181</v>
      </c>
      <c r="E169" s="2090"/>
      <c r="F169" s="2140"/>
      <c r="G169" s="2091"/>
      <c r="H169" s="2079"/>
      <c r="I169" s="2085"/>
      <c r="J169" s="2291"/>
      <c r="K169" s="1896"/>
      <c r="L169" s="1191"/>
      <c r="W169" s="2293"/>
    </row>
    <row r="170" spans="1:23" s="1234" customFormat="1" ht="13.5" customHeight="1">
      <c r="A170" s="2098"/>
      <c r="B170" s="2082"/>
      <c r="C170" s="2098"/>
      <c r="D170" s="2077" t="s">
        <v>1032</v>
      </c>
      <c r="E170" s="2082"/>
      <c r="F170" s="2078">
        <v>7</v>
      </c>
      <c r="G170" s="2091"/>
      <c r="H170" s="2079"/>
      <c r="I170" s="2085"/>
      <c r="J170" s="1488"/>
      <c r="L170" s="1191"/>
      <c r="W170" s="2293"/>
    </row>
    <row r="171" spans="1:23" s="1234" customFormat="1" ht="13.5" customHeight="1">
      <c r="A171" s="2098"/>
      <c r="B171" s="2082"/>
      <c r="C171" s="2098"/>
      <c r="D171" s="2077" t="s">
        <v>1040</v>
      </c>
      <c r="E171" s="2082"/>
      <c r="F171" s="2078">
        <v>3</v>
      </c>
      <c r="G171" s="2091"/>
      <c r="H171" s="2079"/>
      <c r="I171" s="2085"/>
      <c r="J171" s="1191"/>
      <c r="L171" s="1191"/>
    </row>
    <row r="172" spans="1:23" s="1234" customFormat="1" ht="13.5" customHeight="1">
      <c r="A172" s="2098"/>
      <c r="B172" s="2082"/>
      <c r="C172" s="2098"/>
      <c r="D172" s="2077" t="s">
        <v>1933</v>
      </c>
      <c r="E172" s="2090"/>
      <c r="F172" s="2078"/>
      <c r="G172" s="2091"/>
      <c r="H172" s="2079"/>
      <c r="I172" s="2085"/>
      <c r="J172" s="1191"/>
      <c r="L172" s="1191"/>
    </row>
    <row r="173" spans="1:23" s="1234" customFormat="1" ht="13.5" customHeight="1">
      <c r="A173" s="2100">
        <v>36</v>
      </c>
      <c r="B173" s="2082">
        <v>741</v>
      </c>
      <c r="C173" s="2082" t="s">
        <v>3182</v>
      </c>
      <c r="D173" s="2122" t="s">
        <v>3183</v>
      </c>
      <c r="E173" s="2090" t="s">
        <v>210</v>
      </c>
      <c r="F173" s="2083">
        <f>ROUND(SUM(F175:F176),3)</f>
        <v>45</v>
      </c>
      <c r="G173" s="2091"/>
      <c r="H173" s="2072">
        <f t="shared" ref="H173" si="34">ROUND(F173*G173,2)</f>
        <v>0</v>
      </c>
      <c r="I173" s="2085" t="s">
        <v>111</v>
      </c>
      <c r="J173" s="2291"/>
      <c r="K173" s="1896"/>
      <c r="L173" s="2292"/>
      <c r="M173" s="2292"/>
      <c r="N173" s="2292"/>
      <c r="O173" s="2292"/>
      <c r="P173" s="2292"/>
      <c r="Q173" s="2292"/>
      <c r="R173" s="2292"/>
      <c r="S173" s="2292"/>
      <c r="T173" s="2292"/>
      <c r="U173" s="2292"/>
      <c r="V173" s="2292"/>
      <c r="W173" s="2293"/>
    </row>
    <row r="174" spans="1:23" s="1234" customFormat="1" ht="13.5" customHeight="1">
      <c r="A174" s="2098"/>
      <c r="B174" s="2082"/>
      <c r="C174" s="2098"/>
      <c r="D174" s="2077" t="s">
        <v>3184</v>
      </c>
      <c r="E174" s="2090"/>
      <c r="F174" s="2078"/>
      <c r="G174" s="2091"/>
      <c r="H174" s="2079"/>
      <c r="I174" s="2085"/>
      <c r="J174" s="2291"/>
      <c r="K174" s="1896"/>
      <c r="L174" s="1191"/>
      <c r="W174" s="2293"/>
    </row>
    <row r="175" spans="1:23" s="1234" customFormat="1" ht="13.5" customHeight="1">
      <c r="A175" s="2098"/>
      <c r="B175" s="2082"/>
      <c r="C175" s="2098"/>
      <c r="D175" s="2077" t="s">
        <v>1040</v>
      </c>
      <c r="E175" s="2082"/>
      <c r="F175" s="2078">
        <v>26</v>
      </c>
      <c r="G175" s="2091"/>
      <c r="H175" s="2079"/>
      <c r="I175" s="2085"/>
      <c r="J175" s="1191"/>
      <c r="L175" s="1191"/>
    </row>
    <row r="176" spans="1:23" s="1234" customFormat="1" ht="13.5" customHeight="1">
      <c r="A176" s="2098"/>
      <c r="B176" s="2082"/>
      <c r="C176" s="2098"/>
      <c r="D176" s="2077" t="s">
        <v>1235</v>
      </c>
      <c r="E176" s="2082"/>
      <c r="F176" s="2078">
        <v>19</v>
      </c>
      <c r="G176" s="2091"/>
      <c r="H176" s="2079"/>
      <c r="I176" s="2085"/>
      <c r="J176" s="1191"/>
      <c r="L176" s="1191"/>
    </row>
    <row r="177" spans="1:23" s="1234" customFormat="1" ht="13.5" customHeight="1">
      <c r="A177" s="2098"/>
      <c r="B177" s="2082"/>
      <c r="C177" s="2098"/>
      <c r="D177" s="2077" t="s">
        <v>1933</v>
      </c>
      <c r="E177" s="2090"/>
      <c r="F177" s="2140"/>
      <c r="G177" s="2091"/>
      <c r="H177" s="2079"/>
      <c r="I177" s="2085"/>
      <c r="J177" s="1191"/>
      <c r="L177" s="1191"/>
      <c r="R177" s="2122"/>
      <c r="S177" s="2090"/>
      <c r="T177" s="2215"/>
      <c r="U177" s="2091"/>
      <c r="V177" s="2079"/>
      <c r="W177" s="2085"/>
    </row>
    <row r="178" spans="1:23" s="1234" customFormat="1" ht="13.5" customHeight="1">
      <c r="A178" s="2100">
        <v>37</v>
      </c>
      <c r="B178" s="2082">
        <v>741</v>
      </c>
      <c r="C178" s="2082" t="s">
        <v>3185</v>
      </c>
      <c r="D178" s="2122" t="s">
        <v>3186</v>
      </c>
      <c r="E178" s="2090" t="s">
        <v>210</v>
      </c>
      <c r="F178" s="2083">
        <f>ROUND(SUM(F180:F181),3)</f>
        <v>9</v>
      </c>
      <c r="G178" s="2091"/>
      <c r="H178" s="2072">
        <f t="shared" ref="H178" si="35">ROUND(F178*G178,2)</f>
        <v>0</v>
      </c>
      <c r="I178" s="2085" t="s">
        <v>111</v>
      </c>
      <c r="J178" s="2291"/>
      <c r="K178" s="1896"/>
      <c r="L178" s="2292"/>
      <c r="M178" s="2292"/>
      <c r="N178" s="2292"/>
      <c r="O178" s="2292"/>
      <c r="P178" s="2292"/>
      <c r="Q178" s="2292"/>
      <c r="R178" s="2292"/>
      <c r="S178" s="2292"/>
      <c r="T178" s="2292"/>
      <c r="U178" s="2292"/>
      <c r="V178" s="2292"/>
      <c r="W178" s="2293"/>
    </row>
    <row r="179" spans="1:23" s="1234" customFormat="1" ht="13.5" customHeight="1">
      <c r="A179" s="2098"/>
      <c r="B179" s="2082"/>
      <c r="C179" s="2098"/>
      <c r="D179" s="2077" t="s">
        <v>3187</v>
      </c>
      <c r="E179" s="2090"/>
      <c r="F179" s="2078"/>
      <c r="G179" s="2091"/>
      <c r="H179" s="2079"/>
      <c r="I179" s="2085"/>
      <c r="J179" s="2291"/>
      <c r="K179" s="1896"/>
      <c r="L179" s="1191"/>
      <c r="R179" s="2077"/>
      <c r="S179" s="2082"/>
      <c r="T179" s="2142"/>
      <c r="U179" s="2091"/>
      <c r="V179" s="2079"/>
      <c r="W179" s="2293"/>
    </row>
    <row r="180" spans="1:23" s="1234" customFormat="1" ht="13.5" customHeight="1">
      <c r="A180" s="2098"/>
      <c r="B180" s="2082"/>
      <c r="C180" s="2098"/>
      <c r="D180" s="2077" t="s">
        <v>1032</v>
      </c>
      <c r="E180" s="2082"/>
      <c r="F180" s="2078">
        <v>3</v>
      </c>
      <c r="G180" s="2091"/>
      <c r="H180" s="2079"/>
      <c r="I180" s="2085"/>
      <c r="J180" s="1488"/>
      <c r="L180" s="1191"/>
      <c r="R180" s="2077"/>
      <c r="S180" s="2082"/>
      <c r="T180" s="2142"/>
      <c r="U180" s="2091"/>
      <c r="V180" s="2079"/>
      <c r="W180" s="2293"/>
    </row>
    <row r="181" spans="1:23" s="1234" customFormat="1" ht="13.5" customHeight="1">
      <c r="A181" s="2098"/>
      <c r="B181" s="2082"/>
      <c r="C181" s="2098"/>
      <c r="D181" s="2077" t="s">
        <v>1040</v>
      </c>
      <c r="E181" s="2082"/>
      <c r="F181" s="2078">
        <v>6</v>
      </c>
      <c r="G181" s="2091"/>
      <c r="H181" s="2079"/>
      <c r="I181" s="2085"/>
      <c r="J181" s="1191"/>
      <c r="L181" s="1191"/>
      <c r="R181" s="2077"/>
      <c r="S181" s="2082"/>
      <c r="T181" s="2142"/>
      <c r="U181" s="2091"/>
      <c r="V181" s="2079"/>
      <c r="W181" s="2085"/>
    </row>
    <row r="182" spans="1:23" s="1234" customFormat="1" ht="13.5" customHeight="1">
      <c r="A182" s="2098"/>
      <c r="B182" s="2082"/>
      <c r="C182" s="2098"/>
      <c r="D182" s="2077" t="s">
        <v>1933</v>
      </c>
      <c r="E182" s="2090"/>
      <c r="F182" s="2140"/>
      <c r="G182" s="2091"/>
      <c r="H182" s="2079"/>
      <c r="I182" s="2085"/>
      <c r="J182" s="1191"/>
      <c r="L182" s="1191"/>
    </row>
    <row r="183" spans="1:23" s="1234" customFormat="1" ht="13.5" customHeight="1">
      <c r="A183" s="2100">
        <v>38</v>
      </c>
      <c r="B183" s="2082">
        <v>741</v>
      </c>
      <c r="C183" s="2082" t="s">
        <v>3188</v>
      </c>
      <c r="D183" s="2122" t="s">
        <v>3189</v>
      </c>
      <c r="E183" s="2090" t="s">
        <v>210</v>
      </c>
      <c r="F183" s="2083">
        <f>ROUND(SUM(F185:F186),3)</f>
        <v>18</v>
      </c>
      <c r="G183" s="2091"/>
      <c r="H183" s="2072">
        <f t="shared" ref="H183" si="36">ROUND(F183*G183,2)</f>
        <v>0</v>
      </c>
      <c r="I183" s="2085" t="s">
        <v>111</v>
      </c>
      <c r="J183" s="2291"/>
      <c r="K183" s="1896"/>
      <c r="L183" s="2292"/>
      <c r="M183" s="2292"/>
      <c r="N183" s="2292"/>
      <c r="O183" s="2292"/>
      <c r="P183" s="2292"/>
      <c r="Q183" s="2292"/>
      <c r="R183" s="2292"/>
      <c r="S183" s="2292"/>
      <c r="T183" s="2292"/>
      <c r="U183" s="2292"/>
      <c r="V183" s="2292"/>
      <c r="W183" s="2293"/>
    </row>
    <row r="184" spans="1:23" s="1234" customFormat="1" ht="13.5" customHeight="1">
      <c r="A184" s="2098"/>
      <c r="B184" s="2082"/>
      <c r="C184" s="2098"/>
      <c r="D184" s="2077" t="s">
        <v>3190</v>
      </c>
      <c r="E184" s="2090"/>
      <c r="F184" s="2078"/>
      <c r="G184" s="2091"/>
      <c r="H184" s="2079"/>
      <c r="I184" s="2085"/>
      <c r="J184" s="1488"/>
      <c r="L184" s="1191"/>
      <c r="W184" s="2293"/>
    </row>
    <row r="185" spans="1:23" s="1234" customFormat="1" ht="13.5" customHeight="1">
      <c r="A185" s="2098"/>
      <c r="B185" s="2082"/>
      <c r="C185" s="2098"/>
      <c r="D185" s="2077" t="s">
        <v>1040</v>
      </c>
      <c r="E185" s="2082"/>
      <c r="F185" s="2078">
        <v>9</v>
      </c>
      <c r="G185" s="2091"/>
      <c r="H185" s="2079"/>
      <c r="I185" s="2085"/>
      <c r="J185" s="1191"/>
      <c r="L185" s="1191"/>
    </row>
    <row r="186" spans="1:23" s="1234" customFormat="1" ht="13.5" customHeight="1">
      <c r="A186" s="2098"/>
      <c r="B186" s="2082"/>
      <c r="C186" s="2098"/>
      <c r="D186" s="2077" t="s">
        <v>1235</v>
      </c>
      <c r="E186" s="2082"/>
      <c r="F186" s="2078">
        <v>9</v>
      </c>
      <c r="G186" s="2091"/>
      <c r="H186" s="2079"/>
      <c r="I186" s="2085"/>
      <c r="J186" s="1191"/>
      <c r="L186" s="1191"/>
    </row>
    <row r="187" spans="1:23" s="1234" customFormat="1" ht="13.5" customHeight="1">
      <c r="A187" s="2098"/>
      <c r="B187" s="2082"/>
      <c r="C187" s="2098"/>
      <c r="D187" s="2077" t="s">
        <v>1933</v>
      </c>
      <c r="E187" s="2090"/>
      <c r="F187" s="2140"/>
      <c r="G187" s="2091"/>
      <c r="H187" s="2079"/>
      <c r="I187" s="2085"/>
      <c r="J187" s="1191"/>
      <c r="L187" s="1191"/>
    </row>
    <row r="188" spans="1:23" s="1234" customFormat="1" ht="13.5" customHeight="1">
      <c r="A188" s="2100">
        <v>39</v>
      </c>
      <c r="B188" s="2082">
        <v>741</v>
      </c>
      <c r="C188" s="2082" t="s">
        <v>3191</v>
      </c>
      <c r="D188" s="2122" t="s">
        <v>3192</v>
      </c>
      <c r="E188" s="2090" t="s">
        <v>210</v>
      </c>
      <c r="F188" s="2083">
        <f>ROUND(SUM(F190),3)</f>
        <v>4</v>
      </c>
      <c r="G188" s="2091"/>
      <c r="H188" s="2072">
        <f t="shared" ref="H188" si="37">ROUND(F188*G188,2)</f>
        <v>0</v>
      </c>
      <c r="I188" s="2085" t="s">
        <v>111</v>
      </c>
      <c r="J188" s="2291"/>
      <c r="K188" s="1896"/>
      <c r="L188" s="2292"/>
      <c r="M188" s="2292"/>
      <c r="N188" s="2292"/>
      <c r="O188" s="2292"/>
      <c r="P188" s="2292"/>
      <c r="Q188" s="2292"/>
      <c r="R188" s="2292"/>
      <c r="S188" s="2292"/>
      <c r="T188" s="2292"/>
      <c r="U188" s="2292"/>
      <c r="V188" s="2292"/>
      <c r="W188" s="2293"/>
    </row>
    <row r="189" spans="1:23" s="1234" customFormat="1" ht="13.5" customHeight="1">
      <c r="A189" s="2098"/>
      <c r="B189" s="2082"/>
      <c r="C189" s="2098"/>
      <c r="D189" s="2077" t="s">
        <v>3193</v>
      </c>
      <c r="E189" s="2090"/>
      <c r="F189" s="2078"/>
      <c r="G189" s="2091"/>
      <c r="H189" s="2079"/>
      <c r="I189" s="2085"/>
      <c r="J189" s="1488"/>
      <c r="L189" s="1191"/>
      <c r="W189" s="2293"/>
    </row>
    <row r="190" spans="1:23" s="1234" customFormat="1" ht="13.5" customHeight="1">
      <c r="A190" s="2098"/>
      <c r="B190" s="2082"/>
      <c r="C190" s="2098"/>
      <c r="D190" s="2077" t="s">
        <v>1040</v>
      </c>
      <c r="E190" s="2082"/>
      <c r="F190" s="2078">
        <v>4</v>
      </c>
      <c r="G190" s="2091"/>
      <c r="H190" s="2079"/>
      <c r="I190" s="2085"/>
      <c r="J190" s="1191"/>
      <c r="L190" s="1191"/>
    </row>
    <row r="191" spans="1:23" s="1234" customFormat="1" ht="13.5" customHeight="1">
      <c r="A191" s="2098"/>
      <c r="B191" s="2082"/>
      <c r="C191" s="2098"/>
      <c r="D191" s="2077" t="s">
        <v>1933</v>
      </c>
      <c r="E191" s="2090"/>
      <c r="F191" s="2140"/>
      <c r="G191" s="2091"/>
      <c r="H191" s="2079"/>
      <c r="I191" s="2085"/>
      <c r="J191" s="1191"/>
      <c r="L191" s="1191"/>
    </row>
    <row r="192" spans="1:23" s="1234" customFormat="1" ht="13.5" customHeight="1">
      <c r="A192" s="2100">
        <v>40</v>
      </c>
      <c r="B192" s="2082">
        <v>741</v>
      </c>
      <c r="C192" s="2082" t="s">
        <v>3194</v>
      </c>
      <c r="D192" s="2122" t="s">
        <v>3195</v>
      </c>
      <c r="E192" s="2090" t="s">
        <v>210</v>
      </c>
      <c r="F192" s="2083">
        <f>ROUND(SUM(F194:F194),3)</f>
        <v>4</v>
      </c>
      <c r="G192" s="2091"/>
      <c r="H192" s="2072">
        <f t="shared" ref="H192" si="38">ROUND(F192*G192,2)</f>
        <v>0</v>
      </c>
      <c r="I192" s="2085" t="s">
        <v>111</v>
      </c>
      <c r="J192" s="2291"/>
      <c r="K192" s="1896"/>
      <c r="L192" s="2292"/>
      <c r="M192" s="2292"/>
      <c r="N192" s="2292"/>
      <c r="O192" s="2292"/>
      <c r="P192" s="2292"/>
      <c r="Q192" s="2292"/>
      <c r="R192" s="2292"/>
      <c r="S192" s="2292"/>
      <c r="T192" s="2292"/>
      <c r="U192" s="2292"/>
      <c r="V192" s="2292"/>
      <c r="W192" s="2293"/>
    </row>
    <row r="193" spans="1:97" s="1234" customFormat="1" ht="13.5" customHeight="1">
      <c r="A193" s="2098"/>
      <c r="B193" s="2082"/>
      <c r="C193" s="2098"/>
      <c r="D193" s="2077" t="s">
        <v>3196</v>
      </c>
      <c r="E193" s="2090"/>
      <c r="F193" s="2078"/>
      <c r="G193" s="2091"/>
      <c r="H193" s="2079"/>
      <c r="I193" s="2085"/>
      <c r="J193" s="2291"/>
      <c r="K193" s="1896"/>
      <c r="L193" s="1191"/>
      <c r="W193" s="2293"/>
    </row>
    <row r="194" spans="1:97" s="1234" customFormat="1" ht="13.5" customHeight="1">
      <c r="A194" s="2098"/>
      <c r="B194" s="2082"/>
      <c r="C194" s="2098"/>
      <c r="D194" s="2077" t="s">
        <v>1235</v>
      </c>
      <c r="E194" s="2082"/>
      <c r="F194" s="2078">
        <v>4</v>
      </c>
      <c r="G194" s="2091"/>
      <c r="H194" s="2079"/>
      <c r="I194" s="2085"/>
      <c r="J194" s="1191"/>
      <c r="L194" s="1191"/>
    </row>
    <row r="195" spans="1:97" s="1234" customFormat="1" ht="13.5" customHeight="1">
      <c r="A195" s="2098"/>
      <c r="B195" s="2082"/>
      <c r="C195" s="2098"/>
      <c r="D195" s="2077" t="s">
        <v>1933</v>
      </c>
      <c r="E195" s="2090"/>
      <c r="F195" s="2140"/>
      <c r="G195" s="2091"/>
      <c r="H195" s="2079"/>
      <c r="I195" s="2085"/>
      <c r="J195" s="1191"/>
      <c r="L195" s="1191"/>
    </row>
    <row r="196" spans="1:97" s="1225" customFormat="1" ht="13.5" customHeight="1">
      <c r="A196" s="2289" t="s">
        <v>1290</v>
      </c>
      <c r="B196" s="2082">
        <v>741</v>
      </c>
      <c r="C196" s="2082">
        <v>998741312</v>
      </c>
      <c r="D196" s="2082" t="s">
        <v>3149</v>
      </c>
      <c r="E196" s="2082" t="s">
        <v>10</v>
      </c>
      <c r="F196" s="2083">
        <v>0.78</v>
      </c>
      <c r="G196" s="2079"/>
      <c r="H196" s="2072">
        <f t="shared" ref="H196:H197" si="39">ROUND(F196*G196,2)</f>
        <v>0</v>
      </c>
      <c r="I196" s="2085" t="s">
        <v>1927</v>
      </c>
      <c r="J196" s="1222"/>
      <c r="K196" s="1223"/>
      <c r="L196" s="1224"/>
      <c r="M196" s="1224"/>
      <c r="N196" s="1224"/>
      <c r="O196" s="1224"/>
      <c r="P196" s="1224"/>
      <c r="Q196" s="1191"/>
      <c r="R196" s="1191"/>
      <c r="S196" s="1191"/>
      <c r="T196" s="1191"/>
      <c r="U196" s="1191"/>
      <c r="V196" s="1191"/>
      <c r="W196" s="1191"/>
      <c r="X196" s="1191"/>
      <c r="Y196" s="1191"/>
      <c r="Z196" s="1191"/>
      <c r="AA196" s="1191"/>
      <c r="AB196" s="1191"/>
      <c r="AC196" s="1191"/>
      <c r="AD196" s="1191"/>
      <c r="AE196" s="1191"/>
      <c r="AF196" s="1191"/>
      <c r="AG196" s="1191"/>
      <c r="AH196" s="1191"/>
      <c r="AI196" s="1191"/>
      <c r="AJ196" s="1191"/>
      <c r="AK196" s="1191"/>
      <c r="AL196" s="1191"/>
      <c r="AM196" s="1191"/>
      <c r="AN196" s="1191"/>
      <c r="AO196" s="1191"/>
      <c r="AP196" s="1191"/>
      <c r="AQ196" s="1191"/>
      <c r="AR196" s="1191"/>
      <c r="AS196" s="1191"/>
      <c r="AT196" s="1191"/>
      <c r="AU196" s="1191"/>
      <c r="AV196" s="1191"/>
      <c r="AW196" s="1191"/>
      <c r="AX196" s="1191"/>
      <c r="AY196" s="1191"/>
      <c r="AZ196" s="1191"/>
      <c r="BA196" s="1191"/>
      <c r="BB196" s="1191"/>
      <c r="BC196" s="1191"/>
      <c r="BD196" s="1191"/>
      <c r="BE196" s="1191"/>
      <c r="BF196" s="1191"/>
      <c r="BG196" s="1191"/>
      <c r="BH196" s="1191"/>
      <c r="BI196" s="1191"/>
      <c r="BJ196" s="1191"/>
      <c r="BK196" s="1191"/>
      <c r="BL196" s="1191"/>
      <c r="BM196" s="1191"/>
      <c r="BN196" s="1191"/>
      <c r="BO196" s="1191"/>
      <c r="BP196" s="1191"/>
      <c r="BQ196" s="1191"/>
      <c r="BR196" s="1191"/>
      <c r="BS196" s="1191"/>
      <c r="BT196" s="1191"/>
      <c r="BU196" s="1191"/>
      <c r="BV196" s="1191"/>
      <c r="BW196" s="1191"/>
      <c r="BX196" s="1191"/>
      <c r="BY196" s="1191"/>
      <c r="BZ196" s="1191"/>
      <c r="CA196" s="1191"/>
      <c r="CB196" s="1191"/>
      <c r="CC196" s="1191"/>
      <c r="CD196" s="1191"/>
      <c r="CE196" s="1191"/>
      <c r="CF196" s="1191"/>
      <c r="CG196" s="1191"/>
      <c r="CH196" s="1191"/>
      <c r="CI196" s="1191"/>
      <c r="CJ196" s="1191"/>
      <c r="CK196" s="1191"/>
      <c r="CL196" s="1191"/>
      <c r="CM196" s="1191"/>
      <c r="CN196" s="1191"/>
      <c r="CO196" s="1191"/>
      <c r="CP196" s="1191"/>
      <c r="CQ196" s="1191"/>
      <c r="CR196" s="1191"/>
      <c r="CS196" s="1191"/>
    </row>
    <row r="197" spans="1:97" s="1227" customFormat="1" ht="13.5" customHeight="1">
      <c r="A197" s="2289" t="s">
        <v>1294</v>
      </c>
      <c r="B197" s="2082" t="s">
        <v>369</v>
      </c>
      <c r="C197" s="2082" t="s">
        <v>1928</v>
      </c>
      <c r="D197" s="2082" t="s">
        <v>1929</v>
      </c>
      <c r="E197" s="2082" t="s">
        <v>69</v>
      </c>
      <c r="F197" s="2101">
        <f>ROUND(SUM(F198),3)</f>
        <v>20</v>
      </c>
      <c r="G197" s="2079"/>
      <c r="H197" s="2072">
        <f t="shared" si="39"/>
        <v>0</v>
      </c>
      <c r="I197" s="2085" t="s">
        <v>1927</v>
      </c>
      <c r="J197" s="1197"/>
      <c r="K197" s="1224"/>
      <c r="L197" s="1224"/>
      <c r="M197" s="1224"/>
      <c r="N197" s="1224"/>
      <c r="O197" s="1224"/>
      <c r="P197" s="1224"/>
      <c r="Q197" s="1226"/>
      <c r="R197" s="1226"/>
      <c r="S197" s="1226"/>
      <c r="T197" s="1226"/>
      <c r="U197" s="1226"/>
      <c r="V197" s="1226"/>
      <c r="W197" s="1226"/>
      <c r="X197" s="1226"/>
      <c r="Y197" s="1226"/>
      <c r="Z197" s="1226"/>
      <c r="AA197" s="1226"/>
      <c r="AB197" s="1226"/>
      <c r="AC197" s="1226"/>
      <c r="AD197" s="1226"/>
      <c r="AE197" s="1226"/>
      <c r="AF197" s="1226"/>
      <c r="AG197" s="1226"/>
      <c r="AH197" s="1226"/>
      <c r="AI197" s="1226"/>
      <c r="AJ197" s="1226"/>
      <c r="AK197" s="1226"/>
      <c r="AL197" s="1226"/>
      <c r="AM197" s="1226"/>
      <c r="AN197" s="1226"/>
      <c r="AO197" s="1226"/>
      <c r="AP197" s="1226"/>
      <c r="AQ197" s="1226"/>
      <c r="AR197" s="1226"/>
      <c r="AS197" s="1226"/>
      <c r="AT197" s="1226"/>
      <c r="AU197" s="1226"/>
      <c r="AV197" s="1226"/>
      <c r="AW197" s="1226"/>
      <c r="AX197" s="1226"/>
      <c r="AY197" s="1226"/>
      <c r="AZ197" s="1226"/>
      <c r="BA197" s="1226"/>
      <c r="BB197" s="1226"/>
      <c r="BC197" s="1226"/>
      <c r="BD197" s="1226"/>
      <c r="BE197" s="1226"/>
      <c r="BF197" s="1226"/>
      <c r="BG197" s="1226"/>
      <c r="BH197" s="1226"/>
      <c r="BI197" s="1226"/>
      <c r="BJ197" s="1226"/>
      <c r="BK197" s="1226"/>
      <c r="BL197" s="1226"/>
      <c r="BM197" s="1226"/>
      <c r="BN197" s="1226"/>
      <c r="BO197" s="1226"/>
      <c r="BP197" s="1226"/>
      <c r="BQ197" s="1226"/>
      <c r="BR197" s="1226"/>
      <c r="BS197" s="1226"/>
      <c r="BT197" s="1226"/>
      <c r="BU197" s="1226"/>
      <c r="BV197" s="1226"/>
      <c r="BW197" s="1226"/>
      <c r="BX197" s="1226"/>
      <c r="BY197" s="1226"/>
      <c r="BZ197" s="1226"/>
      <c r="CA197" s="1226"/>
      <c r="CB197" s="1226"/>
      <c r="CC197" s="1226"/>
      <c r="CD197" s="1226"/>
      <c r="CE197" s="1226"/>
      <c r="CF197" s="1226"/>
      <c r="CG197" s="1226"/>
      <c r="CH197" s="1226"/>
      <c r="CI197" s="1226"/>
      <c r="CJ197" s="1226"/>
      <c r="CK197" s="1226"/>
      <c r="CL197" s="1226"/>
      <c r="CM197" s="1226"/>
      <c r="CN197" s="1226"/>
      <c r="CO197" s="1226"/>
      <c r="CP197" s="1226"/>
      <c r="CQ197" s="1226"/>
      <c r="CR197" s="1226"/>
      <c r="CS197" s="1226"/>
    </row>
    <row r="198" spans="1:97" s="1227" customFormat="1" ht="13.5" customHeight="1">
      <c r="A198" s="2289"/>
      <c r="B198" s="2082"/>
      <c r="C198" s="2082"/>
      <c r="D198" s="2077" t="s">
        <v>1930</v>
      </c>
      <c r="E198" s="2082"/>
      <c r="F198" s="2078">
        <v>20</v>
      </c>
      <c r="G198" s="2079"/>
      <c r="H198" s="2079"/>
      <c r="I198" s="2085"/>
      <c r="J198" s="1226"/>
      <c r="K198" s="1224"/>
      <c r="L198" s="1224"/>
      <c r="M198" s="1224"/>
      <c r="N198" s="1224"/>
      <c r="O198" s="1224"/>
      <c r="P198" s="1224"/>
      <c r="Q198" s="1226"/>
      <c r="R198" s="1226"/>
      <c r="S198" s="1226"/>
      <c r="T198" s="1226"/>
      <c r="U198" s="1226"/>
      <c r="V198" s="1226"/>
      <c r="W198" s="1226"/>
      <c r="X198" s="1226"/>
      <c r="Y198" s="1226"/>
      <c r="Z198" s="1226"/>
      <c r="AA198" s="1226"/>
      <c r="AB198" s="1226"/>
      <c r="AC198" s="1226"/>
      <c r="AD198" s="1226"/>
      <c r="AE198" s="1226"/>
      <c r="AF198" s="1226"/>
      <c r="AG198" s="1226"/>
      <c r="AH198" s="1226"/>
      <c r="AI198" s="1226"/>
      <c r="AJ198" s="1226"/>
      <c r="AK198" s="1226"/>
      <c r="AL198" s="1226"/>
      <c r="AM198" s="1226"/>
      <c r="AN198" s="1226"/>
      <c r="AO198" s="1226"/>
      <c r="AP198" s="1226"/>
      <c r="AQ198" s="1226"/>
      <c r="AR198" s="1226"/>
      <c r="AS198" s="1226"/>
      <c r="AT198" s="1226"/>
      <c r="AU198" s="1226"/>
      <c r="AV198" s="1226"/>
      <c r="AW198" s="1226"/>
      <c r="AX198" s="1226"/>
      <c r="AY198" s="1226"/>
      <c r="AZ198" s="1226"/>
      <c r="BA198" s="1226"/>
      <c r="BB198" s="1226"/>
      <c r="BC198" s="1226"/>
      <c r="BD198" s="1226"/>
      <c r="BE198" s="1226"/>
      <c r="BF198" s="1226"/>
      <c r="BG198" s="1226"/>
      <c r="BH198" s="1226"/>
      <c r="BI198" s="1226"/>
      <c r="BJ198" s="1226"/>
      <c r="BK198" s="1226"/>
      <c r="BL198" s="1226"/>
      <c r="BM198" s="1226"/>
      <c r="BN198" s="1226"/>
      <c r="BO198" s="1226"/>
      <c r="BP198" s="1226"/>
      <c r="BQ198" s="1226"/>
      <c r="BR198" s="1226"/>
      <c r="BS198" s="1226"/>
      <c r="BT198" s="1226"/>
      <c r="BU198" s="1226"/>
      <c r="BV198" s="1226"/>
      <c r="BW198" s="1226"/>
      <c r="BX198" s="1226"/>
      <c r="BY198" s="1226"/>
      <c r="BZ198" s="1226"/>
      <c r="CA198" s="1226"/>
      <c r="CB198" s="1226"/>
      <c r="CC198" s="1226"/>
      <c r="CD198" s="1226"/>
      <c r="CE198" s="1226"/>
      <c r="CF198" s="1226"/>
      <c r="CG198" s="1226"/>
      <c r="CH198" s="1226"/>
      <c r="CI198" s="1226"/>
      <c r="CJ198" s="1226"/>
      <c r="CK198" s="1226"/>
      <c r="CL198" s="1226"/>
      <c r="CM198" s="1226"/>
      <c r="CN198" s="1226"/>
      <c r="CO198" s="1226"/>
      <c r="CP198" s="1226"/>
      <c r="CQ198" s="1226"/>
      <c r="CR198" s="1226"/>
      <c r="CS198" s="1226"/>
    </row>
    <row r="199" spans="1:97" s="1227" customFormat="1" ht="27" customHeight="1">
      <c r="A199" s="2289"/>
      <c r="B199" s="2082"/>
      <c r="C199" s="2082"/>
      <c r="D199" s="2077" t="s">
        <v>1931</v>
      </c>
      <c r="E199" s="2082"/>
      <c r="F199" s="2083"/>
      <c r="G199" s="2079"/>
      <c r="H199" s="2079"/>
      <c r="I199" s="2085"/>
      <c r="J199" s="1226"/>
      <c r="K199" s="1224"/>
      <c r="L199" s="1224"/>
      <c r="M199" s="1224"/>
      <c r="N199" s="1230"/>
      <c r="O199" s="1224"/>
      <c r="P199" s="1224"/>
      <c r="Q199" s="1226"/>
      <c r="R199" s="1226"/>
      <c r="S199" s="1226"/>
      <c r="T199" s="1226"/>
      <c r="U199" s="1226"/>
      <c r="V199" s="1226"/>
      <c r="W199" s="1226"/>
      <c r="X199" s="1226"/>
      <c r="Y199" s="1226"/>
      <c r="Z199" s="1226"/>
      <c r="AA199" s="1226"/>
      <c r="AB199" s="1226"/>
      <c r="AC199" s="1226"/>
      <c r="AD199" s="1226"/>
      <c r="AE199" s="1226"/>
      <c r="AF199" s="1226"/>
      <c r="AG199" s="1226"/>
      <c r="AH199" s="1226"/>
      <c r="AI199" s="1226"/>
      <c r="AJ199" s="1226"/>
      <c r="AK199" s="1226"/>
      <c r="AL199" s="1226"/>
      <c r="AM199" s="1226"/>
      <c r="AN199" s="1226"/>
      <c r="AO199" s="1226"/>
      <c r="AP199" s="1226"/>
      <c r="AQ199" s="1226"/>
      <c r="AR199" s="1226"/>
      <c r="AS199" s="1226"/>
      <c r="AT199" s="1226"/>
      <c r="AU199" s="1226"/>
      <c r="AV199" s="1226"/>
      <c r="AW199" s="1226"/>
      <c r="AX199" s="1226"/>
      <c r="AY199" s="1226"/>
      <c r="AZ199" s="1226"/>
      <c r="BA199" s="1226"/>
      <c r="BB199" s="1226"/>
      <c r="BC199" s="1226"/>
      <c r="BD199" s="1226"/>
      <c r="BE199" s="1226"/>
      <c r="BF199" s="1226"/>
      <c r="BG199" s="1226"/>
      <c r="BH199" s="1226"/>
      <c r="BI199" s="1226"/>
      <c r="BJ199" s="1226"/>
      <c r="BK199" s="1226"/>
      <c r="BL199" s="1226"/>
      <c r="BM199" s="1226"/>
      <c r="BN199" s="1226"/>
      <c r="BO199" s="1226"/>
      <c r="BP199" s="1226"/>
      <c r="BQ199" s="1226"/>
      <c r="BR199" s="1226"/>
      <c r="BS199" s="1226"/>
      <c r="BT199" s="1226"/>
      <c r="BU199" s="1226"/>
      <c r="BV199" s="1226"/>
      <c r="BW199" s="1226"/>
      <c r="BX199" s="1226"/>
      <c r="BY199" s="1226"/>
      <c r="BZ199" s="1226"/>
      <c r="CA199" s="1226"/>
      <c r="CB199" s="1226"/>
      <c r="CC199" s="1226"/>
      <c r="CD199" s="1226"/>
      <c r="CE199" s="1226"/>
      <c r="CF199" s="1226"/>
      <c r="CG199" s="1226"/>
      <c r="CH199" s="1226"/>
      <c r="CI199" s="1226"/>
      <c r="CJ199" s="1226"/>
      <c r="CK199" s="1226"/>
      <c r="CL199" s="1226"/>
      <c r="CM199" s="1226"/>
      <c r="CN199" s="1226"/>
      <c r="CO199" s="1226"/>
      <c r="CP199" s="1226"/>
      <c r="CQ199" s="1226"/>
      <c r="CR199" s="1226"/>
      <c r="CS199" s="1226"/>
    </row>
    <row r="200" spans="1:97" s="1234" customFormat="1" ht="13.5" customHeight="1">
      <c r="A200" s="2301"/>
      <c r="B200" s="2076"/>
      <c r="C200" s="2076">
        <v>741</v>
      </c>
      <c r="D200" s="2076" t="s">
        <v>1934</v>
      </c>
      <c r="E200" s="2076"/>
      <c r="F200" s="2128"/>
      <c r="G200" s="2079"/>
      <c r="H200" s="2130">
        <f>SUM(H201:H225)</f>
        <v>0</v>
      </c>
      <c r="I200" s="2080"/>
      <c r="J200" s="1237"/>
      <c r="K200" s="1238"/>
      <c r="L200" s="1238"/>
      <c r="M200" s="1238"/>
      <c r="N200" s="1238"/>
      <c r="O200" s="1238"/>
      <c r="P200" s="1238"/>
    </row>
    <row r="201" spans="1:97" s="1234" customFormat="1" ht="13.5" customHeight="1">
      <c r="A201" s="2100">
        <v>43</v>
      </c>
      <c r="B201" s="2082">
        <v>741</v>
      </c>
      <c r="C201" s="2082" t="s">
        <v>1935</v>
      </c>
      <c r="D201" s="2082" t="s">
        <v>3197</v>
      </c>
      <c r="E201" s="2082" t="s">
        <v>142</v>
      </c>
      <c r="F201" s="2101">
        <f>ROUND(SUM(F202),3)</f>
        <v>3500</v>
      </c>
      <c r="G201" s="2091"/>
      <c r="H201" s="2072">
        <f t="shared" ref="H201" si="40">ROUND(F201*G201,2)</f>
        <v>0</v>
      </c>
      <c r="I201" s="2118" t="s">
        <v>111</v>
      </c>
      <c r="J201" s="1559"/>
      <c r="K201" s="1527"/>
      <c r="L201" s="1527"/>
      <c r="M201" s="2134"/>
      <c r="N201" s="2134"/>
      <c r="O201" s="2134"/>
      <c r="P201" s="2134"/>
      <c r="Q201" s="1566"/>
      <c r="T201" s="2173"/>
      <c r="U201" s="2173"/>
    </row>
    <row r="202" spans="1:97" s="1234" customFormat="1" ht="13.5" customHeight="1">
      <c r="A202" s="2098"/>
      <c r="B202" s="2076"/>
      <c r="C202" s="2076"/>
      <c r="D202" s="2099" t="s">
        <v>3198</v>
      </c>
      <c r="E202" s="2174"/>
      <c r="F202" s="2175">
        <v>3500</v>
      </c>
      <c r="G202" s="2091"/>
      <c r="H202" s="2091"/>
      <c r="I202" s="2080"/>
      <c r="J202" s="2187"/>
      <c r="K202" s="1238"/>
      <c r="L202" s="1238"/>
      <c r="M202" s="1238"/>
      <c r="N202" s="1238"/>
      <c r="O202" s="1238"/>
      <c r="P202" s="1238"/>
      <c r="T202" s="2173"/>
    </row>
    <row r="203" spans="1:97" s="1234" customFormat="1" ht="27" customHeight="1">
      <c r="A203" s="2098"/>
      <c r="B203" s="2076"/>
      <c r="C203" s="2076"/>
      <c r="D203" s="2077" t="s">
        <v>3199</v>
      </c>
      <c r="E203" s="2122"/>
      <c r="F203" s="2302"/>
      <c r="G203" s="2091"/>
      <c r="H203" s="2091"/>
      <c r="I203" s="2080"/>
      <c r="J203" s="2303"/>
      <c r="K203" s="1238"/>
      <c r="L203" s="1238"/>
      <c r="M203" s="1238"/>
      <c r="N203" s="1238"/>
      <c r="O203" s="1238"/>
      <c r="P203" s="1238"/>
    </row>
    <row r="204" spans="1:97" s="1234" customFormat="1" ht="13.5" customHeight="1">
      <c r="A204" s="2100">
        <v>44</v>
      </c>
      <c r="B204" s="2082">
        <v>741</v>
      </c>
      <c r="C204" s="2082" t="s">
        <v>1936</v>
      </c>
      <c r="D204" s="2082" t="s">
        <v>3200</v>
      </c>
      <c r="E204" s="2082" t="s">
        <v>142</v>
      </c>
      <c r="F204" s="2101">
        <f>ROUND(SUM(F205),3)</f>
        <v>5500</v>
      </c>
      <c r="G204" s="2091"/>
      <c r="H204" s="2072">
        <f t="shared" ref="H204" si="41">ROUND(F204*G204,2)</f>
        <v>0</v>
      </c>
      <c r="I204" s="2118" t="s">
        <v>111</v>
      </c>
      <c r="J204" s="1559"/>
      <c r="K204" s="1527"/>
      <c r="L204" s="1527"/>
      <c r="M204" s="2134"/>
      <c r="N204" s="2134"/>
      <c r="O204" s="2134"/>
      <c r="P204" s="2134"/>
      <c r="Q204" s="1566"/>
      <c r="T204" s="2173"/>
      <c r="U204" s="2173"/>
    </row>
    <row r="205" spans="1:97" s="1234" customFormat="1" ht="13.5" customHeight="1">
      <c r="A205" s="2098"/>
      <c r="B205" s="2076"/>
      <c r="C205" s="2076"/>
      <c r="D205" s="2099" t="s">
        <v>3198</v>
      </c>
      <c r="E205" s="2174"/>
      <c r="F205" s="2175">
        <v>5500</v>
      </c>
      <c r="G205" s="2091"/>
      <c r="H205" s="2091"/>
      <c r="I205" s="2080"/>
      <c r="J205" s="2187"/>
      <c r="K205" s="1238"/>
      <c r="L205" s="1238"/>
      <c r="M205" s="1238"/>
      <c r="N205" s="1238"/>
      <c r="O205" s="1238"/>
      <c r="P205" s="1238"/>
      <c r="T205" s="2173"/>
    </row>
    <row r="206" spans="1:97" s="1234" customFormat="1" ht="27" customHeight="1">
      <c r="A206" s="2098"/>
      <c r="B206" s="2076"/>
      <c r="C206" s="2076"/>
      <c r="D206" s="2077" t="s">
        <v>3199</v>
      </c>
      <c r="E206" s="2174"/>
      <c r="F206" s="2176"/>
      <c r="G206" s="2091"/>
      <c r="H206" s="2091"/>
      <c r="I206" s="2080"/>
      <c r="J206" s="2303"/>
      <c r="K206" s="1238"/>
      <c r="L206" s="1238"/>
      <c r="M206" s="1238"/>
      <c r="N206" s="1238"/>
      <c r="O206" s="1238"/>
      <c r="P206" s="1238"/>
    </row>
    <row r="207" spans="1:97" s="1234" customFormat="1" ht="13.5" customHeight="1">
      <c r="A207" s="2100">
        <v>45</v>
      </c>
      <c r="B207" s="2082">
        <v>741</v>
      </c>
      <c r="C207" s="2082" t="s">
        <v>1937</v>
      </c>
      <c r="D207" s="2082" t="s">
        <v>3201</v>
      </c>
      <c r="E207" s="2082" t="s">
        <v>142</v>
      </c>
      <c r="F207" s="2101">
        <f>ROUND(SUM(F208),3)</f>
        <v>120</v>
      </c>
      <c r="G207" s="2091"/>
      <c r="H207" s="2072">
        <f t="shared" ref="H207" si="42">ROUND(F207*G207,2)</f>
        <v>0</v>
      </c>
      <c r="I207" s="2118" t="s">
        <v>111</v>
      </c>
      <c r="J207" s="1559"/>
      <c r="K207" s="1527"/>
      <c r="L207" s="1527"/>
      <c r="M207" s="2134"/>
      <c r="N207" s="2134"/>
      <c r="O207" s="2134"/>
      <c r="P207" s="2134"/>
      <c r="Q207" s="1566"/>
      <c r="T207" s="2173"/>
      <c r="U207" s="2173"/>
    </row>
    <row r="208" spans="1:97" s="1234" customFormat="1" ht="13.5" customHeight="1">
      <c r="A208" s="2098"/>
      <c r="B208" s="2076"/>
      <c r="C208" s="2076"/>
      <c r="D208" s="2099" t="s">
        <v>3198</v>
      </c>
      <c r="E208" s="2174"/>
      <c r="F208" s="2175">
        <v>120</v>
      </c>
      <c r="G208" s="2091"/>
      <c r="H208" s="2091"/>
      <c r="I208" s="2080"/>
      <c r="J208" s="2187"/>
      <c r="K208" s="1238"/>
      <c r="L208" s="1238"/>
      <c r="M208" s="1238"/>
      <c r="N208" s="1238"/>
      <c r="O208" s="1238"/>
      <c r="P208" s="1238"/>
      <c r="T208" s="2173"/>
    </row>
    <row r="209" spans="1:97" s="1234" customFormat="1" ht="27" customHeight="1">
      <c r="A209" s="2098"/>
      <c r="B209" s="2076"/>
      <c r="C209" s="2076"/>
      <c r="D209" s="2077" t="s">
        <v>3199</v>
      </c>
      <c r="E209" s="2174"/>
      <c r="F209" s="2176"/>
      <c r="G209" s="2091"/>
      <c r="H209" s="2091"/>
      <c r="I209" s="2080"/>
      <c r="J209" s="2303"/>
      <c r="K209" s="1238"/>
      <c r="L209" s="1238"/>
      <c r="M209" s="1238"/>
      <c r="N209" s="1238"/>
      <c r="O209" s="1238"/>
      <c r="P209" s="1238"/>
    </row>
    <row r="210" spans="1:97" s="1234" customFormat="1" ht="13.5" customHeight="1">
      <c r="A210" s="2100">
        <v>46</v>
      </c>
      <c r="B210" s="2082">
        <v>741</v>
      </c>
      <c r="C210" s="2082" t="s">
        <v>1938</v>
      </c>
      <c r="D210" s="2082" t="s">
        <v>3202</v>
      </c>
      <c r="E210" s="2082" t="s">
        <v>142</v>
      </c>
      <c r="F210" s="2101">
        <f>ROUND(SUM(F211),3)</f>
        <v>300</v>
      </c>
      <c r="G210" s="2091"/>
      <c r="H210" s="2072">
        <f t="shared" ref="H210" si="43">ROUND(F210*G210,2)</f>
        <v>0</v>
      </c>
      <c r="I210" s="2118" t="s">
        <v>111</v>
      </c>
      <c r="J210" s="1559"/>
      <c r="K210" s="1527"/>
      <c r="L210" s="1527"/>
      <c r="M210" s="2134"/>
      <c r="N210" s="2134"/>
      <c r="O210" s="2134"/>
      <c r="P210" s="2134"/>
      <c r="Q210" s="1566"/>
      <c r="T210" s="2173"/>
      <c r="U210" s="2173"/>
    </row>
    <row r="211" spans="1:97" s="1234" customFormat="1" ht="13.5" customHeight="1">
      <c r="A211" s="2098"/>
      <c r="B211" s="2076"/>
      <c r="C211" s="2076"/>
      <c r="D211" s="2099" t="s">
        <v>3198</v>
      </c>
      <c r="E211" s="2174"/>
      <c r="F211" s="2175">
        <v>300</v>
      </c>
      <c r="G211" s="2091"/>
      <c r="H211" s="2091"/>
      <c r="I211" s="2080"/>
      <c r="J211" s="2187"/>
      <c r="K211" s="1238"/>
      <c r="L211" s="1238"/>
      <c r="M211" s="1238"/>
      <c r="N211" s="1238"/>
      <c r="O211" s="1238"/>
      <c r="P211" s="1238"/>
      <c r="T211" s="2173"/>
    </row>
    <row r="212" spans="1:97" s="1234" customFormat="1" ht="27" customHeight="1">
      <c r="A212" s="2098"/>
      <c r="B212" s="2076"/>
      <c r="C212" s="2076"/>
      <c r="D212" s="2077" t="s">
        <v>3199</v>
      </c>
      <c r="E212" s="2174"/>
      <c r="F212" s="2176"/>
      <c r="G212" s="2091"/>
      <c r="H212" s="2091"/>
      <c r="I212" s="2080"/>
      <c r="J212" s="2303"/>
      <c r="K212" s="1238"/>
      <c r="L212" s="1238"/>
      <c r="M212" s="1238"/>
      <c r="N212" s="1238"/>
      <c r="O212" s="1238"/>
      <c r="P212" s="1238"/>
    </row>
    <row r="213" spans="1:97" s="1234" customFormat="1" ht="13.5" customHeight="1">
      <c r="A213" s="2100">
        <v>47</v>
      </c>
      <c r="B213" s="2082">
        <v>741</v>
      </c>
      <c r="C213" s="2082" t="s">
        <v>3203</v>
      </c>
      <c r="D213" s="2082" t="s">
        <v>3204</v>
      </c>
      <c r="E213" s="2082" t="s">
        <v>142</v>
      </c>
      <c r="F213" s="2101">
        <f>ROUND(SUM(F214),3)</f>
        <v>350</v>
      </c>
      <c r="G213" s="2091"/>
      <c r="H213" s="2072">
        <f t="shared" ref="H213" si="44">ROUND(F213*G213,2)</f>
        <v>0</v>
      </c>
      <c r="I213" s="2118" t="s">
        <v>111</v>
      </c>
      <c r="J213" s="1559"/>
      <c r="K213" s="1527"/>
      <c r="L213" s="1527"/>
      <c r="M213" s="2134"/>
      <c r="N213" s="2134"/>
      <c r="O213" s="2134"/>
      <c r="P213" s="2134"/>
      <c r="Q213" s="1566"/>
      <c r="T213" s="2173"/>
      <c r="U213" s="2173"/>
    </row>
    <row r="214" spans="1:97" s="1234" customFormat="1" ht="13.5" customHeight="1">
      <c r="A214" s="2098"/>
      <c r="B214" s="2076"/>
      <c r="C214" s="2076"/>
      <c r="D214" s="2099" t="s">
        <v>3198</v>
      </c>
      <c r="E214" s="2174"/>
      <c r="F214" s="2175">
        <v>350</v>
      </c>
      <c r="G214" s="2091"/>
      <c r="H214" s="2091"/>
      <c r="I214" s="2080"/>
      <c r="J214" s="2187"/>
      <c r="K214" s="1238"/>
      <c r="L214" s="1238"/>
      <c r="M214" s="1238"/>
      <c r="N214" s="1238"/>
      <c r="O214" s="1238"/>
      <c r="P214" s="1238"/>
      <c r="T214" s="2173"/>
    </row>
    <row r="215" spans="1:97" s="1234" customFormat="1" ht="27" customHeight="1">
      <c r="A215" s="2098"/>
      <c r="B215" s="2076"/>
      <c r="C215" s="2076"/>
      <c r="D215" s="2077" t="s">
        <v>3199</v>
      </c>
      <c r="E215" s="2174"/>
      <c r="F215" s="2176"/>
      <c r="G215" s="2091"/>
      <c r="H215" s="2091"/>
      <c r="I215" s="2080"/>
      <c r="J215" s="2303"/>
      <c r="K215" s="1238"/>
      <c r="L215" s="1238"/>
      <c r="M215" s="1238"/>
      <c r="N215" s="1238"/>
      <c r="O215" s="1238"/>
      <c r="P215" s="1238"/>
    </row>
    <row r="216" spans="1:97" s="1234" customFormat="1" ht="13.5" customHeight="1">
      <c r="A216" s="2100">
        <v>48</v>
      </c>
      <c r="B216" s="2082">
        <v>741</v>
      </c>
      <c r="C216" s="2082" t="s">
        <v>3205</v>
      </c>
      <c r="D216" s="2082" t="s">
        <v>3206</v>
      </c>
      <c r="E216" s="2082" t="s">
        <v>142</v>
      </c>
      <c r="F216" s="2101">
        <f>ROUND(SUM(F217),3)</f>
        <v>200</v>
      </c>
      <c r="G216" s="2091"/>
      <c r="H216" s="2072">
        <f t="shared" ref="H216" si="45">ROUND(F216*G216,2)</f>
        <v>0</v>
      </c>
      <c r="I216" s="2118" t="s">
        <v>111</v>
      </c>
      <c r="J216" s="1559"/>
      <c r="K216" s="1527"/>
      <c r="L216" s="1527"/>
      <c r="M216" s="2134"/>
      <c r="N216" s="2134"/>
      <c r="O216" s="2134"/>
      <c r="P216" s="2134"/>
      <c r="Q216" s="1566"/>
      <c r="T216" s="2173"/>
      <c r="U216" s="2173"/>
    </row>
    <row r="217" spans="1:97" s="1234" customFormat="1" ht="13.5" customHeight="1">
      <c r="A217" s="2098"/>
      <c r="B217" s="2076"/>
      <c r="C217" s="2076"/>
      <c r="D217" s="2099" t="s">
        <v>3198</v>
      </c>
      <c r="E217" s="2174"/>
      <c r="F217" s="2175">
        <v>200</v>
      </c>
      <c r="G217" s="2091"/>
      <c r="H217" s="2091"/>
      <c r="I217" s="2080"/>
      <c r="J217" s="2187"/>
      <c r="K217" s="1238"/>
      <c r="L217" s="1238"/>
      <c r="M217" s="1238"/>
      <c r="N217" s="1238"/>
      <c r="O217" s="1238"/>
      <c r="P217" s="1238"/>
      <c r="T217" s="2173"/>
    </row>
    <row r="218" spans="1:97" s="1234" customFormat="1" ht="27" customHeight="1">
      <c r="A218" s="2098"/>
      <c r="B218" s="2076"/>
      <c r="C218" s="2076"/>
      <c r="D218" s="2077" t="s">
        <v>3199</v>
      </c>
      <c r="E218" s="2174"/>
      <c r="F218" s="2176"/>
      <c r="G218" s="2091"/>
      <c r="H218" s="2091"/>
      <c r="I218" s="2080"/>
      <c r="J218" s="2303"/>
      <c r="K218" s="1238"/>
      <c r="L218" s="1238"/>
      <c r="M218" s="1238"/>
      <c r="N218" s="1238"/>
      <c r="O218" s="1238"/>
      <c r="P218" s="1238"/>
    </row>
    <row r="219" spans="1:97" s="1234" customFormat="1" ht="13.5" customHeight="1">
      <c r="A219" s="2100">
        <v>49</v>
      </c>
      <c r="B219" s="2082">
        <v>741</v>
      </c>
      <c r="C219" s="2082" t="s">
        <v>3207</v>
      </c>
      <c r="D219" s="2304" t="s">
        <v>3208</v>
      </c>
      <c r="E219" s="2305" t="s">
        <v>49</v>
      </c>
      <c r="F219" s="2306">
        <f>SUM(F220)</f>
        <v>1</v>
      </c>
      <c r="G219" s="2307"/>
      <c r="H219" s="2072">
        <f t="shared" ref="H219" si="46">ROUND(F219*G219,2)</f>
        <v>0</v>
      </c>
      <c r="I219" s="2118" t="s">
        <v>111</v>
      </c>
      <c r="J219" s="2303"/>
      <c r="K219" s="1238"/>
      <c r="L219" s="1238"/>
      <c r="M219" s="1238"/>
      <c r="N219" s="2308"/>
      <c r="O219" s="1238"/>
      <c r="P219" s="1238"/>
    </row>
    <row r="220" spans="1:97" s="1234" customFormat="1" ht="28.5" customHeight="1">
      <c r="A220" s="2098"/>
      <c r="B220" s="2076"/>
      <c r="C220" s="2076"/>
      <c r="D220" s="2309" t="s">
        <v>3209</v>
      </c>
      <c r="E220" s="2305"/>
      <c r="F220" s="2310">
        <v>1</v>
      </c>
      <c r="G220" s="2307"/>
      <c r="H220" s="2307"/>
      <c r="I220" s="2080"/>
      <c r="J220" s="2303"/>
      <c r="K220" s="1238"/>
      <c r="L220" s="2311"/>
      <c r="M220" s="2311"/>
      <c r="N220" s="2311"/>
      <c r="O220" s="2311"/>
      <c r="P220" s="2311"/>
      <c r="R220" s="2141"/>
    </row>
    <row r="221" spans="1:97" s="1234" customFormat="1" ht="94.5" customHeight="1">
      <c r="A221" s="2098"/>
      <c r="B221" s="2076"/>
      <c r="C221" s="2076"/>
      <c r="D221" s="2312" t="s">
        <v>3210</v>
      </c>
      <c r="E221" s="2174"/>
      <c r="F221" s="2176"/>
      <c r="G221" s="2313"/>
      <c r="H221" s="2314"/>
      <c r="I221" s="2315"/>
      <c r="J221" s="2303"/>
      <c r="K221" s="1238"/>
      <c r="L221" s="1238"/>
      <c r="M221" s="1238"/>
      <c r="N221" s="1238"/>
      <c r="O221" s="1238"/>
      <c r="P221" s="1238"/>
    </row>
    <row r="222" spans="1:97" s="1225" customFormat="1" ht="13.5" customHeight="1">
      <c r="A222" s="2316" t="s">
        <v>1323</v>
      </c>
      <c r="B222" s="2317">
        <v>741</v>
      </c>
      <c r="C222" s="2317">
        <v>998741312</v>
      </c>
      <c r="D222" s="2317" t="s">
        <v>3149</v>
      </c>
      <c r="E222" s="2317" t="s">
        <v>10</v>
      </c>
      <c r="F222" s="2318">
        <v>0.78</v>
      </c>
      <c r="G222" s="2319"/>
      <c r="H222" s="2320">
        <f t="shared" ref="H222:H223" si="47">ROUND(F222*G222,2)</f>
        <v>0</v>
      </c>
      <c r="I222" s="2321" t="s">
        <v>1927</v>
      </c>
      <c r="J222" s="1222"/>
      <c r="K222" s="1223"/>
      <c r="L222" s="1224"/>
      <c r="M222" s="1224"/>
      <c r="N222" s="1224"/>
      <c r="O222" s="1224"/>
      <c r="P222" s="1224"/>
      <c r="Q222" s="1191"/>
      <c r="R222" s="1191"/>
      <c r="S222" s="1191"/>
      <c r="T222" s="1191"/>
      <c r="U222" s="1191"/>
      <c r="V222" s="1191"/>
      <c r="W222" s="1191"/>
      <c r="X222" s="1191"/>
      <c r="Y222" s="1191"/>
      <c r="Z222" s="1191"/>
      <c r="AA222" s="1191"/>
      <c r="AB222" s="1191"/>
      <c r="AC222" s="1191"/>
      <c r="AD222" s="1191"/>
      <c r="AE222" s="1191"/>
      <c r="AF222" s="1191"/>
      <c r="AG222" s="1191"/>
      <c r="AH222" s="1191"/>
      <c r="AI222" s="1191"/>
      <c r="AJ222" s="1191"/>
      <c r="AK222" s="1191"/>
      <c r="AL222" s="1191"/>
      <c r="AM222" s="1191"/>
      <c r="AN222" s="1191"/>
      <c r="AO222" s="1191"/>
      <c r="AP222" s="1191"/>
      <c r="AQ222" s="1191"/>
      <c r="AR222" s="1191"/>
      <c r="AS222" s="1191"/>
      <c r="AT222" s="1191"/>
      <c r="AU222" s="1191"/>
      <c r="AV222" s="1191"/>
      <c r="AW222" s="1191"/>
      <c r="AX222" s="1191"/>
      <c r="AY222" s="1191"/>
      <c r="AZ222" s="1191"/>
      <c r="BA222" s="1191"/>
      <c r="BB222" s="1191"/>
      <c r="BC222" s="1191"/>
      <c r="BD222" s="1191"/>
      <c r="BE222" s="1191"/>
      <c r="BF222" s="1191"/>
      <c r="BG222" s="1191"/>
      <c r="BH222" s="1191"/>
      <c r="BI222" s="1191"/>
      <c r="BJ222" s="1191"/>
      <c r="BK222" s="1191"/>
      <c r="BL222" s="1191"/>
      <c r="BM222" s="1191"/>
      <c r="BN222" s="1191"/>
      <c r="BO222" s="1191"/>
      <c r="BP222" s="1191"/>
      <c r="BQ222" s="1191"/>
      <c r="BR222" s="1191"/>
      <c r="BS222" s="1191"/>
      <c r="BT222" s="1191"/>
      <c r="BU222" s="1191"/>
      <c r="BV222" s="1191"/>
      <c r="BW222" s="1191"/>
      <c r="BX222" s="1191"/>
      <c r="BY222" s="1191"/>
      <c r="BZ222" s="1191"/>
      <c r="CA222" s="1191"/>
      <c r="CB222" s="1191"/>
      <c r="CC222" s="1191"/>
      <c r="CD222" s="1191"/>
      <c r="CE222" s="1191"/>
      <c r="CF222" s="1191"/>
      <c r="CG222" s="1191"/>
      <c r="CH222" s="1191"/>
      <c r="CI222" s="1191"/>
      <c r="CJ222" s="1191"/>
      <c r="CK222" s="1191"/>
      <c r="CL222" s="1191"/>
      <c r="CM222" s="1191"/>
      <c r="CN222" s="1191"/>
      <c r="CO222" s="1191"/>
      <c r="CP222" s="1191"/>
      <c r="CQ222" s="1191"/>
      <c r="CR222" s="1191"/>
      <c r="CS222" s="1191"/>
    </row>
    <row r="223" spans="1:97" s="1227" customFormat="1" ht="13.5" customHeight="1">
      <c r="A223" s="2316" t="s">
        <v>3211</v>
      </c>
      <c r="B223" s="2317" t="s">
        <v>369</v>
      </c>
      <c r="C223" s="2317" t="s">
        <v>1928</v>
      </c>
      <c r="D223" s="2317" t="s">
        <v>1929</v>
      </c>
      <c r="E223" s="2317" t="s">
        <v>69</v>
      </c>
      <c r="F223" s="2322">
        <f>ROUND(SUM(F224),3)</f>
        <v>20</v>
      </c>
      <c r="G223" s="2319"/>
      <c r="H223" s="2320">
        <f t="shared" si="47"/>
        <v>0</v>
      </c>
      <c r="I223" s="2321" t="s">
        <v>1927</v>
      </c>
      <c r="J223" s="1197"/>
      <c r="K223" s="1224"/>
      <c r="L223" s="1224"/>
      <c r="M223" s="1224"/>
      <c r="N223" s="1224"/>
      <c r="O223" s="1224"/>
      <c r="P223" s="1224"/>
      <c r="Q223" s="1226"/>
      <c r="R223" s="1226"/>
      <c r="S223" s="1226"/>
      <c r="T223" s="1226"/>
      <c r="U223" s="1226"/>
      <c r="V223" s="1226"/>
      <c r="W223" s="1226"/>
      <c r="X223" s="1226"/>
      <c r="Y223" s="1226"/>
      <c r="Z223" s="1226"/>
      <c r="AA223" s="1226"/>
      <c r="AB223" s="1226"/>
      <c r="AC223" s="1226"/>
      <c r="AD223" s="1226"/>
      <c r="AE223" s="1226"/>
      <c r="AF223" s="1226"/>
      <c r="AG223" s="1226"/>
      <c r="AH223" s="1226"/>
      <c r="AI223" s="1226"/>
      <c r="AJ223" s="1226"/>
      <c r="AK223" s="1226"/>
      <c r="AL223" s="1226"/>
      <c r="AM223" s="1226"/>
      <c r="AN223" s="1226"/>
      <c r="AO223" s="1226"/>
      <c r="AP223" s="1226"/>
      <c r="AQ223" s="1226"/>
      <c r="AR223" s="1226"/>
      <c r="AS223" s="1226"/>
      <c r="AT223" s="1226"/>
      <c r="AU223" s="1226"/>
      <c r="AV223" s="1226"/>
      <c r="AW223" s="1226"/>
      <c r="AX223" s="1226"/>
      <c r="AY223" s="1226"/>
      <c r="AZ223" s="1226"/>
      <c r="BA223" s="1226"/>
      <c r="BB223" s="1226"/>
      <c r="BC223" s="1226"/>
      <c r="BD223" s="1226"/>
      <c r="BE223" s="1226"/>
      <c r="BF223" s="1226"/>
      <c r="BG223" s="1226"/>
      <c r="BH223" s="1226"/>
      <c r="BI223" s="1226"/>
      <c r="BJ223" s="1226"/>
      <c r="BK223" s="1226"/>
      <c r="BL223" s="1226"/>
      <c r="BM223" s="1226"/>
      <c r="BN223" s="1226"/>
      <c r="BO223" s="1226"/>
      <c r="BP223" s="1226"/>
      <c r="BQ223" s="1226"/>
      <c r="BR223" s="1226"/>
      <c r="BS223" s="1226"/>
      <c r="BT223" s="1226"/>
      <c r="BU223" s="1226"/>
      <c r="BV223" s="1226"/>
      <c r="BW223" s="1226"/>
      <c r="BX223" s="1226"/>
      <c r="BY223" s="1226"/>
      <c r="BZ223" s="1226"/>
      <c r="CA223" s="1226"/>
      <c r="CB223" s="1226"/>
      <c r="CC223" s="1226"/>
      <c r="CD223" s="1226"/>
      <c r="CE223" s="1226"/>
      <c r="CF223" s="1226"/>
      <c r="CG223" s="1226"/>
      <c r="CH223" s="1226"/>
      <c r="CI223" s="1226"/>
      <c r="CJ223" s="1226"/>
      <c r="CK223" s="1226"/>
      <c r="CL223" s="1226"/>
      <c r="CM223" s="1226"/>
      <c r="CN223" s="1226"/>
      <c r="CO223" s="1226"/>
      <c r="CP223" s="1226"/>
      <c r="CQ223" s="1226"/>
      <c r="CR223" s="1226"/>
      <c r="CS223" s="1226"/>
    </row>
    <row r="224" spans="1:97" s="1227" customFormat="1" ht="13.5" customHeight="1">
      <c r="A224" s="2316"/>
      <c r="B224" s="2317"/>
      <c r="C224" s="2317"/>
      <c r="D224" s="2323" t="s">
        <v>1930</v>
      </c>
      <c r="E224" s="2317"/>
      <c r="F224" s="2324">
        <v>20</v>
      </c>
      <c r="G224" s="2319"/>
      <c r="H224" s="2319"/>
      <c r="I224" s="2321"/>
      <c r="J224" s="1226"/>
      <c r="K224" s="1224"/>
      <c r="L224" s="1224"/>
      <c r="M224" s="1224"/>
      <c r="N224" s="1224"/>
      <c r="O224" s="1224"/>
      <c r="P224" s="1224"/>
      <c r="Q224" s="1226"/>
      <c r="R224" s="1226"/>
      <c r="S224" s="1226"/>
      <c r="T224" s="1226"/>
      <c r="U224" s="1226"/>
      <c r="V224" s="1226"/>
      <c r="W224" s="1226"/>
      <c r="X224" s="1226"/>
      <c r="Y224" s="1226"/>
      <c r="Z224" s="1226"/>
      <c r="AA224" s="1226"/>
      <c r="AB224" s="1226"/>
      <c r="AC224" s="1226"/>
      <c r="AD224" s="1226"/>
      <c r="AE224" s="1226"/>
      <c r="AF224" s="1226"/>
      <c r="AG224" s="1226"/>
      <c r="AH224" s="1226"/>
      <c r="AI224" s="1226"/>
      <c r="AJ224" s="1226"/>
      <c r="AK224" s="1226"/>
      <c r="AL224" s="1226"/>
      <c r="AM224" s="1226"/>
      <c r="AN224" s="1226"/>
      <c r="AO224" s="1226"/>
      <c r="AP224" s="1226"/>
      <c r="AQ224" s="1226"/>
      <c r="AR224" s="1226"/>
      <c r="AS224" s="1226"/>
      <c r="AT224" s="1226"/>
      <c r="AU224" s="1226"/>
      <c r="AV224" s="1226"/>
      <c r="AW224" s="1226"/>
      <c r="AX224" s="1226"/>
      <c r="AY224" s="1226"/>
      <c r="AZ224" s="1226"/>
      <c r="BA224" s="1226"/>
      <c r="BB224" s="1226"/>
      <c r="BC224" s="1226"/>
      <c r="BD224" s="1226"/>
      <c r="BE224" s="1226"/>
      <c r="BF224" s="1226"/>
      <c r="BG224" s="1226"/>
      <c r="BH224" s="1226"/>
      <c r="BI224" s="1226"/>
      <c r="BJ224" s="1226"/>
      <c r="BK224" s="1226"/>
      <c r="BL224" s="1226"/>
      <c r="BM224" s="1226"/>
      <c r="BN224" s="1226"/>
      <c r="BO224" s="1226"/>
      <c r="BP224" s="1226"/>
      <c r="BQ224" s="1226"/>
      <c r="BR224" s="1226"/>
      <c r="BS224" s="1226"/>
      <c r="BT224" s="1226"/>
      <c r="BU224" s="1226"/>
      <c r="BV224" s="1226"/>
      <c r="BW224" s="1226"/>
      <c r="BX224" s="1226"/>
      <c r="BY224" s="1226"/>
      <c r="BZ224" s="1226"/>
      <c r="CA224" s="1226"/>
      <c r="CB224" s="1226"/>
      <c r="CC224" s="1226"/>
      <c r="CD224" s="1226"/>
      <c r="CE224" s="1226"/>
      <c r="CF224" s="1226"/>
      <c r="CG224" s="1226"/>
      <c r="CH224" s="1226"/>
      <c r="CI224" s="1226"/>
      <c r="CJ224" s="1226"/>
      <c r="CK224" s="1226"/>
      <c r="CL224" s="1226"/>
      <c r="CM224" s="1226"/>
      <c r="CN224" s="1226"/>
      <c r="CO224" s="1226"/>
      <c r="CP224" s="1226"/>
      <c r="CQ224" s="1226"/>
      <c r="CR224" s="1226"/>
      <c r="CS224" s="1226"/>
    </row>
    <row r="225" spans="1:108" s="1227" customFormat="1" ht="27" customHeight="1">
      <c r="A225" s="2316"/>
      <c r="B225" s="2317"/>
      <c r="C225" s="2317"/>
      <c r="D225" s="2323" t="s">
        <v>1931</v>
      </c>
      <c r="E225" s="2317"/>
      <c r="F225" s="2318"/>
      <c r="G225" s="2319"/>
      <c r="H225" s="2319"/>
      <c r="I225" s="2321"/>
      <c r="J225" s="1226"/>
      <c r="K225" s="1224"/>
      <c r="L225" s="1224"/>
      <c r="M225" s="1224"/>
      <c r="N225" s="1230"/>
      <c r="O225" s="1224"/>
      <c r="P225" s="1224"/>
      <c r="Q225" s="1226"/>
      <c r="R225" s="1226"/>
      <c r="S225" s="1226"/>
      <c r="T225" s="1226"/>
      <c r="U225" s="1226"/>
      <c r="V225" s="1226"/>
      <c r="W225" s="1226"/>
      <c r="X225" s="1226"/>
      <c r="Y225" s="1226"/>
      <c r="Z225" s="1226"/>
      <c r="AA225" s="1226"/>
      <c r="AB225" s="1226"/>
      <c r="AC225" s="1226"/>
      <c r="AD225" s="1226"/>
      <c r="AE225" s="1226"/>
      <c r="AF225" s="1226"/>
      <c r="AG225" s="1226"/>
      <c r="AH225" s="1226"/>
      <c r="AI225" s="1226"/>
      <c r="AJ225" s="1226"/>
      <c r="AK225" s="1226"/>
      <c r="AL225" s="1226"/>
      <c r="AM225" s="1226"/>
      <c r="AN225" s="1226"/>
      <c r="AO225" s="1226"/>
      <c r="AP225" s="1226"/>
      <c r="AQ225" s="1226"/>
      <c r="AR225" s="1226"/>
      <c r="AS225" s="1226"/>
      <c r="AT225" s="1226"/>
      <c r="AU225" s="1226"/>
      <c r="AV225" s="1226"/>
      <c r="AW225" s="1226"/>
      <c r="AX225" s="1226"/>
      <c r="AY225" s="1226"/>
      <c r="AZ225" s="1226"/>
      <c r="BA225" s="1226"/>
      <c r="BB225" s="1226"/>
      <c r="BC225" s="1226"/>
      <c r="BD225" s="1226"/>
      <c r="BE225" s="1226"/>
      <c r="BF225" s="1226"/>
      <c r="BG225" s="1226"/>
      <c r="BH225" s="1226"/>
      <c r="BI225" s="1226"/>
      <c r="BJ225" s="1226"/>
      <c r="BK225" s="1226"/>
      <c r="BL225" s="1226"/>
      <c r="BM225" s="1226"/>
      <c r="BN225" s="1226"/>
      <c r="BO225" s="1226"/>
      <c r="BP225" s="1226"/>
      <c r="BQ225" s="1226"/>
      <c r="BR225" s="1226"/>
      <c r="BS225" s="1226"/>
      <c r="BT225" s="1226"/>
      <c r="BU225" s="1226"/>
      <c r="BV225" s="1226"/>
      <c r="BW225" s="1226"/>
      <c r="BX225" s="1226"/>
      <c r="BY225" s="1226"/>
      <c r="BZ225" s="1226"/>
      <c r="CA225" s="1226"/>
      <c r="CB225" s="1226"/>
      <c r="CC225" s="1226"/>
      <c r="CD225" s="1226"/>
      <c r="CE225" s="1226"/>
      <c r="CF225" s="1226"/>
      <c r="CG225" s="1226"/>
      <c r="CH225" s="1226"/>
      <c r="CI225" s="1226"/>
      <c r="CJ225" s="1226"/>
      <c r="CK225" s="1226"/>
      <c r="CL225" s="1226"/>
      <c r="CM225" s="1226"/>
      <c r="CN225" s="1226"/>
      <c r="CO225" s="1226"/>
      <c r="CP225" s="1226"/>
      <c r="CQ225" s="1226"/>
      <c r="CR225" s="1226"/>
      <c r="CS225" s="1226"/>
    </row>
    <row r="226" spans="1:108" s="1234" customFormat="1" ht="13.5" customHeight="1">
      <c r="A226" s="2325"/>
      <c r="B226" s="2326"/>
      <c r="C226" s="2326">
        <v>741</v>
      </c>
      <c r="D226" s="2326" t="s">
        <v>1939</v>
      </c>
      <c r="E226" s="2326"/>
      <c r="F226" s="2327"/>
      <c r="G226" s="2319"/>
      <c r="H226" s="2066">
        <f>SUM(H227:H262)</f>
        <v>0</v>
      </c>
      <c r="I226" s="2315"/>
      <c r="J226" s="1237"/>
      <c r="K226" s="1238"/>
      <c r="L226" s="1238"/>
      <c r="M226" s="1238"/>
      <c r="N226" s="1238"/>
      <c r="O226" s="1238"/>
      <c r="P226" s="1238"/>
    </row>
    <row r="227" spans="1:108" s="1225" customFormat="1" ht="13.5" customHeight="1">
      <c r="A227" s="2328">
        <v>52</v>
      </c>
      <c r="B227" s="2317">
        <v>741</v>
      </c>
      <c r="C227" s="2317" t="s">
        <v>1940</v>
      </c>
      <c r="D227" s="2317" t="s">
        <v>3212</v>
      </c>
      <c r="E227" s="2317" t="s">
        <v>49</v>
      </c>
      <c r="F227" s="2318">
        <f>F229</f>
        <v>1</v>
      </c>
      <c r="G227" s="2314"/>
      <c r="H227" s="2320">
        <f t="shared" ref="H227" si="48">ROUND(F227*G227,2)</f>
        <v>0</v>
      </c>
      <c r="I227" s="2329" t="s">
        <v>111</v>
      </c>
      <c r="J227" s="1486"/>
      <c r="K227" s="2330"/>
      <c r="L227" s="1191"/>
      <c r="M227" s="1191"/>
      <c r="N227" s="1191"/>
      <c r="O227" s="1191"/>
      <c r="P227" s="1191"/>
      <c r="Q227" s="1191"/>
      <c r="R227" s="1191"/>
      <c r="S227" s="1191"/>
      <c r="T227" s="1191"/>
      <c r="U227" s="1191"/>
      <c r="V227" s="1191"/>
      <c r="W227" s="1191"/>
      <c r="X227" s="1191"/>
      <c r="Y227" s="1191"/>
      <c r="Z227" s="1191"/>
      <c r="AA227" s="1191"/>
      <c r="AB227" s="1191"/>
      <c r="AC227" s="1191"/>
      <c r="AD227" s="1191"/>
      <c r="AE227" s="1191"/>
      <c r="AF227" s="1191"/>
      <c r="AG227" s="1191"/>
      <c r="AH227" s="1191"/>
      <c r="AI227" s="1191"/>
      <c r="AJ227" s="1191"/>
      <c r="AK227" s="1191"/>
      <c r="AL227" s="1191"/>
      <c r="AM227" s="1191"/>
      <c r="AN227" s="1191"/>
      <c r="AO227" s="1191"/>
      <c r="AP227" s="1191"/>
      <c r="AQ227" s="1191"/>
      <c r="AR227" s="1191"/>
      <c r="AS227" s="1191"/>
      <c r="AT227" s="1191"/>
      <c r="AU227" s="1191"/>
      <c r="AV227" s="1191"/>
      <c r="AW227" s="1191"/>
      <c r="AX227" s="1191"/>
      <c r="AY227" s="1191"/>
      <c r="AZ227" s="1191"/>
      <c r="BA227" s="1191"/>
      <c r="BB227" s="1191"/>
      <c r="BC227" s="1191"/>
      <c r="BD227" s="1191"/>
      <c r="BE227" s="1191"/>
      <c r="BF227" s="1191"/>
      <c r="BG227" s="1191"/>
      <c r="BH227" s="1191"/>
      <c r="BI227" s="1191"/>
      <c r="BJ227" s="1191"/>
      <c r="BK227" s="1191"/>
      <c r="BL227" s="1191"/>
      <c r="BM227" s="1191"/>
      <c r="BN227" s="1191"/>
      <c r="BO227" s="1191"/>
      <c r="BP227" s="1191"/>
      <c r="BQ227" s="1191"/>
      <c r="BR227" s="1191"/>
      <c r="BS227" s="1191"/>
      <c r="BT227" s="1191"/>
      <c r="BU227" s="1191"/>
      <c r="BV227" s="1191"/>
      <c r="BW227" s="1191"/>
      <c r="BX227" s="1191"/>
      <c r="BY227" s="1191"/>
      <c r="BZ227" s="1191"/>
      <c r="CA227" s="1191"/>
      <c r="CB227" s="1191"/>
      <c r="CC227" s="1191"/>
      <c r="CD227" s="1191"/>
      <c r="CE227" s="1191"/>
      <c r="CF227" s="1191"/>
      <c r="CG227" s="1191"/>
      <c r="CH227" s="1191"/>
      <c r="CI227" s="1191"/>
      <c r="CJ227" s="1191"/>
      <c r="CK227" s="1191"/>
      <c r="CL227" s="1191"/>
      <c r="CM227" s="1191"/>
      <c r="CN227" s="1191"/>
      <c r="CO227" s="1191"/>
      <c r="CP227" s="1191"/>
      <c r="CQ227" s="1191"/>
      <c r="CR227" s="1191"/>
      <c r="CS227" s="1191"/>
      <c r="CT227" s="1191"/>
      <c r="CU227" s="1191"/>
      <c r="CV227" s="1191"/>
      <c r="CW227" s="1191"/>
      <c r="CX227" s="1191"/>
      <c r="CY227" s="1191"/>
      <c r="CZ227" s="1191"/>
      <c r="DA227" s="1191"/>
      <c r="DB227" s="1191"/>
      <c r="DC227" s="1191"/>
      <c r="DD227" s="1191"/>
    </row>
    <row r="228" spans="1:108" s="1227" customFormat="1" ht="13.5" customHeight="1">
      <c r="A228" s="2328"/>
      <c r="B228" s="2317"/>
      <c r="C228" s="2317"/>
      <c r="D228" s="2323" t="s">
        <v>3213</v>
      </c>
      <c r="E228" s="2317"/>
      <c r="F228" s="2324"/>
      <c r="G228" s="2314"/>
      <c r="H228" s="2314"/>
      <c r="I228" s="2321"/>
      <c r="J228" s="1226"/>
      <c r="K228" s="1224"/>
      <c r="L228" s="1224"/>
      <c r="M228" s="1224"/>
      <c r="N228" s="1224"/>
      <c r="O228" s="1224"/>
      <c r="P228" s="1224"/>
      <c r="Q228" s="1226"/>
      <c r="R228" s="1226"/>
      <c r="S228" s="1226"/>
      <c r="T228" s="1226"/>
      <c r="U228" s="1226"/>
      <c r="V228" s="1226"/>
      <c r="W228" s="1226"/>
      <c r="X228" s="1226"/>
      <c r="Y228" s="1226"/>
      <c r="Z228" s="1226"/>
      <c r="AA228" s="1226"/>
      <c r="AB228" s="1226"/>
      <c r="AC228" s="1226"/>
      <c r="AD228" s="1226"/>
      <c r="AE228" s="1226"/>
      <c r="AF228" s="1226"/>
      <c r="AG228" s="1226"/>
      <c r="AH228" s="1226"/>
      <c r="AI228" s="1226"/>
      <c r="AJ228" s="1226"/>
      <c r="AK228" s="1226"/>
      <c r="AL228" s="1226"/>
      <c r="AM228" s="1226"/>
      <c r="AN228" s="1226"/>
      <c r="AO228" s="1226"/>
      <c r="AP228" s="1226"/>
      <c r="AQ228" s="1226"/>
      <c r="AR228" s="1226"/>
      <c r="AS228" s="1226"/>
      <c r="AT228" s="1226"/>
      <c r="AU228" s="1226"/>
      <c r="AV228" s="1226"/>
      <c r="AW228" s="1226"/>
      <c r="AX228" s="1226"/>
      <c r="AY228" s="1226"/>
      <c r="AZ228" s="1226"/>
      <c r="BA228" s="1226"/>
      <c r="BB228" s="1226"/>
      <c r="BC228" s="1226"/>
      <c r="BD228" s="1226"/>
      <c r="BE228" s="1226"/>
      <c r="BF228" s="1226"/>
      <c r="BG228" s="1226"/>
      <c r="BH228" s="1226"/>
      <c r="BI228" s="1226"/>
      <c r="BJ228" s="1226"/>
      <c r="BK228" s="1226"/>
      <c r="BL228" s="1226"/>
      <c r="BM228" s="1226"/>
      <c r="BN228" s="1226"/>
      <c r="BO228" s="1226"/>
      <c r="BP228" s="1226"/>
      <c r="BQ228" s="1226"/>
      <c r="BR228" s="1226"/>
      <c r="BS228" s="1226"/>
      <c r="BT228" s="1226"/>
      <c r="BU228" s="1226"/>
      <c r="BV228" s="1226"/>
      <c r="BW228" s="1226"/>
      <c r="BX228" s="1226"/>
      <c r="BY228" s="1226"/>
      <c r="BZ228" s="1226"/>
      <c r="CA228" s="1226"/>
      <c r="CB228" s="1226"/>
      <c r="CC228" s="1226"/>
      <c r="CD228" s="1226"/>
      <c r="CE228" s="1226"/>
      <c r="CF228" s="1226"/>
      <c r="CG228" s="1226"/>
      <c r="CH228" s="1226"/>
      <c r="CI228" s="1226"/>
      <c r="CJ228" s="1226"/>
      <c r="CK228" s="1226"/>
      <c r="CL228" s="1226"/>
      <c r="CM228" s="1226"/>
      <c r="CN228" s="1226"/>
      <c r="CO228" s="1226"/>
      <c r="CP228" s="1226"/>
      <c r="CQ228" s="1226"/>
      <c r="CR228" s="1226"/>
      <c r="CS228" s="1226"/>
    </row>
    <row r="229" spans="1:108" s="1227" customFormat="1" ht="13.5" customHeight="1">
      <c r="A229" s="2328"/>
      <c r="B229" s="2317"/>
      <c r="C229" s="2317"/>
      <c r="D229" s="2323" t="s">
        <v>1234</v>
      </c>
      <c r="E229" s="2317"/>
      <c r="F229" s="2324">
        <v>1</v>
      </c>
      <c r="G229" s="2314"/>
      <c r="H229" s="2314"/>
      <c r="I229" s="2321"/>
      <c r="J229" s="2331"/>
      <c r="K229" s="1224"/>
      <c r="L229" s="1224"/>
      <c r="M229" s="1224"/>
      <c r="N229" s="1224"/>
      <c r="O229" s="1224"/>
      <c r="P229" s="1224"/>
      <c r="Q229" s="1226"/>
      <c r="R229" s="1226"/>
      <c r="S229" s="1226"/>
      <c r="T229" s="1226"/>
      <c r="U229" s="1226"/>
      <c r="V229" s="1226"/>
      <c r="W229" s="1226"/>
      <c r="X229" s="1226"/>
      <c r="Y229" s="1226"/>
      <c r="Z229" s="1226"/>
      <c r="AA229" s="1226"/>
      <c r="AB229" s="1226"/>
      <c r="AC229" s="1226"/>
      <c r="AD229" s="1226"/>
      <c r="AE229" s="1226"/>
      <c r="AF229" s="1226"/>
      <c r="AG229" s="1226"/>
      <c r="AH229" s="1226"/>
      <c r="AI229" s="1226"/>
      <c r="AJ229" s="1226"/>
      <c r="AK229" s="1226"/>
      <c r="AL229" s="1226"/>
      <c r="AM229" s="1226"/>
      <c r="AN229" s="1226"/>
      <c r="AO229" s="1226"/>
      <c r="AP229" s="1226"/>
      <c r="AQ229" s="1226"/>
      <c r="AR229" s="1226"/>
      <c r="AS229" s="1226"/>
      <c r="AT229" s="1226"/>
      <c r="AU229" s="1226"/>
      <c r="AV229" s="1226"/>
      <c r="AW229" s="1226"/>
      <c r="AX229" s="1226"/>
      <c r="AY229" s="1226"/>
      <c r="AZ229" s="1226"/>
      <c r="BA229" s="1226"/>
      <c r="BB229" s="1226"/>
      <c r="BC229" s="1226"/>
      <c r="BD229" s="1226"/>
      <c r="BE229" s="1226"/>
      <c r="BF229" s="1226"/>
      <c r="BG229" s="1226"/>
      <c r="BH229" s="1226"/>
      <c r="BI229" s="1226"/>
      <c r="BJ229" s="1226"/>
      <c r="BK229" s="1226"/>
      <c r="BL229" s="1226"/>
      <c r="BM229" s="1226"/>
      <c r="BN229" s="1226"/>
      <c r="BO229" s="1226"/>
      <c r="BP229" s="1226"/>
      <c r="BQ229" s="1226"/>
      <c r="BR229" s="1226"/>
      <c r="BS229" s="1226"/>
      <c r="BT229" s="1226"/>
      <c r="BU229" s="1226"/>
      <c r="BV229" s="1226"/>
      <c r="BW229" s="1226"/>
      <c r="BX229" s="1226"/>
      <c r="BY229" s="1226"/>
      <c r="BZ229" s="1226"/>
      <c r="CA229" s="1226"/>
      <c r="CB229" s="1226"/>
      <c r="CC229" s="1226"/>
      <c r="CD229" s="1226"/>
      <c r="CE229" s="1226"/>
      <c r="CF229" s="1226"/>
      <c r="CG229" s="1226"/>
      <c r="CH229" s="1226"/>
      <c r="CI229" s="1226"/>
      <c r="CJ229" s="1226"/>
      <c r="CK229" s="1226"/>
      <c r="CL229" s="1226"/>
      <c r="CM229" s="1226"/>
      <c r="CN229" s="1226"/>
      <c r="CO229" s="1226"/>
      <c r="CP229" s="1226"/>
      <c r="CQ229" s="1226"/>
      <c r="CR229" s="1226"/>
      <c r="CS229" s="1226"/>
    </row>
    <row r="230" spans="1:108" s="1227" customFormat="1" ht="27" customHeight="1">
      <c r="A230" s="2328"/>
      <c r="B230" s="2317"/>
      <c r="C230" s="2317"/>
      <c r="D230" s="2323" t="s">
        <v>1941</v>
      </c>
      <c r="E230" s="2317"/>
      <c r="F230" s="2324"/>
      <c r="G230" s="2314"/>
      <c r="H230" s="2314"/>
      <c r="I230" s="2321"/>
      <c r="J230" s="1226"/>
      <c r="K230" s="1224"/>
      <c r="L230" s="1224"/>
      <c r="M230" s="1224"/>
      <c r="N230" s="1224"/>
      <c r="O230" s="1224"/>
      <c r="P230" s="1224"/>
      <c r="Q230" s="1226"/>
      <c r="R230" s="1226"/>
      <c r="S230" s="1226"/>
      <c r="T230" s="1226"/>
      <c r="U230" s="1226"/>
      <c r="V230" s="1226"/>
      <c r="W230" s="1226"/>
      <c r="X230" s="1226"/>
      <c r="Y230" s="1226"/>
      <c r="Z230" s="1226"/>
      <c r="AA230" s="1226"/>
      <c r="AB230" s="1226"/>
      <c r="AC230" s="1226"/>
      <c r="AD230" s="1226"/>
      <c r="AE230" s="1226"/>
      <c r="AF230" s="1226"/>
      <c r="AG230" s="1226"/>
      <c r="AH230" s="1226"/>
      <c r="AI230" s="1226"/>
      <c r="AJ230" s="1226"/>
      <c r="AK230" s="1226"/>
      <c r="AL230" s="1226"/>
      <c r="AM230" s="1226"/>
      <c r="AN230" s="1226"/>
      <c r="AO230" s="1226"/>
      <c r="AP230" s="1226"/>
      <c r="AQ230" s="1226"/>
      <c r="AR230" s="1226"/>
      <c r="AS230" s="1226"/>
      <c r="AT230" s="1226"/>
      <c r="AU230" s="1226"/>
      <c r="AV230" s="1226"/>
      <c r="AW230" s="1226"/>
      <c r="AX230" s="1226"/>
      <c r="AY230" s="1226"/>
      <c r="AZ230" s="1226"/>
      <c r="BA230" s="1226"/>
      <c r="BB230" s="1226"/>
      <c r="BC230" s="1226"/>
      <c r="BD230" s="1226"/>
      <c r="BE230" s="1226"/>
      <c r="BF230" s="1226"/>
      <c r="BG230" s="1226"/>
      <c r="BH230" s="1226"/>
      <c r="BI230" s="1226"/>
      <c r="BJ230" s="1226"/>
      <c r="BK230" s="1226"/>
      <c r="BL230" s="1226"/>
      <c r="BM230" s="1226"/>
      <c r="BN230" s="1226"/>
      <c r="BO230" s="1226"/>
      <c r="BP230" s="1226"/>
      <c r="BQ230" s="1226"/>
      <c r="BR230" s="1226"/>
      <c r="BS230" s="1226"/>
      <c r="BT230" s="1226"/>
      <c r="BU230" s="1226"/>
      <c r="BV230" s="1226"/>
      <c r="BW230" s="1226"/>
      <c r="BX230" s="1226"/>
      <c r="BY230" s="1226"/>
      <c r="BZ230" s="1226"/>
      <c r="CA230" s="1226"/>
      <c r="CB230" s="1226"/>
      <c r="CC230" s="1226"/>
      <c r="CD230" s="1226"/>
      <c r="CE230" s="1226"/>
      <c r="CF230" s="1226"/>
      <c r="CG230" s="1226"/>
      <c r="CH230" s="1226"/>
      <c r="CI230" s="1226"/>
      <c r="CJ230" s="1226"/>
      <c r="CK230" s="1226"/>
      <c r="CL230" s="1226"/>
      <c r="CM230" s="1226"/>
      <c r="CN230" s="1226"/>
      <c r="CO230" s="1226"/>
      <c r="CP230" s="1226"/>
      <c r="CQ230" s="1226"/>
      <c r="CR230" s="1226"/>
      <c r="CS230" s="1226"/>
    </row>
    <row r="231" spans="1:108" s="1225" customFormat="1" ht="13.5" customHeight="1">
      <c r="A231" s="2328">
        <v>53</v>
      </c>
      <c r="B231" s="2317">
        <v>741</v>
      </c>
      <c r="C231" s="2317" t="s">
        <v>3214</v>
      </c>
      <c r="D231" s="2317" t="s">
        <v>3215</v>
      </c>
      <c r="E231" s="2317" t="s">
        <v>49</v>
      </c>
      <c r="F231" s="2318">
        <f>F233</f>
        <v>1</v>
      </c>
      <c r="G231" s="2314"/>
      <c r="H231" s="2320">
        <f t="shared" ref="H231" si="49">ROUND(F231*G231,2)</f>
        <v>0</v>
      </c>
      <c r="I231" s="2329" t="s">
        <v>111</v>
      </c>
      <c r="J231" s="1486"/>
      <c r="K231" s="2330"/>
      <c r="L231" s="1191"/>
      <c r="M231" s="1191"/>
      <c r="N231" s="1191"/>
      <c r="O231" s="1191"/>
      <c r="P231" s="1191"/>
      <c r="Q231" s="1191"/>
      <c r="R231" s="1191"/>
      <c r="S231" s="1191"/>
      <c r="T231" s="1191"/>
      <c r="U231" s="1191"/>
      <c r="V231" s="1191"/>
      <c r="W231" s="1191"/>
      <c r="X231" s="1191"/>
      <c r="Y231" s="1191"/>
      <c r="Z231" s="1191"/>
      <c r="AA231" s="1191"/>
      <c r="AB231" s="1191"/>
      <c r="AC231" s="1191"/>
      <c r="AD231" s="1191"/>
      <c r="AE231" s="1191"/>
      <c r="AF231" s="1191"/>
      <c r="AG231" s="1191"/>
      <c r="AH231" s="1191"/>
      <c r="AI231" s="1191"/>
      <c r="AJ231" s="1191"/>
      <c r="AK231" s="1191"/>
      <c r="AL231" s="1191"/>
      <c r="AM231" s="1191"/>
      <c r="AN231" s="1191"/>
      <c r="AO231" s="1191"/>
      <c r="AP231" s="1191"/>
      <c r="AQ231" s="1191"/>
      <c r="AR231" s="1191"/>
      <c r="AS231" s="1191"/>
      <c r="AT231" s="1191"/>
      <c r="AU231" s="1191"/>
      <c r="AV231" s="1191"/>
      <c r="AW231" s="1191"/>
      <c r="AX231" s="1191"/>
      <c r="AY231" s="1191"/>
      <c r="AZ231" s="1191"/>
      <c r="BA231" s="1191"/>
      <c r="BB231" s="1191"/>
      <c r="BC231" s="1191"/>
      <c r="BD231" s="1191"/>
      <c r="BE231" s="1191"/>
      <c r="BF231" s="1191"/>
      <c r="BG231" s="1191"/>
      <c r="BH231" s="1191"/>
      <c r="BI231" s="1191"/>
      <c r="BJ231" s="1191"/>
      <c r="BK231" s="1191"/>
      <c r="BL231" s="1191"/>
      <c r="BM231" s="1191"/>
      <c r="BN231" s="1191"/>
      <c r="BO231" s="1191"/>
      <c r="BP231" s="1191"/>
      <c r="BQ231" s="1191"/>
      <c r="BR231" s="1191"/>
      <c r="BS231" s="1191"/>
      <c r="BT231" s="1191"/>
      <c r="BU231" s="1191"/>
      <c r="BV231" s="1191"/>
      <c r="BW231" s="1191"/>
      <c r="BX231" s="1191"/>
      <c r="BY231" s="1191"/>
      <c r="BZ231" s="1191"/>
      <c r="CA231" s="1191"/>
      <c r="CB231" s="1191"/>
      <c r="CC231" s="1191"/>
      <c r="CD231" s="1191"/>
      <c r="CE231" s="1191"/>
      <c r="CF231" s="1191"/>
      <c r="CG231" s="1191"/>
      <c r="CH231" s="1191"/>
      <c r="CI231" s="1191"/>
      <c r="CJ231" s="1191"/>
      <c r="CK231" s="1191"/>
      <c r="CL231" s="1191"/>
      <c r="CM231" s="1191"/>
      <c r="CN231" s="1191"/>
      <c r="CO231" s="1191"/>
      <c r="CP231" s="1191"/>
      <c r="CQ231" s="1191"/>
      <c r="CR231" s="1191"/>
      <c r="CS231" s="1191"/>
      <c r="CT231" s="1191"/>
      <c r="CU231" s="1191"/>
      <c r="CV231" s="1191"/>
      <c r="CW231" s="1191"/>
      <c r="CX231" s="1191"/>
      <c r="CY231" s="1191"/>
      <c r="CZ231" s="1191"/>
      <c r="DA231" s="1191"/>
      <c r="DB231" s="1191"/>
      <c r="DC231" s="1191"/>
      <c r="DD231" s="1191"/>
    </row>
    <row r="232" spans="1:108" s="1227" customFormat="1" ht="13.5" customHeight="1">
      <c r="A232" s="2328"/>
      <c r="B232" s="2317"/>
      <c r="C232" s="2317"/>
      <c r="D232" s="2323" t="s">
        <v>3216</v>
      </c>
      <c r="E232" s="2317"/>
      <c r="F232" s="2324"/>
      <c r="G232" s="2314"/>
      <c r="H232" s="2314"/>
      <c r="I232" s="2321"/>
      <c r="J232" s="1226"/>
      <c r="K232" s="1224"/>
      <c r="L232" s="1224"/>
      <c r="M232" s="1224"/>
      <c r="N232" s="1224"/>
      <c r="O232" s="1224"/>
      <c r="P232" s="1224"/>
      <c r="Q232" s="1226"/>
      <c r="R232" s="1226"/>
      <c r="S232" s="1226"/>
      <c r="T232" s="1226"/>
      <c r="U232" s="1226"/>
      <c r="V232" s="1226"/>
      <c r="W232" s="1226"/>
      <c r="X232" s="1226"/>
      <c r="Y232" s="1226"/>
      <c r="Z232" s="1226"/>
      <c r="AA232" s="1226"/>
      <c r="AB232" s="1226"/>
      <c r="AC232" s="1226"/>
      <c r="AD232" s="1226"/>
      <c r="AE232" s="1226"/>
      <c r="AF232" s="1226"/>
      <c r="AG232" s="1226"/>
      <c r="AH232" s="1226"/>
      <c r="AI232" s="1226"/>
      <c r="AJ232" s="1226"/>
      <c r="AK232" s="1226"/>
      <c r="AL232" s="1226"/>
      <c r="AM232" s="1226"/>
      <c r="AN232" s="1226"/>
      <c r="AO232" s="1226"/>
      <c r="AP232" s="1226"/>
      <c r="AQ232" s="1226"/>
      <c r="AR232" s="1226"/>
      <c r="AS232" s="1226"/>
      <c r="AT232" s="1226"/>
      <c r="AU232" s="1226"/>
      <c r="AV232" s="1226"/>
      <c r="AW232" s="1226"/>
      <c r="AX232" s="1226"/>
      <c r="AY232" s="1226"/>
      <c r="AZ232" s="1226"/>
      <c r="BA232" s="1226"/>
      <c r="BB232" s="1226"/>
      <c r="BC232" s="1226"/>
      <c r="BD232" s="1226"/>
      <c r="BE232" s="1226"/>
      <c r="BF232" s="1226"/>
      <c r="BG232" s="1226"/>
      <c r="BH232" s="1226"/>
      <c r="BI232" s="1226"/>
      <c r="BJ232" s="1226"/>
      <c r="BK232" s="1226"/>
      <c r="BL232" s="1226"/>
      <c r="BM232" s="1226"/>
      <c r="BN232" s="1226"/>
      <c r="BO232" s="1226"/>
      <c r="BP232" s="1226"/>
      <c r="BQ232" s="1226"/>
      <c r="BR232" s="1226"/>
      <c r="BS232" s="1226"/>
      <c r="BT232" s="1226"/>
      <c r="BU232" s="1226"/>
      <c r="BV232" s="1226"/>
      <c r="BW232" s="1226"/>
      <c r="BX232" s="1226"/>
      <c r="BY232" s="1226"/>
      <c r="BZ232" s="1226"/>
      <c r="CA232" s="1226"/>
      <c r="CB232" s="1226"/>
      <c r="CC232" s="1226"/>
      <c r="CD232" s="1226"/>
      <c r="CE232" s="1226"/>
      <c r="CF232" s="1226"/>
      <c r="CG232" s="1226"/>
      <c r="CH232" s="1226"/>
      <c r="CI232" s="1226"/>
      <c r="CJ232" s="1226"/>
      <c r="CK232" s="1226"/>
      <c r="CL232" s="1226"/>
      <c r="CM232" s="1226"/>
      <c r="CN232" s="1226"/>
      <c r="CO232" s="1226"/>
      <c r="CP232" s="1226"/>
      <c r="CQ232" s="1226"/>
      <c r="CR232" s="1226"/>
      <c r="CS232" s="1226"/>
    </row>
    <row r="233" spans="1:108" s="1227" customFormat="1" ht="13.5" customHeight="1">
      <c r="A233" s="2328"/>
      <c r="B233" s="2317"/>
      <c r="C233" s="2317"/>
      <c r="D233" s="2323" t="s">
        <v>1182</v>
      </c>
      <c r="E233" s="2317"/>
      <c r="F233" s="2324">
        <v>1</v>
      </c>
      <c r="G233" s="2314"/>
      <c r="H233" s="2314"/>
      <c r="I233" s="2321"/>
      <c r="J233" s="2331"/>
      <c r="K233" s="1224"/>
      <c r="L233" s="1224"/>
      <c r="M233" s="1224"/>
      <c r="N233" s="1224"/>
      <c r="O233" s="1224"/>
      <c r="P233" s="1224"/>
      <c r="Q233" s="1226"/>
      <c r="R233" s="1226"/>
      <c r="S233" s="1226"/>
      <c r="T233" s="1226"/>
      <c r="U233" s="1226"/>
      <c r="V233" s="1226"/>
      <c r="W233" s="1226"/>
      <c r="X233" s="1226"/>
      <c r="Y233" s="1226"/>
      <c r="Z233" s="1226"/>
      <c r="AA233" s="1226"/>
      <c r="AB233" s="1226"/>
      <c r="AC233" s="1226"/>
      <c r="AD233" s="1226"/>
      <c r="AE233" s="1226"/>
      <c r="AF233" s="1226"/>
      <c r="AG233" s="1226"/>
      <c r="AH233" s="1226"/>
      <c r="AI233" s="1226"/>
      <c r="AJ233" s="1226"/>
      <c r="AK233" s="1226"/>
      <c r="AL233" s="1226"/>
      <c r="AM233" s="1226"/>
      <c r="AN233" s="1226"/>
      <c r="AO233" s="1226"/>
      <c r="AP233" s="1226"/>
      <c r="AQ233" s="1226"/>
      <c r="AR233" s="1226"/>
      <c r="AS233" s="1226"/>
      <c r="AT233" s="1226"/>
      <c r="AU233" s="1226"/>
      <c r="AV233" s="1226"/>
      <c r="AW233" s="1226"/>
      <c r="AX233" s="1226"/>
      <c r="AY233" s="1226"/>
      <c r="AZ233" s="1226"/>
      <c r="BA233" s="1226"/>
      <c r="BB233" s="1226"/>
      <c r="BC233" s="1226"/>
      <c r="BD233" s="1226"/>
      <c r="BE233" s="1226"/>
      <c r="BF233" s="1226"/>
      <c r="BG233" s="1226"/>
      <c r="BH233" s="1226"/>
      <c r="BI233" s="1226"/>
      <c r="BJ233" s="1226"/>
      <c r="BK233" s="1226"/>
      <c r="BL233" s="1226"/>
      <c r="BM233" s="1226"/>
      <c r="BN233" s="1226"/>
      <c r="BO233" s="1226"/>
      <c r="BP233" s="1226"/>
      <c r="BQ233" s="1226"/>
      <c r="BR233" s="1226"/>
      <c r="BS233" s="1226"/>
      <c r="BT233" s="1226"/>
      <c r="BU233" s="1226"/>
      <c r="BV233" s="1226"/>
      <c r="BW233" s="1226"/>
      <c r="BX233" s="1226"/>
      <c r="BY233" s="1226"/>
      <c r="BZ233" s="1226"/>
      <c r="CA233" s="1226"/>
      <c r="CB233" s="1226"/>
      <c r="CC233" s="1226"/>
      <c r="CD233" s="1226"/>
      <c r="CE233" s="1226"/>
      <c r="CF233" s="1226"/>
      <c r="CG233" s="1226"/>
      <c r="CH233" s="1226"/>
      <c r="CI233" s="1226"/>
      <c r="CJ233" s="1226"/>
      <c r="CK233" s="1226"/>
      <c r="CL233" s="1226"/>
      <c r="CM233" s="1226"/>
      <c r="CN233" s="1226"/>
      <c r="CO233" s="1226"/>
      <c r="CP233" s="1226"/>
      <c r="CQ233" s="1226"/>
      <c r="CR233" s="1226"/>
      <c r="CS233" s="1226"/>
    </row>
    <row r="234" spans="1:108" s="1227" customFormat="1" ht="27" customHeight="1">
      <c r="A234" s="2328"/>
      <c r="B234" s="2317"/>
      <c r="C234" s="2317"/>
      <c r="D234" s="2323" t="s">
        <v>1941</v>
      </c>
      <c r="E234" s="2317"/>
      <c r="F234" s="2324"/>
      <c r="G234" s="2314"/>
      <c r="H234" s="2314"/>
      <c r="I234" s="2321"/>
      <c r="J234" s="1226"/>
      <c r="K234" s="1224"/>
      <c r="L234" s="1224"/>
      <c r="M234" s="1224"/>
      <c r="N234" s="1224"/>
      <c r="O234" s="1224"/>
      <c r="P234" s="1224"/>
      <c r="Q234" s="1226"/>
      <c r="R234" s="1226"/>
      <c r="S234" s="1226"/>
      <c r="T234" s="1226"/>
      <c r="U234" s="1226"/>
      <c r="V234" s="1226"/>
      <c r="W234" s="1226"/>
      <c r="X234" s="1226"/>
      <c r="Y234" s="1226"/>
      <c r="Z234" s="1226"/>
      <c r="AA234" s="1226"/>
      <c r="AB234" s="1226"/>
      <c r="AC234" s="1226"/>
      <c r="AD234" s="1226"/>
      <c r="AE234" s="1226"/>
      <c r="AF234" s="1226"/>
      <c r="AG234" s="1226"/>
      <c r="AH234" s="1226"/>
      <c r="AI234" s="1226"/>
      <c r="AJ234" s="1226"/>
      <c r="AK234" s="1226"/>
      <c r="AL234" s="1226"/>
      <c r="AM234" s="1226"/>
      <c r="AN234" s="1226"/>
      <c r="AO234" s="1226"/>
      <c r="AP234" s="1226"/>
      <c r="AQ234" s="1226"/>
      <c r="AR234" s="1226"/>
      <c r="AS234" s="1226"/>
      <c r="AT234" s="1226"/>
      <c r="AU234" s="1226"/>
      <c r="AV234" s="1226"/>
      <c r="AW234" s="1226"/>
      <c r="AX234" s="1226"/>
      <c r="AY234" s="1226"/>
      <c r="AZ234" s="1226"/>
      <c r="BA234" s="1226"/>
      <c r="BB234" s="1226"/>
      <c r="BC234" s="1226"/>
      <c r="BD234" s="1226"/>
      <c r="BE234" s="1226"/>
      <c r="BF234" s="1226"/>
      <c r="BG234" s="1226"/>
      <c r="BH234" s="1226"/>
      <c r="BI234" s="1226"/>
      <c r="BJ234" s="1226"/>
      <c r="BK234" s="1226"/>
      <c r="BL234" s="1226"/>
      <c r="BM234" s="1226"/>
      <c r="BN234" s="1226"/>
      <c r="BO234" s="1226"/>
      <c r="BP234" s="1226"/>
      <c r="BQ234" s="1226"/>
      <c r="BR234" s="1226"/>
      <c r="BS234" s="1226"/>
      <c r="BT234" s="1226"/>
      <c r="BU234" s="1226"/>
      <c r="BV234" s="1226"/>
      <c r="BW234" s="1226"/>
      <c r="BX234" s="1226"/>
      <c r="BY234" s="1226"/>
      <c r="BZ234" s="1226"/>
      <c r="CA234" s="1226"/>
      <c r="CB234" s="1226"/>
      <c r="CC234" s="1226"/>
      <c r="CD234" s="1226"/>
      <c r="CE234" s="1226"/>
      <c r="CF234" s="1226"/>
      <c r="CG234" s="1226"/>
      <c r="CH234" s="1226"/>
      <c r="CI234" s="1226"/>
      <c r="CJ234" s="1226"/>
      <c r="CK234" s="1226"/>
      <c r="CL234" s="1226"/>
      <c r="CM234" s="1226"/>
      <c r="CN234" s="1226"/>
      <c r="CO234" s="1226"/>
      <c r="CP234" s="1226"/>
      <c r="CQ234" s="1226"/>
      <c r="CR234" s="1226"/>
      <c r="CS234" s="1226"/>
    </row>
    <row r="235" spans="1:108" s="1225" customFormat="1" ht="13.5" customHeight="1">
      <c r="A235" s="2328">
        <v>54</v>
      </c>
      <c r="B235" s="2317">
        <v>741</v>
      </c>
      <c r="C235" s="2317" t="s">
        <v>3217</v>
      </c>
      <c r="D235" s="2317" t="s">
        <v>3218</v>
      </c>
      <c r="E235" s="2317" t="s">
        <v>49</v>
      </c>
      <c r="F235" s="2318">
        <f>F237</f>
        <v>1</v>
      </c>
      <c r="G235" s="2314"/>
      <c r="H235" s="2320">
        <f t="shared" ref="H235" si="50">ROUND(F235*G235,2)</f>
        <v>0</v>
      </c>
      <c r="I235" s="2329" t="s">
        <v>111</v>
      </c>
      <c r="J235" s="1486"/>
      <c r="K235" s="2330"/>
      <c r="L235" s="1191"/>
      <c r="M235" s="1191"/>
      <c r="N235" s="1191"/>
      <c r="O235" s="1191"/>
      <c r="P235" s="1191"/>
      <c r="Q235" s="1191"/>
      <c r="R235" s="1191"/>
      <c r="S235" s="1191"/>
      <c r="T235" s="1191"/>
      <c r="U235" s="1191"/>
      <c r="V235" s="1191"/>
      <c r="W235" s="1191"/>
      <c r="X235" s="1191"/>
      <c r="Y235" s="1191"/>
      <c r="Z235" s="1191"/>
      <c r="AA235" s="1191"/>
      <c r="AB235" s="1191"/>
      <c r="AC235" s="1191"/>
      <c r="AD235" s="1191"/>
      <c r="AE235" s="1191"/>
      <c r="AF235" s="1191"/>
      <c r="AG235" s="1191"/>
      <c r="AH235" s="1191"/>
      <c r="AI235" s="1191"/>
      <c r="AJ235" s="1191"/>
      <c r="AK235" s="1191"/>
      <c r="AL235" s="1191"/>
      <c r="AM235" s="1191"/>
      <c r="AN235" s="1191"/>
      <c r="AO235" s="1191"/>
      <c r="AP235" s="1191"/>
      <c r="AQ235" s="1191"/>
      <c r="AR235" s="1191"/>
      <c r="AS235" s="1191"/>
      <c r="AT235" s="1191"/>
      <c r="AU235" s="1191"/>
      <c r="AV235" s="1191"/>
      <c r="AW235" s="1191"/>
      <c r="AX235" s="1191"/>
      <c r="AY235" s="1191"/>
      <c r="AZ235" s="1191"/>
      <c r="BA235" s="1191"/>
      <c r="BB235" s="1191"/>
      <c r="BC235" s="1191"/>
      <c r="BD235" s="1191"/>
      <c r="BE235" s="1191"/>
      <c r="BF235" s="1191"/>
      <c r="BG235" s="1191"/>
      <c r="BH235" s="1191"/>
      <c r="BI235" s="1191"/>
      <c r="BJ235" s="1191"/>
      <c r="BK235" s="1191"/>
      <c r="BL235" s="1191"/>
      <c r="BM235" s="1191"/>
      <c r="BN235" s="1191"/>
      <c r="BO235" s="1191"/>
      <c r="BP235" s="1191"/>
      <c r="BQ235" s="1191"/>
      <c r="BR235" s="1191"/>
      <c r="BS235" s="1191"/>
      <c r="BT235" s="1191"/>
      <c r="BU235" s="1191"/>
      <c r="BV235" s="1191"/>
      <c r="BW235" s="1191"/>
      <c r="BX235" s="1191"/>
      <c r="BY235" s="1191"/>
      <c r="BZ235" s="1191"/>
      <c r="CA235" s="1191"/>
      <c r="CB235" s="1191"/>
      <c r="CC235" s="1191"/>
      <c r="CD235" s="1191"/>
      <c r="CE235" s="1191"/>
      <c r="CF235" s="1191"/>
      <c r="CG235" s="1191"/>
      <c r="CH235" s="1191"/>
      <c r="CI235" s="1191"/>
      <c r="CJ235" s="1191"/>
      <c r="CK235" s="1191"/>
      <c r="CL235" s="1191"/>
      <c r="CM235" s="1191"/>
      <c r="CN235" s="1191"/>
      <c r="CO235" s="1191"/>
      <c r="CP235" s="1191"/>
      <c r="CQ235" s="1191"/>
      <c r="CR235" s="1191"/>
      <c r="CS235" s="1191"/>
      <c r="CT235" s="1191"/>
      <c r="CU235" s="1191"/>
      <c r="CV235" s="1191"/>
      <c r="CW235" s="1191"/>
      <c r="CX235" s="1191"/>
      <c r="CY235" s="1191"/>
      <c r="CZ235" s="1191"/>
      <c r="DA235" s="1191"/>
      <c r="DB235" s="1191"/>
      <c r="DC235" s="1191"/>
      <c r="DD235" s="1191"/>
    </row>
    <row r="236" spans="1:108" s="1227" customFormat="1" ht="13.5" customHeight="1">
      <c r="A236" s="2328"/>
      <c r="B236" s="2317"/>
      <c r="C236" s="2317"/>
      <c r="D236" s="2323" t="s">
        <v>3219</v>
      </c>
      <c r="E236" s="2317"/>
      <c r="F236" s="2324"/>
      <c r="G236" s="2314"/>
      <c r="H236" s="2314"/>
      <c r="I236" s="2321"/>
      <c r="J236" s="1226"/>
      <c r="K236" s="1224"/>
      <c r="L236" s="1224"/>
      <c r="M236" s="1224"/>
      <c r="N236" s="1224"/>
      <c r="O236" s="1224"/>
      <c r="P236" s="1224"/>
      <c r="Q236" s="1226"/>
      <c r="R236" s="1226"/>
      <c r="S236" s="1226"/>
      <c r="T236" s="1226"/>
      <c r="U236" s="1226"/>
      <c r="V236" s="1226"/>
      <c r="W236" s="1226"/>
      <c r="X236" s="1226"/>
      <c r="Y236" s="1226"/>
      <c r="Z236" s="1226"/>
      <c r="AA236" s="1226"/>
      <c r="AB236" s="1226"/>
      <c r="AC236" s="1226"/>
      <c r="AD236" s="1226"/>
      <c r="AE236" s="1226"/>
      <c r="AF236" s="1226"/>
      <c r="AG236" s="1226"/>
      <c r="AH236" s="1226"/>
      <c r="AI236" s="1226"/>
      <c r="AJ236" s="1226"/>
      <c r="AK236" s="1226"/>
      <c r="AL236" s="1226"/>
      <c r="AM236" s="1226"/>
      <c r="AN236" s="1226"/>
      <c r="AO236" s="1226"/>
      <c r="AP236" s="1226"/>
      <c r="AQ236" s="1226"/>
      <c r="AR236" s="1226"/>
      <c r="AS236" s="1226"/>
      <c r="AT236" s="1226"/>
      <c r="AU236" s="1226"/>
      <c r="AV236" s="1226"/>
      <c r="AW236" s="1226"/>
      <c r="AX236" s="1226"/>
      <c r="AY236" s="1226"/>
      <c r="AZ236" s="1226"/>
      <c r="BA236" s="1226"/>
      <c r="BB236" s="1226"/>
      <c r="BC236" s="1226"/>
      <c r="BD236" s="1226"/>
      <c r="BE236" s="1226"/>
      <c r="BF236" s="1226"/>
      <c r="BG236" s="1226"/>
      <c r="BH236" s="1226"/>
      <c r="BI236" s="1226"/>
      <c r="BJ236" s="1226"/>
      <c r="BK236" s="1226"/>
      <c r="BL236" s="1226"/>
      <c r="BM236" s="1226"/>
      <c r="BN236" s="1226"/>
      <c r="BO236" s="1226"/>
      <c r="BP236" s="1226"/>
      <c r="BQ236" s="1226"/>
      <c r="BR236" s="1226"/>
      <c r="BS236" s="1226"/>
      <c r="BT236" s="1226"/>
      <c r="BU236" s="1226"/>
      <c r="BV236" s="1226"/>
      <c r="BW236" s="1226"/>
      <c r="BX236" s="1226"/>
      <c r="BY236" s="1226"/>
      <c r="BZ236" s="1226"/>
      <c r="CA236" s="1226"/>
      <c r="CB236" s="1226"/>
      <c r="CC236" s="1226"/>
      <c r="CD236" s="1226"/>
      <c r="CE236" s="1226"/>
      <c r="CF236" s="1226"/>
      <c r="CG236" s="1226"/>
      <c r="CH236" s="1226"/>
      <c r="CI236" s="1226"/>
      <c r="CJ236" s="1226"/>
      <c r="CK236" s="1226"/>
      <c r="CL236" s="1226"/>
      <c r="CM236" s="1226"/>
      <c r="CN236" s="1226"/>
      <c r="CO236" s="1226"/>
      <c r="CP236" s="1226"/>
      <c r="CQ236" s="1226"/>
      <c r="CR236" s="1226"/>
      <c r="CS236" s="1226"/>
    </row>
    <row r="237" spans="1:108" s="1227" customFormat="1" ht="13.5" customHeight="1">
      <c r="A237" s="2328"/>
      <c r="B237" s="2317"/>
      <c r="C237" s="2317"/>
      <c r="D237" s="2323" t="s">
        <v>1182</v>
      </c>
      <c r="E237" s="2317"/>
      <c r="F237" s="2324">
        <v>1</v>
      </c>
      <c r="G237" s="2314"/>
      <c r="H237" s="2314"/>
      <c r="I237" s="2321"/>
      <c r="J237" s="2331"/>
      <c r="K237" s="1224"/>
      <c r="L237" s="1224"/>
      <c r="M237" s="1224"/>
      <c r="N237" s="1224"/>
      <c r="O237" s="1224"/>
      <c r="P237" s="1224"/>
      <c r="Q237" s="1226"/>
      <c r="R237" s="1226"/>
      <c r="S237" s="1226"/>
      <c r="T237" s="1226"/>
      <c r="U237" s="1226"/>
      <c r="V237" s="1226"/>
      <c r="W237" s="1226"/>
      <c r="X237" s="1226"/>
      <c r="Y237" s="1226"/>
      <c r="Z237" s="1226"/>
      <c r="AA237" s="1226"/>
      <c r="AB237" s="1226"/>
      <c r="AC237" s="1226"/>
      <c r="AD237" s="1226"/>
      <c r="AE237" s="1226"/>
      <c r="AF237" s="1226"/>
      <c r="AG237" s="1226"/>
      <c r="AH237" s="1226"/>
      <c r="AI237" s="1226"/>
      <c r="AJ237" s="1226"/>
      <c r="AK237" s="1226"/>
      <c r="AL237" s="1226"/>
      <c r="AM237" s="1226"/>
      <c r="AN237" s="1226"/>
      <c r="AO237" s="1226"/>
      <c r="AP237" s="1226"/>
      <c r="AQ237" s="1226"/>
      <c r="AR237" s="1226"/>
      <c r="AS237" s="1226"/>
      <c r="AT237" s="1226"/>
      <c r="AU237" s="1226"/>
      <c r="AV237" s="1226"/>
      <c r="AW237" s="1226"/>
      <c r="AX237" s="1226"/>
      <c r="AY237" s="1226"/>
      <c r="AZ237" s="1226"/>
      <c r="BA237" s="1226"/>
      <c r="BB237" s="1226"/>
      <c r="BC237" s="1226"/>
      <c r="BD237" s="1226"/>
      <c r="BE237" s="1226"/>
      <c r="BF237" s="1226"/>
      <c r="BG237" s="1226"/>
      <c r="BH237" s="1226"/>
      <c r="BI237" s="1226"/>
      <c r="BJ237" s="1226"/>
      <c r="BK237" s="1226"/>
      <c r="BL237" s="1226"/>
      <c r="BM237" s="1226"/>
      <c r="BN237" s="1226"/>
      <c r="BO237" s="1226"/>
      <c r="BP237" s="1226"/>
      <c r="BQ237" s="1226"/>
      <c r="BR237" s="1226"/>
      <c r="BS237" s="1226"/>
      <c r="BT237" s="1226"/>
      <c r="BU237" s="1226"/>
      <c r="BV237" s="1226"/>
      <c r="BW237" s="1226"/>
      <c r="BX237" s="1226"/>
      <c r="BY237" s="1226"/>
      <c r="BZ237" s="1226"/>
      <c r="CA237" s="1226"/>
      <c r="CB237" s="1226"/>
      <c r="CC237" s="1226"/>
      <c r="CD237" s="1226"/>
      <c r="CE237" s="1226"/>
      <c r="CF237" s="1226"/>
      <c r="CG237" s="1226"/>
      <c r="CH237" s="1226"/>
      <c r="CI237" s="1226"/>
      <c r="CJ237" s="1226"/>
      <c r="CK237" s="1226"/>
      <c r="CL237" s="1226"/>
      <c r="CM237" s="1226"/>
      <c r="CN237" s="1226"/>
      <c r="CO237" s="1226"/>
      <c r="CP237" s="1226"/>
      <c r="CQ237" s="1226"/>
      <c r="CR237" s="1226"/>
      <c r="CS237" s="1226"/>
    </row>
    <row r="238" spans="1:108" s="1227" customFormat="1" ht="27" customHeight="1">
      <c r="A238" s="2328"/>
      <c r="B238" s="2317"/>
      <c r="C238" s="2317"/>
      <c r="D238" s="2323" t="s">
        <v>1941</v>
      </c>
      <c r="E238" s="2317"/>
      <c r="F238" s="2324"/>
      <c r="G238" s="2314"/>
      <c r="H238" s="2314"/>
      <c r="I238" s="2321"/>
      <c r="J238" s="1226"/>
      <c r="K238" s="1224"/>
      <c r="L238" s="1224"/>
      <c r="M238" s="1224"/>
      <c r="N238" s="1224"/>
      <c r="O238" s="1224"/>
      <c r="P238" s="1224"/>
      <c r="Q238" s="1226"/>
      <c r="R238" s="1226"/>
      <c r="S238" s="1226"/>
      <c r="T238" s="1226"/>
      <c r="U238" s="1226"/>
      <c r="V238" s="1226"/>
      <c r="W238" s="1226"/>
      <c r="X238" s="1226"/>
      <c r="Y238" s="1226"/>
      <c r="Z238" s="1226"/>
      <c r="AA238" s="1226"/>
      <c r="AB238" s="1226"/>
      <c r="AC238" s="1226"/>
      <c r="AD238" s="1226"/>
      <c r="AE238" s="1226"/>
      <c r="AF238" s="1226"/>
      <c r="AG238" s="1226"/>
      <c r="AH238" s="1226"/>
      <c r="AI238" s="1226"/>
      <c r="AJ238" s="1226"/>
      <c r="AK238" s="1226"/>
      <c r="AL238" s="1226"/>
      <c r="AM238" s="1226"/>
      <c r="AN238" s="1226"/>
      <c r="AO238" s="1226"/>
      <c r="AP238" s="1226"/>
      <c r="AQ238" s="1226"/>
      <c r="AR238" s="1226"/>
      <c r="AS238" s="1226"/>
      <c r="AT238" s="1226"/>
      <c r="AU238" s="1226"/>
      <c r="AV238" s="1226"/>
      <c r="AW238" s="1226"/>
      <c r="AX238" s="1226"/>
      <c r="AY238" s="1226"/>
      <c r="AZ238" s="1226"/>
      <c r="BA238" s="1226"/>
      <c r="BB238" s="1226"/>
      <c r="BC238" s="1226"/>
      <c r="BD238" s="1226"/>
      <c r="BE238" s="1226"/>
      <c r="BF238" s="1226"/>
      <c r="BG238" s="1226"/>
      <c r="BH238" s="1226"/>
      <c r="BI238" s="1226"/>
      <c r="BJ238" s="1226"/>
      <c r="BK238" s="1226"/>
      <c r="BL238" s="1226"/>
      <c r="BM238" s="1226"/>
      <c r="BN238" s="1226"/>
      <c r="BO238" s="1226"/>
      <c r="BP238" s="1226"/>
      <c r="BQ238" s="1226"/>
      <c r="BR238" s="1226"/>
      <c r="BS238" s="1226"/>
      <c r="BT238" s="1226"/>
      <c r="BU238" s="1226"/>
      <c r="BV238" s="1226"/>
      <c r="BW238" s="1226"/>
      <c r="BX238" s="1226"/>
      <c r="BY238" s="1226"/>
      <c r="BZ238" s="1226"/>
      <c r="CA238" s="1226"/>
      <c r="CB238" s="1226"/>
      <c r="CC238" s="1226"/>
      <c r="CD238" s="1226"/>
      <c r="CE238" s="1226"/>
      <c r="CF238" s="1226"/>
      <c r="CG238" s="1226"/>
      <c r="CH238" s="1226"/>
      <c r="CI238" s="1226"/>
      <c r="CJ238" s="1226"/>
      <c r="CK238" s="1226"/>
      <c r="CL238" s="1226"/>
      <c r="CM238" s="1226"/>
      <c r="CN238" s="1226"/>
      <c r="CO238" s="1226"/>
      <c r="CP238" s="1226"/>
      <c r="CQ238" s="1226"/>
      <c r="CR238" s="1226"/>
      <c r="CS238" s="1226"/>
    </row>
    <row r="239" spans="1:108" s="1225" customFormat="1" ht="13.5" customHeight="1">
      <c r="A239" s="2328">
        <v>55</v>
      </c>
      <c r="B239" s="2317">
        <v>741</v>
      </c>
      <c r="C239" s="2317" t="s">
        <v>3220</v>
      </c>
      <c r="D239" s="2317" t="s">
        <v>3221</v>
      </c>
      <c r="E239" s="2317" t="s">
        <v>49</v>
      </c>
      <c r="F239" s="2318">
        <f>F241</f>
        <v>1</v>
      </c>
      <c r="G239" s="2314"/>
      <c r="H239" s="2320">
        <f t="shared" ref="H239" si="51">ROUND(F239*G239,2)</f>
        <v>0</v>
      </c>
      <c r="I239" s="2329" t="s">
        <v>111</v>
      </c>
      <c r="J239" s="1486"/>
      <c r="K239" s="2330"/>
      <c r="L239" s="1191"/>
      <c r="M239" s="1191"/>
      <c r="N239" s="1191"/>
      <c r="O239" s="1191"/>
      <c r="P239" s="1191"/>
      <c r="Q239" s="1191"/>
      <c r="R239" s="1191"/>
      <c r="S239" s="1191"/>
      <c r="T239" s="1191"/>
      <c r="U239" s="1191"/>
      <c r="V239" s="1191"/>
      <c r="W239" s="1191"/>
      <c r="X239" s="1191"/>
      <c r="Y239" s="1191"/>
      <c r="Z239" s="1191"/>
      <c r="AA239" s="1191"/>
      <c r="AB239" s="1191"/>
      <c r="AC239" s="1191"/>
      <c r="AD239" s="1191"/>
      <c r="AE239" s="1191"/>
      <c r="AF239" s="1191"/>
      <c r="AG239" s="1191"/>
      <c r="AH239" s="1191"/>
      <c r="AI239" s="1191"/>
      <c r="AJ239" s="1191"/>
      <c r="AK239" s="1191"/>
      <c r="AL239" s="1191"/>
      <c r="AM239" s="1191"/>
      <c r="AN239" s="1191"/>
      <c r="AO239" s="1191"/>
      <c r="AP239" s="1191"/>
      <c r="AQ239" s="1191"/>
      <c r="AR239" s="1191"/>
      <c r="AS239" s="1191"/>
      <c r="AT239" s="1191"/>
      <c r="AU239" s="1191"/>
      <c r="AV239" s="1191"/>
      <c r="AW239" s="1191"/>
      <c r="AX239" s="1191"/>
      <c r="AY239" s="1191"/>
      <c r="AZ239" s="1191"/>
      <c r="BA239" s="1191"/>
      <c r="BB239" s="1191"/>
      <c r="BC239" s="1191"/>
      <c r="BD239" s="1191"/>
      <c r="BE239" s="1191"/>
      <c r="BF239" s="1191"/>
      <c r="BG239" s="1191"/>
      <c r="BH239" s="1191"/>
      <c r="BI239" s="1191"/>
      <c r="BJ239" s="1191"/>
      <c r="BK239" s="1191"/>
      <c r="BL239" s="1191"/>
      <c r="BM239" s="1191"/>
      <c r="BN239" s="1191"/>
      <c r="BO239" s="1191"/>
      <c r="BP239" s="1191"/>
      <c r="BQ239" s="1191"/>
      <c r="BR239" s="1191"/>
      <c r="BS239" s="1191"/>
      <c r="BT239" s="1191"/>
      <c r="BU239" s="1191"/>
      <c r="BV239" s="1191"/>
      <c r="BW239" s="1191"/>
      <c r="BX239" s="1191"/>
      <c r="BY239" s="1191"/>
      <c r="BZ239" s="1191"/>
      <c r="CA239" s="1191"/>
      <c r="CB239" s="1191"/>
      <c r="CC239" s="1191"/>
      <c r="CD239" s="1191"/>
      <c r="CE239" s="1191"/>
      <c r="CF239" s="1191"/>
      <c r="CG239" s="1191"/>
      <c r="CH239" s="1191"/>
      <c r="CI239" s="1191"/>
      <c r="CJ239" s="1191"/>
      <c r="CK239" s="1191"/>
      <c r="CL239" s="1191"/>
      <c r="CM239" s="1191"/>
      <c r="CN239" s="1191"/>
      <c r="CO239" s="1191"/>
      <c r="CP239" s="1191"/>
      <c r="CQ239" s="1191"/>
      <c r="CR239" s="1191"/>
      <c r="CS239" s="1191"/>
      <c r="CT239" s="1191"/>
      <c r="CU239" s="1191"/>
      <c r="CV239" s="1191"/>
      <c r="CW239" s="1191"/>
      <c r="CX239" s="1191"/>
      <c r="CY239" s="1191"/>
      <c r="CZ239" s="1191"/>
      <c r="DA239" s="1191"/>
      <c r="DB239" s="1191"/>
      <c r="DC239" s="1191"/>
      <c r="DD239" s="1191"/>
    </row>
    <row r="240" spans="1:108" s="1227" customFormat="1" ht="13.5" customHeight="1">
      <c r="A240" s="2328"/>
      <c r="B240" s="2317"/>
      <c r="C240" s="2317"/>
      <c r="D240" s="2323" t="s">
        <v>3222</v>
      </c>
      <c r="E240" s="2317"/>
      <c r="F240" s="2324"/>
      <c r="G240" s="2314"/>
      <c r="H240" s="2314"/>
      <c r="I240" s="2321"/>
      <c r="J240" s="1486"/>
      <c r="K240" s="1224"/>
      <c r="L240" s="1224"/>
      <c r="M240" s="1224"/>
      <c r="N240" s="1224"/>
      <c r="O240" s="1224"/>
      <c r="P240" s="1224"/>
      <c r="Q240" s="1226"/>
      <c r="R240" s="1226"/>
      <c r="S240" s="1226"/>
      <c r="T240" s="1226"/>
      <c r="U240" s="1226"/>
      <c r="V240" s="1226"/>
      <c r="W240" s="1226"/>
      <c r="X240" s="1226"/>
      <c r="Y240" s="1226"/>
      <c r="Z240" s="1226"/>
      <c r="AA240" s="1226"/>
      <c r="AB240" s="1226"/>
      <c r="AC240" s="1226"/>
      <c r="AD240" s="1226"/>
      <c r="AE240" s="1226"/>
      <c r="AF240" s="1226"/>
      <c r="AG240" s="1226"/>
      <c r="AH240" s="1226"/>
      <c r="AI240" s="1226"/>
      <c r="AJ240" s="1226"/>
      <c r="AK240" s="1226"/>
      <c r="AL240" s="1226"/>
      <c r="AM240" s="1226"/>
      <c r="AN240" s="1226"/>
      <c r="AO240" s="1226"/>
      <c r="AP240" s="1226"/>
      <c r="AQ240" s="1226"/>
      <c r="AR240" s="1226"/>
      <c r="AS240" s="1226"/>
      <c r="AT240" s="1226"/>
      <c r="AU240" s="1226"/>
      <c r="AV240" s="1226"/>
      <c r="AW240" s="1226"/>
      <c r="AX240" s="1226"/>
      <c r="AY240" s="1226"/>
      <c r="AZ240" s="1226"/>
      <c r="BA240" s="1226"/>
      <c r="BB240" s="1226"/>
      <c r="BC240" s="1226"/>
      <c r="BD240" s="1226"/>
      <c r="BE240" s="1226"/>
      <c r="BF240" s="1226"/>
      <c r="BG240" s="1226"/>
      <c r="BH240" s="1226"/>
      <c r="BI240" s="1226"/>
      <c r="BJ240" s="1226"/>
      <c r="BK240" s="1226"/>
      <c r="BL240" s="1226"/>
      <c r="BM240" s="1226"/>
      <c r="BN240" s="1226"/>
      <c r="BO240" s="1226"/>
      <c r="BP240" s="1226"/>
      <c r="BQ240" s="1226"/>
      <c r="BR240" s="1226"/>
      <c r="BS240" s="1226"/>
      <c r="BT240" s="1226"/>
      <c r="BU240" s="1226"/>
      <c r="BV240" s="1226"/>
      <c r="BW240" s="1226"/>
      <c r="BX240" s="1226"/>
      <c r="BY240" s="1226"/>
      <c r="BZ240" s="1226"/>
      <c r="CA240" s="1226"/>
      <c r="CB240" s="1226"/>
      <c r="CC240" s="1226"/>
      <c r="CD240" s="1226"/>
      <c r="CE240" s="1226"/>
      <c r="CF240" s="1226"/>
      <c r="CG240" s="1226"/>
      <c r="CH240" s="1226"/>
      <c r="CI240" s="1226"/>
      <c r="CJ240" s="1226"/>
      <c r="CK240" s="1226"/>
      <c r="CL240" s="1226"/>
      <c r="CM240" s="1226"/>
      <c r="CN240" s="1226"/>
      <c r="CO240" s="1226"/>
      <c r="CP240" s="1226"/>
      <c r="CQ240" s="1226"/>
      <c r="CR240" s="1226"/>
      <c r="CS240" s="1226"/>
    </row>
    <row r="241" spans="1:108" s="1227" customFormat="1" ht="13.5" customHeight="1">
      <c r="A241" s="2328"/>
      <c r="B241" s="2317"/>
      <c r="C241" s="2317"/>
      <c r="D241" s="2323" t="s">
        <v>1182</v>
      </c>
      <c r="E241" s="2317"/>
      <c r="F241" s="2324">
        <v>1</v>
      </c>
      <c r="G241" s="2314"/>
      <c r="H241" s="2314"/>
      <c r="I241" s="2321"/>
      <c r="J241" s="2331"/>
      <c r="K241" s="1224"/>
      <c r="L241" s="1224"/>
      <c r="M241" s="1224"/>
      <c r="N241" s="1224"/>
      <c r="O241" s="1224"/>
      <c r="P241" s="1224"/>
      <c r="Q241" s="1226"/>
      <c r="R241" s="1226"/>
      <c r="S241" s="1226"/>
      <c r="T241" s="1226"/>
      <c r="U241" s="1226"/>
      <c r="V241" s="1226"/>
      <c r="W241" s="1226"/>
      <c r="X241" s="1226"/>
      <c r="Y241" s="1226"/>
      <c r="Z241" s="1226"/>
      <c r="AA241" s="1226"/>
      <c r="AB241" s="1226"/>
      <c r="AC241" s="1226"/>
      <c r="AD241" s="1226"/>
      <c r="AE241" s="1226"/>
      <c r="AF241" s="1226"/>
      <c r="AG241" s="1226"/>
      <c r="AH241" s="1226"/>
      <c r="AI241" s="1226"/>
      <c r="AJ241" s="1226"/>
      <c r="AK241" s="1226"/>
      <c r="AL241" s="1226"/>
      <c r="AM241" s="1226"/>
      <c r="AN241" s="1226"/>
      <c r="AO241" s="1226"/>
      <c r="AP241" s="1226"/>
      <c r="AQ241" s="1226"/>
      <c r="AR241" s="1226"/>
      <c r="AS241" s="1226"/>
      <c r="AT241" s="1226"/>
      <c r="AU241" s="1226"/>
      <c r="AV241" s="1226"/>
      <c r="AW241" s="1226"/>
      <c r="AX241" s="1226"/>
      <c r="AY241" s="1226"/>
      <c r="AZ241" s="1226"/>
      <c r="BA241" s="1226"/>
      <c r="BB241" s="1226"/>
      <c r="BC241" s="1226"/>
      <c r="BD241" s="1226"/>
      <c r="BE241" s="1226"/>
      <c r="BF241" s="1226"/>
      <c r="BG241" s="1226"/>
      <c r="BH241" s="1226"/>
      <c r="BI241" s="1226"/>
      <c r="BJ241" s="1226"/>
      <c r="BK241" s="1226"/>
      <c r="BL241" s="1226"/>
      <c r="BM241" s="1226"/>
      <c r="BN241" s="1226"/>
      <c r="BO241" s="1226"/>
      <c r="BP241" s="1226"/>
      <c r="BQ241" s="1226"/>
      <c r="BR241" s="1226"/>
      <c r="BS241" s="1226"/>
      <c r="BT241" s="1226"/>
      <c r="BU241" s="1226"/>
      <c r="BV241" s="1226"/>
      <c r="BW241" s="1226"/>
      <c r="BX241" s="1226"/>
      <c r="BY241" s="1226"/>
      <c r="BZ241" s="1226"/>
      <c r="CA241" s="1226"/>
      <c r="CB241" s="1226"/>
      <c r="CC241" s="1226"/>
      <c r="CD241" s="1226"/>
      <c r="CE241" s="1226"/>
      <c r="CF241" s="1226"/>
      <c r="CG241" s="1226"/>
      <c r="CH241" s="1226"/>
      <c r="CI241" s="1226"/>
      <c r="CJ241" s="1226"/>
      <c r="CK241" s="1226"/>
      <c r="CL241" s="1226"/>
      <c r="CM241" s="1226"/>
      <c r="CN241" s="1226"/>
      <c r="CO241" s="1226"/>
      <c r="CP241" s="1226"/>
      <c r="CQ241" s="1226"/>
      <c r="CR241" s="1226"/>
      <c r="CS241" s="1226"/>
    </row>
    <row r="242" spans="1:108" s="1227" customFormat="1" ht="27" customHeight="1">
      <c r="A242" s="2328"/>
      <c r="B242" s="2317"/>
      <c r="C242" s="2317"/>
      <c r="D242" s="2323" t="s">
        <v>3223</v>
      </c>
      <c r="E242" s="2317"/>
      <c r="F242" s="2324"/>
      <c r="G242" s="2314"/>
      <c r="H242" s="2314"/>
      <c r="I242" s="2321"/>
      <c r="J242" s="1226"/>
      <c r="K242" s="1224"/>
      <c r="L242" s="1224"/>
      <c r="M242" s="1224"/>
      <c r="N242" s="1224"/>
      <c r="O242" s="1224"/>
      <c r="P242" s="1224"/>
      <c r="Q242" s="1226"/>
      <c r="R242" s="1226"/>
      <c r="S242" s="1226"/>
      <c r="T242" s="1226"/>
      <c r="U242" s="1226"/>
      <c r="V242" s="1226"/>
      <c r="W242" s="1226"/>
      <c r="X242" s="1226"/>
      <c r="Y242" s="1226"/>
      <c r="Z242" s="1226"/>
      <c r="AA242" s="1226"/>
      <c r="AB242" s="1226"/>
      <c r="AC242" s="1226"/>
      <c r="AD242" s="1226"/>
      <c r="AE242" s="1226"/>
      <c r="AF242" s="1226"/>
      <c r="AG242" s="1226"/>
      <c r="AH242" s="1226"/>
      <c r="AI242" s="1226"/>
      <c r="AJ242" s="1226"/>
      <c r="AK242" s="1226"/>
      <c r="AL242" s="1226"/>
      <c r="AM242" s="1226"/>
      <c r="AN242" s="1226"/>
      <c r="AO242" s="1226"/>
      <c r="AP242" s="1226"/>
      <c r="AQ242" s="1226"/>
      <c r="AR242" s="1226"/>
      <c r="AS242" s="1226"/>
      <c r="AT242" s="1226"/>
      <c r="AU242" s="1226"/>
      <c r="AV242" s="1226"/>
      <c r="AW242" s="1226"/>
      <c r="AX242" s="1226"/>
      <c r="AY242" s="1226"/>
      <c r="AZ242" s="1226"/>
      <c r="BA242" s="1226"/>
      <c r="BB242" s="1226"/>
      <c r="BC242" s="1226"/>
      <c r="BD242" s="1226"/>
      <c r="BE242" s="1226"/>
      <c r="BF242" s="1226"/>
      <c r="BG242" s="1226"/>
      <c r="BH242" s="1226"/>
      <c r="BI242" s="1226"/>
      <c r="BJ242" s="1226"/>
      <c r="BK242" s="1226"/>
      <c r="BL242" s="1226"/>
      <c r="BM242" s="1226"/>
      <c r="BN242" s="1226"/>
      <c r="BO242" s="1226"/>
      <c r="BP242" s="1226"/>
      <c r="BQ242" s="1226"/>
      <c r="BR242" s="1226"/>
      <c r="BS242" s="1226"/>
      <c r="BT242" s="1226"/>
      <c r="BU242" s="1226"/>
      <c r="BV242" s="1226"/>
      <c r="BW242" s="1226"/>
      <c r="BX242" s="1226"/>
      <c r="BY242" s="1226"/>
      <c r="BZ242" s="1226"/>
      <c r="CA242" s="1226"/>
      <c r="CB242" s="1226"/>
      <c r="CC242" s="1226"/>
      <c r="CD242" s="1226"/>
      <c r="CE242" s="1226"/>
      <c r="CF242" s="1226"/>
      <c r="CG242" s="1226"/>
      <c r="CH242" s="1226"/>
      <c r="CI242" s="1226"/>
      <c r="CJ242" s="1226"/>
      <c r="CK242" s="1226"/>
      <c r="CL242" s="1226"/>
      <c r="CM242" s="1226"/>
      <c r="CN242" s="1226"/>
      <c r="CO242" s="1226"/>
      <c r="CP242" s="1226"/>
      <c r="CQ242" s="1226"/>
      <c r="CR242" s="1226"/>
      <c r="CS242" s="1226"/>
    </row>
    <row r="243" spans="1:108" s="1225" customFormat="1" ht="13.5" customHeight="1">
      <c r="A243" s="2328">
        <v>56</v>
      </c>
      <c r="B243" s="2317">
        <v>741</v>
      </c>
      <c r="C243" s="2317" t="s">
        <v>3224</v>
      </c>
      <c r="D243" s="2317" t="s">
        <v>3225</v>
      </c>
      <c r="E243" s="2317" t="s">
        <v>49</v>
      </c>
      <c r="F243" s="2318">
        <f>F245</f>
        <v>1</v>
      </c>
      <c r="G243" s="2314"/>
      <c r="H243" s="2320">
        <f t="shared" ref="H243" si="52">ROUND(F243*G243,2)</f>
        <v>0</v>
      </c>
      <c r="I243" s="2329" t="s">
        <v>111</v>
      </c>
      <c r="J243" s="1486"/>
      <c r="K243" s="2330"/>
      <c r="L243" s="1191"/>
      <c r="M243" s="1191"/>
      <c r="N243" s="1191"/>
      <c r="O243" s="1191"/>
      <c r="P243" s="1191"/>
      <c r="Q243" s="1191"/>
      <c r="R243" s="1191"/>
      <c r="S243" s="1191"/>
      <c r="T243" s="1191"/>
      <c r="U243" s="1191"/>
      <c r="V243" s="1191"/>
      <c r="W243" s="1191"/>
      <c r="X243" s="1191"/>
      <c r="Y243" s="1191"/>
      <c r="Z243" s="1191"/>
      <c r="AA243" s="1191"/>
      <c r="AB243" s="1191"/>
      <c r="AC243" s="1191"/>
      <c r="AD243" s="1191"/>
      <c r="AE243" s="1191"/>
      <c r="AF243" s="1191"/>
      <c r="AG243" s="1191"/>
      <c r="AH243" s="1191"/>
      <c r="AI243" s="1191"/>
      <c r="AJ243" s="1191"/>
      <c r="AK243" s="1191"/>
      <c r="AL243" s="1191"/>
      <c r="AM243" s="1191"/>
      <c r="AN243" s="1191"/>
      <c r="AO243" s="1191"/>
      <c r="AP243" s="1191"/>
      <c r="AQ243" s="1191"/>
      <c r="AR243" s="1191"/>
      <c r="AS243" s="1191"/>
      <c r="AT243" s="1191"/>
      <c r="AU243" s="1191"/>
      <c r="AV243" s="1191"/>
      <c r="AW243" s="1191"/>
      <c r="AX243" s="1191"/>
      <c r="AY243" s="1191"/>
      <c r="AZ243" s="1191"/>
      <c r="BA243" s="1191"/>
      <c r="BB243" s="1191"/>
      <c r="BC243" s="1191"/>
      <c r="BD243" s="1191"/>
      <c r="BE243" s="1191"/>
      <c r="BF243" s="1191"/>
      <c r="BG243" s="1191"/>
      <c r="BH243" s="1191"/>
      <c r="BI243" s="1191"/>
      <c r="BJ243" s="1191"/>
      <c r="BK243" s="1191"/>
      <c r="BL243" s="1191"/>
      <c r="BM243" s="1191"/>
      <c r="BN243" s="1191"/>
      <c r="BO243" s="1191"/>
      <c r="BP243" s="1191"/>
      <c r="BQ243" s="1191"/>
      <c r="BR243" s="1191"/>
      <c r="BS243" s="1191"/>
      <c r="BT243" s="1191"/>
      <c r="BU243" s="1191"/>
      <c r="BV243" s="1191"/>
      <c r="BW243" s="1191"/>
      <c r="BX243" s="1191"/>
      <c r="BY243" s="1191"/>
      <c r="BZ243" s="1191"/>
      <c r="CA243" s="1191"/>
      <c r="CB243" s="1191"/>
      <c r="CC243" s="1191"/>
      <c r="CD243" s="1191"/>
      <c r="CE243" s="1191"/>
      <c r="CF243" s="1191"/>
      <c r="CG243" s="1191"/>
      <c r="CH243" s="1191"/>
      <c r="CI243" s="1191"/>
      <c r="CJ243" s="1191"/>
      <c r="CK243" s="1191"/>
      <c r="CL243" s="1191"/>
      <c r="CM243" s="1191"/>
      <c r="CN243" s="1191"/>
      <c r="CO243" s="1191"/>
      <c r="CP243" s="1191"/>
      <c r="CQ243" s="1191"/>
      <c r="CR243" s="1191"/>
      <c r="CS243" s="1191"/>
      <c r="CT243" s="1191"/>
      <c r="CU243" s="1191"/>
      <c r="CV243" s="1191"/>
      <c r="CW243" s="1191"/>
      <c r="CX243" s="1191"/>
      <c r="CY243" s="1191"/>
      <c r="CZ243" s="1191"/>
      <c r="DA243" s="1191"/>
      <c r="DB243" s="1191"/>
      <c r="DC243" s="1191"/>
      <c r="DD243" s="1191"/>
    </row>
    <row r="244" spans="1:108" s="1227" customFormat="1" ht="13.5" customHeight="1">
      <c r="A244" s="2328"/>
      <c r="B244" s="2317"/>
      <c r="C244" s="2317"/>
      <c r="D244" s="2323" t="s">
        <v>3226</v>
      </c>
      <c r="E244" s="2317"/>
      <c r="F244" s="2324"/>
      <c r="G244" s="2314"/>
      <c r="H244" s="2314"/>
      <c r="I244" s="2321"/>
      <c r="J244" s="1226"/>
      <c r="K244" s="1224"/>
      <c r="L244" s="1224"/>
      <c r="M244" s="1224"/>
      <c r="N244" s="1224"/>
      <c r="O244" s="1224"/>
      <c r="P244" s="1224"/>
      <c r="Q244" s="1226"/>
      <c r="R244" s="1226"/>
      <c r="S244" s="1226"/>
      <c r="T244" s="1226"/>
      <c r="U244" s="1226"/>
      <c r="V244" s="1226"/>
      <c r="W244" s="1226"/>
      <c r="X244" s="1226"/>
      <c r="Y244" s="1226"/>
      <c r="Z244" s="1226"/>
      <c r="AA244" s="1226"/>
      <c r="AB244" s="1226"/>
      <c r="AC244" s="1226"/>
      <c r="AD244" s="1226"/>
      <c r="AE244" s="1226"/>
      <c r="AF244" s="1226"/>
      <c r="AG244" s="1226"/>
      <c r="AH244" s="1226"/>
      <c r="AI244" s="1226"/>
      <c r="AJ244" s="1226"/>
      <c r="AK244" s="1226"/>
      <c r="AL244" s="1226"/>
      <c r="AM244" s="1226"/>
      <c r="AN244" s="1226"/>
      <c r="AO244" s="1226"/>
      <c r="AP244" s="1226"/>
      <c r="AQ244" s="1226"/>
      <c r="AR244" s="1226"/>
      <c r="AS244" s="1226"/>
      <c r="AT244" s="1226"/>
      <c r="AU244" s="1226"/>
      <c r="AV244" s="1226"/>
      <c r="AW244" s="1226"/>
      <c r="AX244" s="1226"/>
      <c r="AY244" s="1226"/>
      <c r="AZ244" s="1226"/>
      <c r="BA244" s="1226"/>
      <c r="BB244" s="1226"/>
      <c r="BC244" s="1226"/>
      <c r="BD244" s="1226"/>
      <c r="BE244" s="1226"/>
      <c r="BF244" s="1226"/>
      <c r="BG244" s="1226"/>
      <c r="BH244" s="1226"/>
      <c r="BI244" s="1226"/>
      <c r="BJ244" s="1226"/>
      <c r="BK244" s="1226"/>
      <c r="BL244" s="1226"/>
      <c r="BM244" s="1226"/>
      <c r="BN244" s="1226"/>
      <c r="BO244" s="1226"/>
      <c r="BP244" s="1226"/>
      <c r="BQ244" s="1226"/>
      <c r="BR244" s="1226"/>
      <c r="BS244" s="1226"/>
      <c r="BT244" s="1226"/>
      <c r="BU244" s="1226"/>
      <c r="BV244" s="1226"/>
      <c r="BW244" s="1226"/>
      <c r="BX244" s="1226"/>
      <c r="BY244" s="1226"/>
      <c r="BZ244" s="1226"/>
      <c r="CA244" s="1226"/>
      <c r="CB244" s="1226"/>
      <c r="CC244" s="1226"/>
      <c r="CD244" s="1226"/>
      <c r="CE244" s="1226"/>
      <c r="CF244" s="1226"/>
      <c r="CG244" s="1226"/>
      <c r="CH244" s="1226"/>
      <c r="CI244" s="1226"/>
      <c r="CJ244" s="1226"/>
      <c r="CK244" s="1226"/>
      <c r="CL244" s="1226"/>
      <c r="CM244" s="1226"/>
      <c r="CN244" s="1226"/>
      <c r="CO244" s="1226"/>
      <c r="CP244" s="1226"/>
      <c r="CQ244" s="1226"/>
      <c r="CR244" s="1226"/>
      <c r="CS244" s="1226"/>
    </row>
    <row r="245" spans="1:108" s="1227" customFormat="1" ht="13.5" customHeight="1">
      <c r="A245" s="2328"/>
      <c r="B245" s="2317"/>
      <c r="C245" s="2317"/>
      <c r="D245" s="2323" t="s">
        <v>1235</v>
      </c>
      <c r="E245" s="2317"/>
      <c r="F245" s="2324">
        <v>1</v>
      </c>
      <c r="G245" s="2314"/>
      <c r="H245" s="2314"/>
      <c r="I245" s="2321"/>
      <c r="J245" s="2331"/>
      <c r="K245" s="1224"/>
      <c r="L245" s="1224"/>
      <c r="M245" s="1224"/>
      <c r="N245" s="1224"/>
      <c r="O245" s="1224"/>
      <c r="P245" s="1224"/>
      <c r="Q245" s="1226"/>
      <c r="R245" s="1226"/>
      <c r="S245" s="1226"/>
      <c r="T245" s="1226"/>
      <c r="U245" s="1226"/>
      <c r="V245" s="1226"/>
      <c r="W245" s="1226"/>
      <c r="X245" s="1226"/>
      <c r="Y245" s="1226"/>
      <c r="Z245" s="1226"/>
      <c r="AA245" s="1226"/>
      <c r="AB245" s="1226"/>
      <c r="AC245" s="1226"/>
      <c r="AD245" s="1226"/>
      <c r="AE245" s="1226"/>
      <c r="AF245" s="1226"/>
      <c r="AG245" s="1226"/>
      <c r="AH245" s="1226"/>
      <c r="AI245" s="1226"/>
      <c r="AJ245" s="1226"/>
      <c r="AK245" s="1226"/>
      <c r="AL245" s="1226"/>
      <c r="AM245" s="1226"/>
      <c r="AN245" s="1226"/>
      <c r="AO245" s="1226"/>
      <c r="AP245" s="1226"/>
      <c r="AQ245" s="1226"/>
      <c r="AR245" s="1226"/>
      <c r="AS245" s="1226"/>
      <c r="AT245" s="1226"/>
      <c r="AU245" s="1226"/>
      <c r="AV245" s="1226"/>
      <c r="AW245" s="1226"/>
      <c r="AX245" s="1226"/>
      <c r="AY245" s="1226"/>
      <c r="AZ245" s="1226"/>
      <c r="BA245" s="1226"/>
      <c r="BB245" s="1226"/>
      <c r="BC245" s="1226"/>
      <c r="BD245" s="1226"/>
      <c r="BE245" s="1226"/>
      <c r="BF245" s="1226"/>
      <c r="BG245" s="1226"/>
      <c r="BH245" s="1226"/>
      <c r="BI245" s="1226"/>
      <c r="BJ245" s="1226"/>
      <c r="BK245" s="1226"/>
      <c r="BL245" s="1226"/>
      <c r="BM245" s="1226"/>
      <c r="BN245" s="1226"/>
      <c r="BO245" s="1226"/>
      <c r="BP245" s="1226"/>
      <c r="BQ245" s="1226"/>
      <c r="BR245" s="1226"/>
      <c r="BS245" s="1226"/>
      <c r="BT245" s="1226"/>
      <c r="BU245" s="1226"/>
      <c r="BV245" s="1226"/>
      <c r="BW245" s="1226"/>
      <c r="BX245" s="1226"/>
      <c r="BY245" s="1226"/>
      <c r="BZ245" s="1226"/>
      <c r="CA245" s="1226"/>
      <c r="CB245" s="1226"/>
      <c r="CC245" s="1226"/>
      <c r="CD245" s="1226"/>
      <c r="CE245" s="1226"/>
      <c r="CF245" s="1226"/>
      <c r="CG245" s="1226"/>
      <c r="CH245" s="1226"/>
      <c r="CI245" s="1226"/>
      <c r="CJ245" s="1226"/>
      <c r="CK245" s="1226"/>
      <c r="CL245" s="1226"/>
      <c r="CM245" s="1226"/>
      <c r="CN245" s="1226"/>
      <c r="CO245" s="1226"/>
      <c r="CP245" s="1226"/>
      <c r="CQ245" s="1226"/>
      <c r="CR245" s="1226"/>
      <c r="CS245" s="1226"/>
    </row>
    <row r="246" spans="1:108" s="1227" customFormat="1" ht="27" customHeight="1">
      <c r="A246" s="2328"/>
      <c r="B246" s="2317"/>
      <c r="C246" s="2317"/>
      <c r="D246" s="2323" t="s">
        <v>1941</v>
      </c>
      <c r="E246" s="2317"/>
      <c r="F246" s="2324"/>
      <c r="G246" s="2314"/>
      <c r="H246" s="2314"/>
      <c r="I246" s="2321"/>
      <c r="J246" s="1226"/>
      <c r="K246" s="1224"/>
      <c r="L246" s="1224"/>
      <c r="M246" s="1224"/>
      <c r="N246" s="1224"/>
      <c r="O246" s="1224"/>
      <c r="P246" s="1224"/>
      <c r="Q246" s="1226"/>
      <c r="R246" s="1226"/>
      <c r="S246" s="1226"/>
      <c r="T246" s="1226"/>
      <c r="U246" s="1226"/>
      <c r="V246" s="1226"/>
      <c r="W246" s="1226"/>
      <c r="X246" s="1226"/>
      <c r="Y246" s="1226"/>
      <c r="Z246" s="1226"/>
      <c r="AA246" s="1226"/>
      <c r="AB246" s="1226"/>
      <c r="AC246" s="1226"/>
      <c r="AD246" s="1226"/>
      <c r="AE246" s="1226"/>
      <c r="AF246" s="1226"/>
      <c r="AG246" s="1226"/>
      <c r="AH246" s="1226"/>
      <c r="AI246" s="1226"/>
      <c r="AJ246" s="1226"/>
      <c r="AK246" s="1226"/>
      <c r="AL246" s="1226"/>
      <c r="AM246" s="1226"/>
      <c r="AN246" s="1226"/>
      <c r="AO246" s="1226"/>
      <c r="AP246" s="1226"/>
      <c r="AQ246" s="1226"/>
      <c r="AR246" s="1226"/>
      <c r="AS246" s="1226"/>
      <c r="AT246" s="1226"/>
      <c r="AU246" s="1226"/>
      <c r="AV246" s="1226"/>
      <c r="AW246" s="1226"/>
      <c r="AX246" s="1226"/>
      <c r="AY246" s="1226"/>
      <c r="AZ246" s="1226"/>
      <c r="BA246" s="1226"/>
      <c r="BB246" s="1226"/>
      <c r="BC246" s="1226"/>
      <c r="BD246" s="1226"/>
      <c r="BE246" s="1226"/>
      <c r="BF246" s="1226"/>
      <c r="BG246" s="1226"/>
      <c r="BH246" s="1226"/>
      <c r="BI246" s="1226"/>
      <c r="BJ246" s="1226"/>
      <c r="BK246" s="1226"/>
      <c r="BL246" s="1226"/>
      <c r="BM246" s="1226"/>
      <c r="BN246" s="1226"/>
      <c r="BO246" s="1226"/>
      <c r="BP246" s="1226"/>
      <c r="BQ246" s="1226"/>
      <c r="BR246" s="1226"/>
      <c r="BS246" s="1226"/>
      <c r="BT246" s="1226"/>
      <c r="BU246" s="1226"/>
      <c r="BV246" s="1226"/>
      <c r="BW246" s="1226"/>
      <c r="BX246" s="1226"/>
      <c r="BY246" s="1226"/>
      <c r="BZ246" s="1226"/>
      <c r="CA246" s="1226"/>
      <c r="CB246" s="1226"/>
      <c r="CC246" s="1226"/>
      <c r="CD246" s="1226"/>
      <c r="CE246" s="1226"/>
      <c r="CF246" s="1226"/>
      <c r="CG246" s="1226"/>
      <c r="CH246" s="1226"/>
      <c r="CI246" s="1226"/>
      <c r="CJ246" s="1226"/>
      <c r="CK246" s="1226"/>
      <c r="CL246" s="1226"/>
      <c r="CM246" s="1226"/>
      <c r="CN246" s="1226"/>
      <c r="CO246" s="1226"/>
      <c r="CP246" s="1226"/>
      <c r="CQ246" s="1226"/>
      <c r="CR246" s="1226"/>
      <c r="CS246" s="1226"/>
    </row>
    <row r="247" spans="1:108" s="1225" customFormat="1" ht="13.5" customHeight="1">
      <c r="A247" s="2328">
        <v>57</v>
      </c>
      <c r="B247" s="2317">
        <v>741</v>
      </c>
      <c r="C247" s="2317" t="s">
        <v>3227</v>
      </c>
      <c r="D247" s="2317" t="s">
        <v>3228</v>
      </c>
      <c r="E247" s="2317" t="s">
        <v>49</v>
      </c>
      <c r="F247" s="2318">
        <f>F249</f>
        <v>1</v>
      </c>
      <c r="G247" s="2314"/>
      <c r="H247" s="2320">
        <f t="shared" ref="H247" si="53">ROUND(F247*G247,2)</f>
        <v>0</v>
      </c>
      <c r="I247" s="2329" t="s">
        <v>111</v>
      </c>
      <c r="J247" s="1486"/>
      <c r="K247" s="2330"/>
      <c r="L247" s="1191"/>
      <c r="M247" s="1191"/>
      <c r="N247" s="1191"/>
      <c r="O247" s="1191"/>
      <c r="P247" s="1191"/>
      <c r="Q247" s="1191"/>
      <c r="R247" s="1191"/>
      <c r="S247" s="1191"/>
      <c r="T247" s="1191"/>
      <c r="U247" s="1191"/>
      <c r="V247" s="1191"/>
      <c r="W247" s="1191"/>
      <c r="X247" s="1191"/>
      <c r="Y247" s="1191"/>
      <c r="Z247" s="1191"/>
      <c r="AA247" s="1191"/>
      <c r="AB247" s="1191"/>
      <c r="AC247" s="1191"/>
      <c r="AD247" s="1191"/>
      <c r="AE247" s="1191"/>
      <c r="AF247" s="1191"/>
      <c r="AG247" s="1191"/>
      <c r="AH247" s="1191"/>
      <c r="AI247" s="1191"/>
      <c r="AJ247" s="1191"/>
      <c r="AK247" s="1191"/>
      <c r="AL247" s="1191"/>
      <c r="AM247" s="1191"/>
      <c r="AN247" s="1191"/>
      <c r="AO247" s="1191"/>
      <c r="AP247" s="1191"/>
      <c r="AQ247" s="1191"/>
      <c r="AR247" s="1191"/>
      <c r="AS247" s="1191"/>
      <c r="AT247" s="1191"/>
      <c r="AU247" s="1191"/>
      <c r="AV247" s="1191"/>
      <c r="AW247" s="1191"/>
      <c r="AX247" s="1191"/>
      <c r="AY247" s="1191"/>
      <c r="AZ247" s="1191"/>
      <c r="BA247" s="1191"/>
      <c r="BB247" s="1191"/>
      <c r="BC247" s="1191"/>
      <c r="BD247" s="1191"/>
      <c r="BE247" s="1191"/>
      <c r="BF247" s="1191"/>
      <c r="BG247" s="1191"/>
      <c r="BH247" s="1191"/>
      <c r="BI247" s="1191"/>
      <c r="BJ247" s="1191"/>
      <c r="BK247" s="1191"/>
      <c r="BL247" s="1191"/>
      <c r="BM247" s="1191"/>
      <c r="BN247" s="1191"/>
      <c r="BO247" s="1191"/>
      <c r="BP247" s="1191"/>
      <c r="BQ247" s="1191"/>
      <c r="BR247" s="1191"/>
      <c r="BS247" s="1191"/>
      <c r="BT247" s="1191"/>
      <c r="BU247" s="1191"/>
      <c r="BV247" s="1191"/>
      <c r="BW247" s="1191"/>
      <c r="BX247" s="1191"/>
      <c r="BY247" s="1191"/>
      <c r="BZ247" s="1191"/>
      <c r="CA247" s="1191"/>
      <c r="CB247" s="1191"/>
      <c r="CC247" s="1191"/>
      <c r="CD247" s="1191"/>
      <c r="CE247" s="1191"/>
      <c r="CF247" s="1191"/>
      <c r="CG247" s="1191"/>
      <c r="CH247" s="1191"/>
      <c r="CI247" s="1191"/>
      <c r="CJ247" s="1191"/>
      <c r="CK247" s="1191"/>
      <c r="CL247" s="1191"/>
      <c r="CM247" s="1191"/>
      <c r="CN247" s="1191"/>
      <c r="CO247" s="1191"/>
      <c r="CP247" s="1191"/>
      <c r="CQ247" s="1191"/>
      <c r="CR247" s="1191"/>
      <c r="CS247" s="1191"/>
      <c r="CT247" s="1191"/>
      <c r="CU247" s="1191"/>
      <c r="CV247" s="1191"/>
      <c r="CW247" s="1191"/>
      <c r="CX247" s="1191"/>
      <c r="CY247" s="1191"/>
      <c r="CZ247" s="1191"/>
      <c r="DA247" s="1191"/>
      <c r="DB247" s="1191"/>
      <c r="DC247" s="1191"/>
      <c r="DD247" s="1191"/>
    </row>
    <row r="248" spans="1:108" s="1227" customFormat="1" ht="13.5" customHeight="1">
      <c r="A248" s="2328"/>
      <c r="B248" s="2317"/>
      <c r="C248" s="2317"/>
      <c r="D248" s="2323" t="s">
        <v>3229</v>
      </c>
      <c r="E248" s="2317"/>
      <c r="F248" s="2324"/>
      <c r="G248" s="2314"/>
      <c r="H248" s="2314"/>
      <c r="I248" s="2321"/>
      <c r="J248" s="1226"/>
      <c r="K248" s="1224"/>
      <c r="L248" s="1224"/>
      <c r="M248" s="1224"/>
      <c r="N248" s="1224"/>
      <c r="O248" s="1224"/>
      <c r="P248" s="1224"/>
      <c r="Q248" s="1226"/>
      <c r="R248" s="1226"/>
      <c r="S248" s="1226"/>
      <c r="T248" s="1226"/>
      <c r="U248" s="1226"/>
      <c r="V248" s="1226"/>
      <c r="W248" s="1226"/>
      <c r="X248" s="1226"/>
      <c r="Y248" s="1226"/>
      <c r="Z248" s="1226"/>
      <c r="AA248" s="1226"/>
      <c r="AB248" s="1226"/>
      <c r="AC248" s="1226"/>
      <c r="AD248" s="1226"/>
      <c r="AE248" s="1226"/>
      <c r="AF248" s="1226"/>
      <c r="AG248" s="1226"/>
      <c r="AH248" s="1226"/>
      <c r="AI248" s="1226"/>
      <c r="AJ248" s="1226"/>
      <c r="AK248" s="1226"/>
      <c r="AL248" s="1226"/>
      <c r="AM248" s="1226"/>
      <c r="AN248" s="1226"/>
      <c r="AO248" s="1226"/>
      <c r="AP248" s="1226"/>
      <c r="AQ248" s="1226"/>
      <c r="AR248" s="1226"/>
      <c r="AS248" s="1226"/>
      <c r="AT248" s="1226"/>
      <c r="AU248" s="1226"/>
      <c r="AV248" s="1226"/>
      <c r="AW248" s="1226"/>
      <c r="AX248" s="1226"/>
      <c r="AY248" s="1226"/>
      <c r="AZ248" s="1226"/>
      <c r="BA248" s="1226"/>
      <c r="BB248" s="1226"/>
      <c r="BC248" s="1226"/>
      <c r="BD248" s="1226"/>
      <c r="BE248" s="1226"/>
      <c r="BF248" s="1226"/>
      <c r="BG248" s="1226"/>
      <c r="BH248" s="1226"/>
      <c r="BI248" s="1226"/>
      <c r="BJ248" s="1226"/>
      <c r="BK248" s="1226"/>
      <c r="BL248" s="1226"/>
      <c r="BM248" s="1226"/>
      <c r="BN248" s="1226"/>
      <c r="BO248" s="1226"/>
      <c r="BP248" s="1226"/>
      <c r="BQ248" s="1226"/>
      <c r="BR248" s="1226"/>
      <c r="BS248" s="1226"/>
      <c r="BT248" s="1226"/>
      <c r="BU248" s="1226"/>
      <c r="BV248" s="1226"/>
      <c r="BW248" s="1226"/>
      <c r="BX248" s="1226"/>
      <c r="BY248" s="1226"/>
      <c r="BZ248" s="1226"/>
      <c r="CA248" s="1226"/>
      <c r="CB248" s="1226"/>
      <c r="CC248" s="1226"/>
      <c r="CD248" s="1226"/>
      <c r="CE248" s="1226"/>
      <c r="CF248" s="1226"/>
      <c r="CG248" s="1226"/>
      <c r="CH248" s="1226"/>
      <c r="CI248" s="1226"/>
      <c r="CJ248" s="1226"/>
      <c r="CK248" s="1226"/>
      <c r="CL248" s="1226"/>
      <c r="CM248" s="1226"/>
      <c r="CN248" s="1226"/>
      <c r="CO248" s="1226"/>
      <c r="CP248" s="1226"/>
      <c r="CQ248" s="1226"/>
      <c r="CR248" s="1226"/>
      <c r="CS248" s="1226"/>
    </row>
    <row r="249" spans="1:108" s="1227" customFormat="1" ht="13.5" customHeight="1">
      <c r="A249" s="2328"/>
      <c r="B249" s="2317"/>
      <c r="C249" s="2317"/>
      <c r="D249" s="2323" t="s">
        <v>1235</v>
      </c>
      <c r="E249" s="2317"/>
      <c r="F249" s="2324">
        <v>1</v>
      </c>
      <c r="G249" s="2314"/>
      <c r="H249" s="2314"/>
      <c r="I249" s="2321"/>
      <c r="J249" s="2331"/>
      <c r="K249" s="1224"/>
      <c r="L249" s="1224"/>
      <c r="M249" s="1224"/>
      <c r="N249" s="1224"/>
      <c r="O249" s="1224"/>
      <c r="P249" s="1224"/>
      <c r="Q249" s="1226"/>
      <c r="R249" s="1226"/>
      <c r="S249" s="1226"/>
      <c r="T249" s="1226"/>
      <c r="U249" s="1226"/>
      <c r="V249" s="1226"/>
      <c r="W249" s="1226"/>
      <c r="X249" s="1226"/>
      <c r="Y249" s="1226"/>
      <c r="Z249" s="1226"/>
      <c r="AA249" s="1226"/>
      <c r="AB249" s="1226"/>
      <c r="AC249" s="1226"/>
      <c r="AD249" s="1226"/>
      <c r="AE249" s="1226"/>
      <c r="AF249" s="1226"/>
      <c r="AG249" s="1226"/>
      <c r="AH249" s="1226"/>
      <c r="AI249" s="1226"/>
      <c r="AJ249" s="1226"/>
      <c r="AK249" s="1226"/>
      <c r="AL249" s="1226"/>
      <c r="AM249" s="1226"/>
      <c r="AN249" s="1226"/>
      <c r="AO249" s="1226"/>
      <c r="AP249" s="1226"/>
      <c r="AQ249" s="1226"/>
      <c r="AR249" s="1226"/>
      <c r="AS249" s="1226"/>
      <c r="AT249" s="1226"/>
      <c r="AU249" s="1226"/>
      <c r="AV249" s="1226"/>
      <c r="AW249" s="1226"/>
      <c r="AX249" s="1226"/>
      <c r="AY249" s="1226"/>
      <c r="AZ249" s="1226"/>
      <c r="BA249" s="1226"/>
      <c r="BB249" s="1226"/>
      <c r="BC249" s="1226"/>
      <c r="BD249" s="1226"/>
      <c r="BE249" s="1226"/>
      <c r="BF249" s="1226"/>
      <c r="BG249" s="1226"/>
      <c r="BH249" s="1226"/>
      <c r="BI249" s="1226"/>
      <c r="BJ249" s="1226"/>
      <c r="BK249" s="1226"/>
      <c r="BL249" s="1226"/>
      <c r="BM249" s="1226"/>
      <c r="BN249" s="1226"/>
      <c r="BO249" s="1226"/>
      <c r="BP249" s="1226"/>
      <c r="BQ249" s="1226"/>
      <c r="BR249" s="1226"/>
      <c r="BS249" s="1226"/>
      <c r="BT249" s="1226"/>
      <c r="BU249" s="1226"/>
      <c r="BV249" s="1226"/>
      <c r="BW249" s="1226"/>
      <c r="BX249" s="1226"/>
      <c r="BY249" s="1226"/>
      <c r="BZ249" s="1226"/>
      <c r="CA249" s="1226"/>
      <c r="CB249" s="1226"/>
      <c r="CC249" s="1226"/>
      <c r="CD249" s="1226"/>
      <c r="CE249" s="1226"/>
      <c r="CF249" s="1226"/>
      <c r="CG249" s="1226"/>
      <c r="CH249" s="1226"/>
      <c r="CI249" s="1226"/>
      <c r="CJ249" s="1226"/>
      <c r="CK249" s="1226"/>
      <c r="CL249" s="1226"/>
      <c r="CM249" s="1226"/>
      <c r="CN249" s="1226"/>
      <c r="CO249" s="1226"/>
      <c r="CP249" s="1226"/>
      <c r="CQ249" s="1226"/>
      <c r="CR249" s="1226"/>
      <c r="CS249" s="1226"/>
    </row>
    <row r="250" spans="1:108" s="1227" customFormat="1" ht="27" customHeight="1">
      <c r="A250" s="2328"/>
      <c r="B250" s="2317"/>
      <c r="C250" s="2317"/>
      <c r="D250" s="2323" t="s">
        <v>1941</v>
      </c>
      <c r="E250" s="2317"/>
      <c r="F250" s="2324"/>
      <c r="G250" s="2314"/>
      <c r="H250" s="2314"/>
      <c r="I250" s="2321"/>
      <c r="J250" s="1226"/>
      <c r="K250" s="1224"/>
      <c r="L250" s="1224"/>
      <c r="M250" s="1224"/>
      <c r="N250" s="1224"/>
      <c r="O250" s="1224"/>
      <c r="P250" s="1224"/>
      <c r="Q250" s="1226"/>
      <c r="R250" s="1226"/>
      <c r="S250" s="1226"/>
      <c r="T250" s="1226"/>
      <c r="U250" s="1226"/>
      <c r="V250" s="1226"/>
      <c r="W250" s="1226"/>
      <c r="X250" s="1226"/>
      <c r="Y250" s="1226"/>
      <c r="Z250" s="1226"/>
      <c r="AA250" s="1226"/>
      <c r="AB250" s="1226"/>
      <c r="AC250" s="1226"/>
      <c r="AD250" s="1226"/>
      <c r="AE250" s="1226"/>
      <c r="AF250" s="1226"/>
      <c r="AG250" s="1226"/>
      <c r="AH250" s="1226"/>
      <c r="AI250" s="1226"/>
      <c r="AJ250" s="1226"/>
      <c r="AK250" s="1226"/>
      <c r="AL250" s="1226"/>
      <c r="AM250" s="1226"/>
      <c r="AN250" s="1226"/>
      <c r="AO250" s="1226"/>
      <c r="AP250" s="1226"/>
      <c r="AQ250" s="1226"/>
      <c r="AR250" s="1226"/>
      <c r="AS250" s="1226"/>
      <c r="AT250" s="1226"/>
      <c r="AU250" s="1226"/>
      <c r="AV250" s="1226"/>
      <c r="AW250" s="1226"/>
      <c r="AX250" s="1226"/>
      <c r="AY250" s="1226"/>
      <c r="AZ250" s="1226"/>
      <c r="BA250" s="1226"/>
      <c r="BB250" s="1226"/>
      <c r="BC250" s="1226"/>
      <c r="BD250" s="1226"/>
      <c r="BE250" s="1226"/>
      <c r="BF250" s="1226"/>
      <c r="BG250" s="1226"/>
      <c r="BH250" s="1226"/>
      <c r="BI250" s="1226"/>
      <c r="BJ250" s="1226"/>
      <c r="BK250" s="1226"/>
      <c r="BL250" s="1226"/>
      <c r="BM250" s="1226"/>
      <c r="BN250" s="1226"/>
      <c r="BO250" s="1226"/>
      <c r="BP250" s="1226"/>
      <c r="BQ250" s="1226"/>
      <c r="BR250" s="1226"/>
      <c r="BS250" s="1226"/>
      <c r="BT250" s="1226"/>
      <c r="BU250" s="1226"/>
      <c r="BV250" s="1226"/>
      <c r="BW250" s="1226"/>
      <c r="BX250" s="1226"/>
      <c r="BY250" s="1226"/>
      <c r="BZ250" s="1226"/>
      <c r="CA250" s="1226"/>
      <c r="CB250" s="1226"/>
      <c r="CC250" s="1226"/>
      <c r="CD250" s="1226"/>
      <c r="CE250" s="1226"/>
      <c r="CF250" s="1226"/>
      <c r="CG250" s="1226"/>
      <c r="CH250" s="1226"/>
      <c r="CI250" s="1226"/>
      <c r="CJ250" s="1226"/>
      <c r="CK250" s="1226"/>
      <c r="CL250" s="1226"/>
      <c r="CM250" s="1226"/>
      <c r="CN250" s="1226"/>
      <c r="CO250" s="1226"/>
      <c r="CP250" s="1226"/>
      <c r="CQ250" s="1226"/>
      <c r="CR250" s="1226"/>
      <c r="CS250" s="1226"/>
    </row>
    <row r="251" spans="1:108" s="1225" customFormat="1" ht="13.5" customHeight="1">
      <c r="A251" s="2328">
        <v>58</v>
      </c>
      <c r="B251" s="2317">
        <v>741</v>
      </c>
      <c r="C251" s="2317" t="s">
        <v>3230</v>
      </c>
      <c r="D251" s="2317" t="s">
        <v>3231</v>
      </c>
      <c r="E251" s="2317" t="s">
        <v>49</v>
      </c>
      <c r="F251" s="2318">
        <f>F253</f>
        <v>1</v>
      </c>
      <c r="G251" s="2314"/>
      <c r="H251" s="2320">
        <f t="shared" ref="H251" si="54">ROUND(F251*G251,2)</f>
        <v>0</v>
      </c>
      <c r="I251" s="2329" t="s">
        <v>111</v>
      </c>
      <c r="J251" s="1486"/>
      <c r="K251" s="2330"/>
      <c r="L251" s="1191"/>
      <c r="M251" s="1191"/>
      <c r="N251" s="1191"/>
      <c r="O251" s="1191"/>
      <c r="P251" s="1191"/>
      <c r="Q251" s="1191"/>
      <c r="R251" s="1191"/>
      <c r="S251" s="1191"/>
      <c r="T251" s="1191"/>
      <c r="U251" s="1191"/>
      <c r="V251" s="1191"/>
      <c r="W251" s="1191"/>
      <c r="X251" s="1191"/>
      <c r="Y251" s="1191"/>
      <c r="Z251" s="1191"/>
      <c r="AA251" s="1191"/>
      <c r="AB251" s="1191"/>
      <c r="AC251" s="1191"/>
      <c r="AD251" s="1191"/>
      <c r="AE251" s="1191"/>
      <c r="AF251" s="1191"/>
      <c r="AG251" s="1191"/>
      <c r="AH251" s="1191"/>
      <c r="AI251" s="1191"/>
      <c r="AJ251" s="1191"/>
      <c r="AK251" s="1191"/>
      <c r="AL251" s="1191"/>
      <c r="AM251" s="1191"/>
      <c r="AN251" s="1191"/>
      <c r="AO251" s="1191"/>
      <c r="AP251" s="1191"/>
      <c r="AQ251" s="1191"/>
      <c r="AR251" s="1191"/>
      <c r="AS251" s="1191"/>
      <c r="AT251" s="1191"/>
      <c r="AU251" s="1191"/>
      <c r="AV251" s="1191"/>
      <c r="AW251" s="1191"/>
      <c r="AX251" s="1191"/>
      <c r="AY251" s="1191"/>
      <c r="AZ251" s="1191"/>
      <c r="BA251" s="1191"/>
      <c r="BB251" s="1191"/>
      <c r="BC251" s="1191"/>
      <c r="BD251" s="1191"/>
      <c r="BE251" s="1191"/>
      <c r="BF251" s="1191"/>
      <c r="BG251" s="1191"/>
      <c r="BH251" s="1191"/>
      <c r="BI251" s="1191"/>
      <c r="BJ251" s="1191"/>
      <c r="BK251" s="1191"/>
      <c r="BL251" s="1191"/>
      <c r="BM251" s="1191"/>
      <c r="BN251" s="1191"/>
      <c r="BO251" s="1191"/>
      <c r="BP251" s="1191"/>
      <c r="BQ251" s="1191"/>
      <c r="BR251" s="1191"/>
      <c r="BS251" s="1191"/>
      <c r="BT251" s="1191"/>
      <c r="BU251" s="1191"/>
      <c r="BV251" s="1191"/>
      <c r="BW251" s="1191"/>
      <c r="BX251" s="1191"/>
      <c r="BY251" s="1191"/>
      <c r="BZ251" s="1191"/>
      <c r="CA251" s="1191"/>
      <c r="CB251" s="1191"/>
      <c r="CC251" s="1191"/>
      <c r="CD251" s="1191"/>
      <c r="CE251" s="1191"/>
      <c r="CF251" s="1191"/>
      <c r="CG251" s="1191"/>
      <c r="CH251" s="1191"/>
      <c r="CI251" s="1191"/>
      <c r="CJ251" s="1191"/>
      <c r="CK251" s="1191"/>
      <c r="CL251" s="1191"/>
      <c r="CM251" s="1191"/>
      <c r="CN251" s="1191"/>
      <c r="CO251" s="1191"/>
      <c r="CP251" s="1191"/>
      <c r="CQ251" s="1191"/>
      <c r="CR251" s="1191"/>
      <c r="CS251" s="1191"/>
      <c r="CT251" s="1191"/>
      <c r="CU251" s="1191"/>
      <c r="CV251" s="1191"/>
      <c r="CW251" s="1191"/>
      <c r="CX251" s="1191"/>
      <c r="CY251" s="1191"/>
      <c r="CZ251" s="1191"/>
      <c r="DA251" s="1191"/>
      <c r="DB251" s="1191"/>
      <c r="DC251" s="1191"/>
      <c r="DD251" s="1191"/>
    </row>
    <row r="252" spans="1:108" s="1227" customFormat="1" ht="13.5" customHeight="1">
      <c r="A252" s="2328"/>
      <c r="B252" s="2317"/>
      <c r="C252" s="2317"/>
      <c r="D252" s="2323" t="s">
        <v>3232</v>
      </c>
      <c r="E252" s="2317"/>
      <c r="F252" s="2324"/>
      <c r="G252" s="2314"/>
      <c r="H252" s="2314"/>
      <c r="I252" s="2321"/>
      <c r="J252" s="1226"/>
      <c r="K252" s="1224"/>
      <c r="L252" s="1224"/>
      <c r="M252" s="1224"/>
      <c r="N252" s="1224"/>
      <c r="O252" s="1224"/>
      <c r="P252" s="1224"/>
      <c r="Q252" s="1226"/>
      <c r="R252" s="1226"/>
      <c r="S252" s="1226"/>
      <c r="T252" s="1226"/>
      <c r="U252" s="1226"/>
      <c r="V252" s="1226"/>
      <c r="W252" s="1226"/>
      <c r="X252" s="1226"/>
      <c r="Y252" s="1226"/>
      <c r="Z252" s="1226"/>
      <c r="AA252" s="1226"/>
      <c r="AB252" s="1226"/>
      <c r="AC252" s="1226"/>
      <c r="AD252" s="1226"/>
      <c r="AE252" s="1226"/>
      <c r="AF252" s="1226"/>
      <c r="AG252" s="1226"/>
      <c r="AH252" s="1226"/>
      <c r="AI252" s="1226"/>
      <c r="AJ252" s="1226"/>
      <c r="AK252" s="1226"/>
      <c r="AL252" s="1226"/>
      <c r="AM252" s="1226"/>
      <c r="AN252" s="1226"/>
      <c r="AO252" s="1226"/>
      <c r="AP252" s="1226"/>
      <c r="AQ252" s="1226"/>
      <c r="AR252" s="1226"/>
      <c r="AS252" s="1226"/>
      <c r="AT252" s="1226"/>
      <c r="AU252" s="1226"/>
      <c r="AV252" s="1226"/>
      <c r="AW252" s="1226"/>
      <c r="AX252" s="1226"/>
      <c r="AY252" s="1226"/>
      <c r="AZ252" s="1226"/>
      <c r="BA252" s="1226"/>
      <c r="BB252" s="1226"/>
      <c r="BC252" s="1226"/>
      <c r="BD252" s="1226"/>
      <c r="BE252" s="1226"/>
      <c r="BF252" s="1226"/>
      <c r="BG252" s="1226"/>
      <c r="BH252" s="1226"/>
      <c r="BI252" s="1226"/>
      <c r="BJ252" s="1226"/>
      <c r="BK252" s="1226"/>
      <c r="BL252" s="1226"/>
      <c r="BM252" s="1226"/>
      <c r="BN252" s="1226"/>
      <c r="BO252" s="1226"/>
      <c r="BP252" s="1226"/>
      <c r="BQ252" s="1226"/>
      <c r="BR252" s="1226"/>
      <c r="BS252" s="1226"/>
      <c r="BT252" s="1226"/>
      <c r="BU252" s="1226"/>
      <c r="BV252" s="1226"/>
      <c r="BW252" s="1226"/>
      <c r="BX252" s="1226"/>
      <c r="BY252" s="1226"/>
      <c r="BZ252" s="1226"/>
      <c r="CA252" s="1226"/>
      <c r="CB252" s="1226"/>
      <c r="CC252" s="1226"/>
      <c r="CD252" s="1226"/>
      <c r="CE252" s="1226"/>
      <c r="CF252" s="1226"/>
      <c r="CG252" s="1226"/>
      <c r="CH252" s="1226"/>
      <c r="CI252" s="1226"/>
      <c r="CJ252" s="1226"/>
      <c r="CK252" s="1226"/>
      <c r="CL252" s="1226"/>
      <c r="CM252" s="1226"/>
      <c r="CN252" s="1226"/>
      <c r="CO252" s="1226"/>
      <c r="CP252" s="1226"/>
      <c r="CQ252" s="1226"/>
      <c r="CR252" s="1226"/>
      <c r="CS252" s="1226"/>
    </row>
    <row r="253" spans="1:108" s="1227" customFormat="1" ht="13.5" customHeight="1">
      <c r="A253" s="2328"/>
      <c r="B253" s="2317"/>
      <c r="C253" s="2317"/>
      <c r="D253" s="2323" t="s">
        <v>1235</v>
      </c>
      <c r="E253" s="2317"/>
      <c r="F253" s="2324">
        <v>1</v>
      </c>
      <c r="G253" s="2314"/>
      <c r="H253" s="2314"/>
      <c r="I253" s="2321"/>
      <c r="J253" s="2331"/>
      <c r="K253" s="1224"/>
      <c r="L253" s="1224"/>
      <c r="M253" s="1224"/>
      <c r="N253" s="1224"/>
      <c r="O253" s="1224"/>
      <c r="P253" s="1224"/>
      <c r="Q253" s="1226"/>
      <c r="R253" s="1226"/>
      <c r="S253" s="1226"/>
      <c r="T253" s="1226"/>
      <c r="U253" s="1226"/>
      <c r="V253" s="1226"/>
      <c r="W253" s="1226"/>
      <c r="X253" s="1226"/>
      <c r="Y253" s="1226"/>
      <c r="Z253" s="1226"/>
      <c r="AA253" s="1226"/>
      <c r="AB253" s="1226"/>
      <c r="AC253" s="1226"/>
      <c r="AD253" s="1226"/>
      <c r="AE253" s="1226"/>
      <c r="AF253" s="1226"/>
      <c r="AG253" s="1226"/>
      <c r="AH253" s="1226"/>
      <c r="AI253" s="1226"/>
      <c r="AJ253" s="1226"/>
      <c r="AK253" s="1226"/>
      <c r="AL253" s="1226"/>
      <c r="AM253" s="1226"/>
      <c r="AN253" s="1226"/>
      <c r="AO253" s="1226"/>
      <c r="AP253" s="1226"/>
      <c r="AQ253" s="1226"/>
      <c r="AR253" s="1226"/>
      <c r="AS253" s="1226"/>
      <c r="AT253" s="1226"/>
      <c r="AU253" s="1226"/>
      <c r="AV253" s="1226"/>
      <c r="AW253" s="1226"/>
      <c r="AX253" s="1226"/>
      <c r="AY253" s="1226"/>
      <c r="AZ253" s="1226"/>
      <c r="BA253" s="1226"/>
      <c r="BB253" s="1226"/>
      <c r="BC253" s="1226"/>
      <c r="BD253" s="1226"/>
      <c r="BE253" s="1226"/>
      <c r="BF253" s="1226"/>
      <c r="BG253" s="1226"/>
      <c r="BH253" s="1226"/>
      <c r="BI253" s="1226"/>
      <c r="BJ253" s="1226"/>
      <c r="BK253" s="1226"/>
      <c r="BL253" s="1226"/>
      <c r="BM253" s="1226"/>
      <c r="BN253" s="1226"/>
      <c r="BO253" s="1226"/>
      <c r="BP253" s="1226"/>
      <c r="BQ253" s="1226"/>
      <c r="BR253" s="1226"/>
      <c r="BS253" s="1226"/>
      <c r="BT253" s="1226"/>
      <c r="BU253" s="1226"/>
      <c r="BV253" s="1226"/>
      <c r="BW253" s="1226"/>
      <c r="BX253" s="1226"/>
      <c r="BY253" s="1226"/>
      <c r="BZ253" s="1226"/>
      <c r="CA253" s="1226"/>
      <c r="CB253" s="1226"/>
      <c r="CC253" s="1226"/>
      <c r="CD253" s="1226"/>
      <c r="CE253" s="1226"/>
      <c r="CF253" s="1226"/>
      <c r="CG253" s="1226"/>
      <c r="CH253" s="1226"/>
      <c r="CI253" s="1226"/>
      <c r="CJ253" s="1226"/>
      <c r="CK253" s="1226"/>
      <c r="CL253" s="1226"/>
      <c r="CM253" s="1226"/>
      <c r="CN253" s="1226"/>
      <c r="CO253" s="1226"/>
      <c r="CP253" s="1226"/>
      <c r="CQ253" s="1226"/>
      <c r="CR253" s="1226"/>
      <c r="CS253" s="1226"/>
    </row>
    <row r="254" spans="1:108" s="1227" customFormat="1" ht="27" customHeight="1">
      <c r="A254" s="2328"/>
      <c r="B254" s="2317"/>
      <c r="C254" s="2317"/>
      <c r="D254" s="2323" t="s">
        <v>1941</v>
      </c>
      <c r="E254" s="2317"/>
      <c r="F254" s="2324"/>
      <c r="G254" s="2314"/>
      <c r="H254" s="2314"/>
      <c r="I254" s="2321"/>
      <c r="J254" s="1226"/>
      <c r="K254" s="1224"/>
      <c r="L254" s="1224"/>
      <c r="M254" s="1224"/>
      <c r="N254" s="1224"/>
      <c r="O254" s="1224"/>
      <c r="P254" s="1224"/>
      <c r="Q254" s="1226"/>
      <c r="R254" s="1226"/>
      <c r="S254" s="1226"/>
      <c r="T254" s="1226"/>
      <c r="U254" s="1226"/>
      <c r="V254" s="1226"/>
      <c r="W254" s="1226"/>
      <c r="X254" s="1226"/>
      <c r="Y254" s="1226"/>
      <c r="Z254" s="1226"/>
      <c r="AA254" s="1226"/>
      <c r="AB254" s="1226"/>
      <c r="AC254" s="1226"/>
      <c r="AD254" s="1226"/>
      <c r="AE254" s="1226"/>
      <c r="AF254" s="1226"/>
      <c r="AG254" s="1226"/>
      <c r="AH254" s="1226"/>
      <c r="AI254" s="1226"/>
      <c r="AJ254" s="1226"/>
      <c r="AK254" s="1226"/>
      <c r="AL254" s="1226"/>
      <c r="AM254" s="1226"/>
      <c r="AN254" s="1226"/>
      <c r="AO254" s="1226"/>
      <c r="AP254" s="1226"/>
      <c r="AQ254" s="1226"/>
      <c r="AR254" s="1226"/>
      <c r="AS254" s="1226"/>
      <c r="AT254" s="1226"/>
      <c r="AU254" s="1226"/>
      <c r="AV254" s="1226"/>
      <c r="AW254" s="1226"/>
      <c r="AX254" s="1226"/>
      <c r="AY254" s="1226"/>
      <c r="AZ254" s="1226"/>
      <c r="BA254" s="1226"/>
      <c r="BB254" s="1226"/>
      <c r="BC254" s="1226"/>
      <c r="BD254" s="1226"/>
      <c r="BE254" s="1226"/>
      <c r="BF254" s="1226"/>
      <c r="BG254" s="1226"/>
      <c r="BH254" s="1226"/>
      <c r="BI254" s="1226"/>
      <c r="BJ254" s="1226"/>
      <c r="BK254" s="1226"/>
      <c r="BL254" s="1226"/>
      <c r="BM254" s="1226"/>
      <c r="BN254" s="1226"/>
      <c r="BO254" s="1226"/>
      <c r="BP254" s="1226"/>
      <c r="BQ254" s="1226"/>
      <c r="BR254" s="1226"/>
      <c r="BS254" s="1226"/>
      <c r="BT254" s="1226"/>
      <c r="BU254" s="1226"/>
      <c r="BV254" s="1226"/>
      <c r="BW254" s="1226"/>
      <c r="BX254" s="1226"/>
      <c r="BY254" s="1226"/>
      <c r="BZ254" s="1226"/>
      <c r="CA254" s="1226"/>
      <c r="CB254" s="1226"/>
      <c r="CC254" s="1226"/>
      <c r="CD254" s="1226"/>
      <c r="CE254" s="1226"/>
      <c r="CF254" s="1226"/>
      <c r="CG254" s="1226"/>
      <c r="CH254" s="1226"/>
      <c r="CI254" s="1226"/>
      <c r="CJ254" s="1226"/>
      <c r="CK254" s="1226"/>
      <c r="CL254" s="1226"/>
      <c r="CM254" s="1226"/>
      <c r="CN254" s="1226"/>
      <c r="CO254" s="1226"/>
      <c r="CP254" s="1226"/>
      <c r="CQ254" s="1226"/>
      <c r="CR254" s="1226"/>
      <c r="CS254" s="1226"/>
    </row>
    <row r="255" spans="1:108" s="1225" customFormat="1" ht="13.5" customHeight="1">
      <c r="A255" s="2328">
        <v>59</v>
      </c>
      <c r="B255" s="2317">
        <v>741</v>
      </c>
      <c r="C255" s="2317" t="s">
        <v>3233</v>
      </c>
      <c r="D255" s="2317" t="s">
        <v>3234</v>
      </c>
      <c r="E255" s="2317" t="s">
        <v>49</v>
      </c>
      <c r="F255" s="2318">
        <f>F257</f>
        <v>1</v>
      </c>
      <c r="G255" s="2314"/>
      <c r="H255" s="2320">
        <f t="shared" ref="H255" si="55">ROUND(F255*G255,2)</f>
        <v>0</v>
      </c>
      <c r="I255" s="2329" t="s">
        <v>111</v>
      </c>
      <c r="J255" s="1486"/>
      <c r="K255" s="2330"/>
      <c r="L255" s="1191"/>
      <c r="M255" s="1191"/>
      <c r="N255" s="1191"/>
      <c r="O255" s="1191"/>
      <c r="P255" s="1191"/>
      <c r="Q255" s="1191"/>
      <c r="R255" s="1191"/>
      <c r="S255" s="1191"/>
      <c r="T255" s="1191"/>
      <c r="U255" s="1191"/>
      <c r="V255" s="1191"/>
      <c r="W255" s="1191"/>
      <c r="X255" s="1191"/>
      <c r="Y255" s="1191"/>
      <c r="Z255" s="1191"/>
      <c r="AA255" s="1191"/>
      <c r="AB255" s="1191"/>
      <c r="AC255" s="1191"/>
      <c r="AD255" s="1191"/>
      <c r="AE255" s="1191"/>
      <c r="AF255" s="1191"/>
      <c r="AG255" s="1191"/>
      <c r="AH255" s="1191"/>
      <c r="AI255" s="1191"/>
      <c r="AJ255" s="1191"/>
      <c r="AK255" s="1191"/>
      <c r="AL255" s="1191"/>
      <c r="AM255" s="1191"/>
      <c r="AN255" s="1191"/>
      <c r="AO255" s="1191"/>
      <c r="AP255" s="1191"/>
      <c r="AQ255" s="1191"/>
      <c r="AR255" s="1191"/>
      <c r="AS255" s="1191"/>
      <c r="AT255" s="1191"/>
      <c r="AU255" s="1191"/>
      <c r="AV255" s="1191"/>
      <c r="AW255" s="1191"/>
      <c r="AX255" s="1191"/>
      <c r="AY255" s="1191"/>
      <c r="AZ255" s="1191"/>
      <c r="BA255" s="1191"/>
      <c r="BB255" s="1191"/>
      <c r="BC255" s="1191"/>
      <c r="BD255" s="1191"/>
      <c r="BE255" s="1191"/>
      <c r="BF255" s="1191"/>
      <c r="BG255" s="1191"/>
      <c r="BH255" s="1191"/>
      <c r="BI255" s="1191"/>
      <c r="BJ255" s="1191"/>
      <c r="BK255" s="1191"/>
      <c r="BL255" s="1191"/>
      <c r="BM255" s="1191"/>
      <c r="BN255" s="1191"/>
      <c r="BO255" s="1191"/>
      <c r="BP255" s="1191"/>
      <c r="BQ255" s="1191"/>
      <c r="BR255" s="1191"/>
      <c r="BS255" s="1191"/>
      <c r="BT255" s="1191"/>
      <c r="BU255" s="1191"/>
      <c r="BV255" s="1191"/>
      <c r="BW255" s="1191"/>
      <c r="BX255" s="1191"/>
      <c r="BY255" s="1191"/>
      <c r="BZ255" s="1191"/>
      <c r="CA255" s="1191"/>
      <c r="CB255" s="1191"/>
      <c r="CC255" s="1191"/>
      <c r="CD255" s="1191"/>
      <c r="CE255" s="1191"/>
      <c r="CF255" s="1191"/>
      <c r="CG255" s="1191"/>
      <c r="CH255" s="1191"/>
      <c r="CI255" s="1191"/>
      <c r="CJ255" s="1191"/>
      <c r="CK255" s="1191"/>
      <c r="CL255" s="1191"/>
      <c r="CM255" s="1191"/>
      <c r="CN255" s="1191"/>
      <c r="CO255" s="1191"/>
      <c r="CP255" s="1191"/>
      <c r="CQ255" s="1191"/>
      <c r="CR255" s="1191"/>
      <c r="CS255" s="1191"/>
      <c r="CT255" s="1191"/>
      <c r="CU255" s="1191"/>
      <c r="CV255" s="1191"/>
      <c r="CW255" s="1191"/>
      <c r="CX255" s="1191"/>
      <c r="CY255" s="1191"/>
      <c r="CZ255" s="1191"/>
      <c r="DA255" s="1191"/>
      <c r="DB255" s="1191"/>
      <c r="DC255" s="1191"/>
      <c r="DD255" s="1191"/>
    </row>
    <row r="256" spans="1:108" s="1227" customFormat="1" ht="13.5" customHeight="1">
      <c r="A256" s="2328"/>
      <c r="B256" s="2317"/>
      <c r="C256" s="2317"/>
      <c r="D256" s="2323" t="s">
        <v>3235</v>
      </c>
      <c r="E256" s="2317"/>
      <c r="F256" s="2324"/>
      <c r="G256" s="2314"/>
      <c r="H256" s="2314"/>
      <c r="I256" s="2321"/>
      <c r="J256" s="1226"/>
      <c r="K256" s="1224"/>
      <c r="L256" s="1224"/>
      <c r="M256" s="1224"/>
      <c r="N256" s="1224"/>
      <c r="O256" s="1224"/>
      <c r="P256" s="1224"/>
      <c r="Q256" s="1226"/>
      <c r="R256" s="1226"/>
      <c r="S256" s="1226"/>
      <c r="T256" s="1226"/>
      <c r="U256" s="1226"/>
      <c r="V256" s="1226"/>
      <c r="W256" s="1226"/>
      <c r="X256" s="1226"/>
      <c r="Y256" s="1226"/>
      <c r="Z256" s="1226"/>
      <c r="AA256" s="1226"/>
      <c r="AB256" s="1226"/>
      <c r="AC256" s="1226"/>
      <c r="AD256" s="1226"/>
      <c r="AE256" s="1226"/>
      <c r="AF256" s="1226"/>
      <c r="AG256" s="1226"/>
      <c r="AH256" s="1226"/>
      <c r="AI256" s="1226"/>
      <c r="AJ256" s="1226"/>
      <c r="AK256" s="1226"/>
      <c r="AL256" s="1226"/>
      <c r="AM256" s="1226"/>
      <c r="AN256" s="1226"/>
      <c r="AO256" s="1226"/>
      <c r="AP256" s="1226"/>
      <c r="AQ256" s="1226"/>
      <c r="AR256" s="1226"/>
      <c r="AS256" s="1226"/>
      <c r="AT256" s="1226"/>
      <c r="AU256" s="1226"/>
      <c r="AV256" s="1226"/>
      <c r="AW256" s="1226"/>
      <c r="AX256" s="1226"/>
      <c r="AY256" s="1226"/>
      <c r="AZ256" s="1226"/>
      <c r="BA256" s="1226"/>
      <c r="BB256" s="1226"/>
      <c r="BC256" s="1226"/>
      <c r="BD256" s="1226"/>
      <c r="BE256" s="1226"/>
      <c r="BF256" s="1226"/>
      <c r="BG256" s="1226"/>
      <c r="BH256" s="1226"/>
      <c r="BI256" s="1226"/>
      <c r="BJ256" s="1226"/>
      <c r="BK256" s="1226"/>
      <c r="BL256" s="1226"/>
      <c r="BM256" s="1226"/>
      <c r="BN256" s="1226"/>
      <c r="BO256" s="1226"/>
      <c r="BP256" s="1226"/>
      <c r="BQ256" s="1226"/>
      <c r="BR256" s="1226"/>
      <c r="BS256" s="1226"/>
      <c r="BT256" s="1226"/>
      <c r="BU256" s="1226"/>
      <c r="BV256" s="1226"/>
      <c r="BW256" s="1226"/>
      <c r="BX256" s="1226"/>
      <c r="BY256" s="1226"/>
      <c r="BZ256" s="1226"/>
      <c r="CA256" s="1226"/>
      <c r="CB256" s="1226"/>
      <c r="CC256" s="1226"/>
      <c r="CD256" s="1226"/>
      <c r="CE256" s="1226"/>
      <c r="CF256" s="1226"/>
      <c r="CG256" s="1226"/>
      <c r="CH256" s="1226"/>
      <c r="CI256" s="1226"/>
      <c r="CJ256" s="1226"/>
      <c r="CK256" s="1226"/>
      <c r="CL256" s="1226"/>
      <c r="CM256" s="1226"/>
      <c r="CN256" s="1226"/>
      <c r="CO256" s="1226"/>
      <c r="CP256" s="1226"/>
      <c r="CQ256" s="1226"/>
      <c r="CR256" s="1226"/>
      <c r="CS256" s="1226"/>
    </row>
    <row r="257" spans="1:97" s="1227" customFormat="1" ht="13.5" customHeight="1">
      <c r="A257" s="2328"/>
      <c r="B257" s="2317"/>
      <c r="C257" s="2317"/>
      <c r="D257" s="2323" t="s">
        <v>1235</v>
      </c>
      <c r="E257" s="2317"/>
      <c r="F257" s="2324">
        <v>1</v>
      </c>
      <c r="G257" s="2314"/>
      <c r="H257" s="2314"/>
      <c r="I257" s="2321"/>
      <c r="J257" s="2331"/>
      <c r="K257" s="1224"/>
      <c r="L257" s="1224"/>
      <c r="M257" s="1224"/>
      <c r="N257" s="1224"/>
      <c r="O257" s="1224"/>
      <c r="P257" s="1224"/>
      <c r="Q257" s="1226"/>
      <c r="R257" s="1226"/>
      <c r="S257" s="1226"/>
      <c r="T257" s="1226"/>
      <c r="U257" s="1226"/>
      <c r="V257" s="1226"/>
      <c r="W257" s="1226"/>
      <c r="X257" s="1226"/>
      <c r="Y257" s="1226"/>
      <c r="Z257" s="1226"/>
      <c r="AA257" s="1226"/>
      <c r="AB257" s="1226"/>
      <c r="AC257" s="1226"/>
      <c r="AD257" s="1226"/>
      <c r="AE257" s="1226"/>
      <c r="AF257" s="1226"/>
      <c r="AG257" s="1226"/>
      <c r="AH257" s="1226"/>
      <c r="AI257" s="1226"/>
      <c r="AJ257" s="1226"/>
      <c r="AK257" s="1226"/>
      <c r="AL257" s="1226"/>
      <c r="AM257" s="1226"/>
      <c r="AN257" s="1226"/>
      <c r="AO257" s="1226"/>
      <c r="AP257" s="1226"/>
      <c r="AQ257" s="1226"/>
      <c r="AR257" s="1226"/>
      <c r="AS257" s="1226"/>
      <c r="AT257" s="1226"/>
      <c r="AU257" s="1226"/>
      <c r="AV257" s="1226"/>
      <c r="AW257" s="1226"/>
      <c r="AX257" s="1226"/>
      <c r="AY257" s="1226"/>
      <c r="AZ257" s="1226"/>
      <c r="BA257" s="1226"/>
      <c r="BB257" s="1226"/>
      <c r="BC257" s="1226"/>
      <c r="BD257" s="1226"/>
      <c r="BE257" s="1226"/>
      <c r="BF257" s="1226"/>
      <c r="BG257" s="1226"/>
      <c r="BH257" s="1226"/>
      <c r="BI257" s="1226"/>
      <c r="BJ257" s="1226"/>
      <c r="BK257" s="1226"/>
      <c r="BL257" s="1226"/>
      <c r="BM257" s="1226"/>
      <c r="BN257" s="1226"/>
      <c r="BO257" s="1226"/>
      <c r="BP257" s="1226"/>
      <c r="BQ257" s="1226"/>
      <c r="BR257" s="1226"/>
      <c r="BS257" s="1226"/>
      <c r="BT257" s="1226"/>
      <c r="BU257" s="1226"/>
      <c r="BV257" s="1226"/>
      <c r="BW257" s="1226"/>
      <c r="BX257" s="1226"/>
      <c r="BY257" s="1226"/>
      <c r="BZ257" s="1226"/>
      <c r="CA257" s="1226"/>
      <c r="CB257" s="1226"/>
      <c r="CC257" s="1226"/>
      <c r="CD257" s="1226"/>
      <c r="CE257" s="1226"/>
      <c r="CF257" s="1226"/>
      <c r="CG257" s="1226"/>
      <c r="CH257" s="1226"/>
      <c r="CI257" s="1226"/>
      <c r="CJ257" s="1226"/>
      <c r="CK257" s="1226"/>
      <c r="CL257" s="1226"/>
      <c r="CM257" s="1226"/>
      <c r="CN257" s="1226"/>
      <c r="CO257" s="1226"/>
      <c r="CP257" s="1226"/>
      <c r="CQ257" s="1226"/>
      <c r="CR257" s="1226"/>
      <c r="CS257" s="1226"/>
    </row>
    <row r="258" spans="1:97" s="1227" customFormat="1" ht="27" customHeight="1">
      <c r="A258" s="2328"/>
      <c r="B258" s="2317"/>
      <c r="C258" s="2317"/>
      <c r="D258" s="2323" t="s">
        <v>1941</v>
      </c>
      <c r="E258" s="2317"/>
      <c r="F258" s="2324"/>
      <c r="G258" s="2314"/>
      <c r="H258" s="2314"/>
      <c r="I258" s="2321"/>
      <c r="J258" s="1226"/>
      <c r="K258" s="1224"/>
      <c r="L258" s="1224"/>
      <c r="M258" s="1224"/>
      <c r="N258" s="1224"/>
      <c r="O258" s="1224"/>
      <c r="P258" s="1224"/>
      <c r="Q258" s="1226"/>
      <c r="R258" s="1226"/>
      <c r="S258" s="1226"/>
      <c r="T258" s="1226"/>
      <c r="U258" s="1226"/>
      <c r="V258" s="1226"/>
      <c r="W258" s="1226"/>
      <c r="X258" s="1226"/>
      <c r="Y258" s="1226"/>
      <c r="Z258" s="1226"/>
      <c r="AA258" s="1226"/>
      <c r="AB258" s="1226"/>
      <c r="AC258" s="1226"/>
      <c r="AD258" s="1226"/>
      <c r="AE258" s="1226"/>
      <c r="AF258" s="1226"/>
      <c r="AG258" s="1226"/>
      <c r="AH258" s="1226"/>
      <c r="AI258" s="1226"/>
      <c r="AJ258" s="1226"/>
      <c r="AK258" s="1226"/>
      <c r="AL258" s="1226"/>
      <c r="AM258" s="1226"/>
      <c r="AN258" s="1226"/>
      <c r="AO258" s="1226"/>
      <c r="AP258" s="1226"/>
      <c r="AQ258" s="1226"/>
      <c r="AR258" s="1226"/>
      <c r="AS258" s="1226"/>
      <c r="AT258" s="1226"/>
      <c r="AU258" s="1226"/>
      <c r="AV258" s="1226"/>
      <c r="AW258" s="1226"/>
      <c r="AX258" s="1226"/>
      <c r="AY258" s="1226"/>
      <c r="AZ258" s="1226"/>
      <c r="BA258" s="1226"/>
      <c r="BB258" s="1226"/>
      <c r="BC258" s="1226"/>
      <c r="BD258" s="1226"/>
      <c r="BE258" s="1226"/>
      <c r="BF258" s="1226"/>
      <c r="BG258" s="1226"/>
      <c r="BH258" s="1226"/>
      <c r="BI258" s="1226"/>
      <c r="BJ258" s="1226"/>
      <c r="BK258" s="1226"/>
      <c r="BL258" s="1226"/>
      <c r="BM258" s="1226"/>
      <c r="BN258" s="1226"/>
      <c r="BO258" s="1226"/>
      <c r="BP258" s="1226"/>
      <c r="BQ258" s="1226"/>
      <c r="BR258" s="1226"/>
      <c r="BS258" s="1226"/>
      <c r="BT258" s="1226"/>
      <c r="BU258" s="1226"/>
      <c r="BV258" s="1226"/>
      <c r="BW258" s="1226"/>
      <c r="BX258" s="1226"/>
      <c r="BY258" s="1226"/>
      <c r="BZ258" s="1226"/>
      <c r="CA258" s="1226"/>
      <c r="CB258" s="1226"/>
      <c r="CC258" s="1226"/>
      <c r="CD258" s="1226"/>
      <c r="CE258" s="1226"/>
      <c r="CF258" s="1226"/>
      <c r="CG258" s="1226"/>
      <c r="CH258" s="1226"/>
      <c r="CI258" s="1226"/>
      <c r="CJ258" s="1226"/>
      <c r="CK258" s="1226"/>
      <c r="CL258" s="1226"/>
      <c r="CM258" s="1226"/>
      <c r="CN258" s="1226"/>
      <c r="CO258" s="1226"/>
      <c r="CP258" s="1226"/>
      <c r="CQ258" s="1226"/>
      <c r="CR258" s="1226"/>
      <c r="CS258" s="1226"/>
    </row>
    <row r="259" spans="1:97" s="1225" customFormat="1" ht="13.5" customHeight="1">
      <c r="A259" s="2316" t="s">
        <v>3236</v>
      </c>
      <c r="B259" s="2317">
        <v>741</v>
      </c>
      <c r="C259" s="2317">
        <v>998741312</v>
      </c>
      <c r="D259" s="2317" t="s">
        <v>3149</v>
      </c>
      <c r="E259" s="2317" t="s">
        <v>10</v>
      </c>
      <c r="F259" s="2318">
        <v>0.78</v>
      </c>
      <c r="G259" s="2319"/>
      <c r="H259" s="2320">
        <f t="shared" ref="H259:H260" si="56">ROUND(F259*G259,2)</f>
        <v>0</v>
      </c>
      <c r="I259" s="2321" t="s">
        <v>1927</v>
      </c>
      <c r="J259" s="1222"/>
      <c r="K259" s="1223"/>
      <c r="L259" s="1224"/>
      <c r="M259" s="1224"/>
      <c r="N259" s="1224"/>
      <c r="O259" s="1224"/>
      <c r="P259" s="1224"/>
      <c r="Q259" s="1191"/>
      <c r="R259" s="1191"/>
      <c r="S259" s="1191"/>
      <c r="T259" s="1191"/>
      <c r="U259" s="1191"/>
      <c r="V259" s="1191"/>
      <c r="W259" s="1191"/>
      <c r="X259" s="1191"/>
      <c r="Y259" s="1191"/>
      <c r="Z259" s="1191"/>
      <c r="AA259" s="1191"/>
      <c r="AB259" s="1191"/>
      <c r="AC259" s="1191"/>
      <c r="AD259" s="1191"/>
      <c r="AE259" s="1191"/>
      <c r="AF259" s="1191"/>
      <c r="AG259" s="1191"/>
      <c r="AH259" s="1191"/>
      <c r="AI259" s="1191"/>
      <c r="AJ259" s="1191"/>
      <c r="AK259" s="1191"/>
      <c r="AL259" s="1191"/>
      <c r="AM259" s="1191"/>
      <c r="AN259" s="1191"/>
      <c r="AO259" s="1191"/>
      <c r="AP259" s="1191"/>
      <c r="AQ259" s="1191"/>
      <c r="AR259" s="1191"/>
      <c r="AS259" s="1191"/>
      <c r="AT259" s="1191"/>
      <c r="AU259" s="1191"/>
      <c r="AV259" s="1191"/>
      <c r="AW259" s="1191"/>
      <c r="AX259" s="1191"/>
      <c r="AY259" s="1191"/>
      <c r="AZ259" s="1191"/>
      <c r="BA259" s="1191"/>
      <c r="BB259" s="1191"/>
      <c r="BC259" s="1191"/>
      <c r="BD259" s="1191"/>
      <c r="BE259" s="1191"/>
      <c r="BF259" s="1191"/>
      <c r="BG259" s="1191"/>
      <c r="BH259" s="1191"/>
      <c r="BI259" s="1191"/>
      <c r="BJ259" s="1191"/>
      <c r="BK259" s="1191"/>
      <c r="BL259" s="1191"/>
      <c r="BM259" s="1191"/>
      <c r="BN259" s="1191"/>
      <c r="BO259" s="1191"/>
      <c r="BP259" s="1191"/>
      <c r="BQ259" s="1191"/>
      <c r="BR259" s="1191"/>
      <c r="BS259" s="1191"/>
      <c r="BT259" s="1191"/>
      <c r="BU259" s="1191"/>
      <c r="BV259" s="1191"/>
      <c r="BW259" s="1191"/>
      <c r="BX259" s="1191"/>
      <c r="BY259" s="1191"/>
      <c r="BZ259" s="1191"/>
      <c r="CA259" s="1191"/>
      <c r="CB259" s="1191"/>
      <c r="CC259" s="1191"/>
      <c r="CD259" s="1191"/>
      <c r="CE259" s="1191"/>
      <c r="CF259" s="1191"/>
      <c r="CG259" s="1191"/>
      <c r="CH259" s="1191"/>
      <c r="CI259" s="1191"/>
      <c r="CJ259" s="1191"/>
      <c r="CK259" s="1191"/>
      <c r="CL259" s="1191"/>
      <c r="CM259" s="1191"/>
      <c r="CN259" s="1191"/>
      <c r="CO259" s="1191"/>
      <c r="CP259" s="1191"/>
      <c r="CQ259" s="1191"/>
      <c r="CR259" s="1191"/>
      <c r="CS259" s="1191"/>
    </row>
    <row r="260" spans="1:97" s="1227" customFormat="1" ht="13.5" customHeight="1">
      <c r="A260" s="2316" t="s">
        <v>3237</v>
      </c>
      <c r="B260" s="2317" t="s">
        <v>369</v>
      </c>
      <c r="C260" s="2317" t="s">
        <v>1928</v>
      </c>
      <c r="D260" s="2317" t="s">
        <v>1929</v>
      </c>
      <c r="E260" s="2317" t="s">
        <v>69</v>
      </c>
      <c r="F260" s="2322">
        <f>ROUND(SUM(F261),3)</f>
        <v>20</v>
      </c>
      <c r="G260" s="2319"/>
      <c r="H260" s="2320">
        <f t="shared" si="56"/>
        <v>0</v>
      </c>
      <c r="I260" s="2321" t="s">
        <v>1927</v>
      </c>
      <c r="J260" s="1197"/>
      <c r="K260" s="1224"/>
      <c r="L260" s="1224"/>
      <c r="M260" s="1224"/>
      <c r="N260" s="1224"/>
      <c r="O260" s="1224"/>
      <c r="P260" s="1224"/>
      <c r="Q260" s="1226"/>
      <c r="R260" s="1226"/>
      <c r="S260" s="1226"/>
      <c r="T260" s="1226"/>
      <c r="U260" s="1226"/>
      <c r="V260" s="1226"/>
      <c r="W260" s="1226"/>
      <c r="X260" s="1226"/>
      <c r="Y260" s="1226"/>
      <c r="Z260" s="1226"/>
      <c r="AA260" s="1226"/>
      <c r="AB260" s="1226"/>
      <c r="AC260" s="1226"/>
      <c r="AD260" s="1226"/>
      <c r="AE260" s="1226"/>
      <c r="AF260" s="1226"/>
      <c r="AG260" s="1226"/>
      <c r="AH260" s="1226"/>
      <c r="AI260" s="1226"/>
      <c r="AJ260" s="1226"/>
      <c r="AK260" s="1226"/>
      <c r="AL260" s="1226"/>
      <c r="AM260" s="1226"/>
      <c r="AN260" s="1226"/>
      <c r="AO260" s="1226"/>
      <c r="AP260" s="1226"/>
      <c r="AQ260" s="1226"/>
      <c r="AR260" s="1226"/>
      <c r="AS260" s="1226"/>
      <c r="AT260" s="1226"/>
      <c r="AU260" s="1226"/>
      <c r="AV260" s="1226"/>
      <c r="AW260" s="1226"/>
      <c r="AX260" s="1226"/>
      <c r="AY260" s="1226"/>
      <c r="AZ260" s="1226"/>
      <c r="BA260" s="1226"/>
      <c r="BB260" s="1226"/>
      <c r="BC260" s="1226"/>
      <c r="BD260" s="1226"/>
      <c r="BE260" s="1226"/>
      <c r="BF260" s="1226"/>
      <c r="BG260" s="1226"/>
      <c r="BH260" s="1226"/>
      <c r="BI260" s="1226"/>
      <c r="BJ260" s="1226"/>
      <c r="BK260" s="1226"/>
      <c r="BL260" s="1226"/>
      <c r="BM260" s="1226"/>
      <c r="BN260" s="1226"/>
      <c r="BO260" s="1226"/>
      <c r="BP260" s="1226"/>
      <c r="BQ260" s="1226"/>
      <c r="BR260" s="1226"/>
      <c r="BS260" s="1226"/>
      <c r="BT260" s="1226"/>
      <c r="BU260" s="1226"/>
      <c r="BV260" s="1226"/>
      <c r="BW260" s="1226"/>
      <c r="BX260" s="1226"/>
      <c r="BY260" s="1226"/>
      <c r="BZ260" s="1226"/>
      <c r="CA260" s="1226"/>
      <c r="CB260" s="1226"/>
      <c r="CC260" s="1226"/>
      <c r="CD260" s="1226"/>
      <c r="CE260" s="1226"/>
      <c r="CF260" s="1226"/>
      <c r="CG260" s="1226"/>
      <c r="CH260" s="1226"/>
      <c r="CI260" s="1226"/>
      <c r="CJ260" s="1226"/>
      <c r="CK260" s="1226"/>
      <c r="CL260" s="1226"/>
      <c r="CM260" s="1226"/>
      <c r="CN260" s="1226"/>
      <c r="CO260" s="1226"/>
      <c r="CP260" s="1226"/>
      <c r="CQ260" s="1226"/>
      <c r="CR260" s="1226"/>
      <c r="CS260" s="1226"/>
    </row>
    <row r="261" spans="1:97" s="1227" customFormat="1" ht="13.5" customHeight="1">
      <c r="A261" s="2316"/>
      <c r="B261" s="2317"/>
      <c r="C261" s="2317"/>
      <c r="D261" s="2323" t="s">
        <v>1930</v>
      </c>
      <c r="E261" s="2317"/>
      <c r="F261" s="2324">
        <v>20</v>
      </c>
      <c r="G261" s="2319"/>
      <c r="H261" s="2319"/>
      <c r="I261" s="2321"/>
      <c r="J261" s="1226"/>
      <c r="K261" s="1224"/>
      <c r="L261" s="1224"/>
      <c r="M261" s="1224"/>
      <c r="N261" s="1224"/>
      <c r="O261" s="1224"/>
      <c r="P261" s="1224"/>
      <c r="Q261" s="1226"/>
      <c r="R261" s="1226"/>
      <c r="S261" s="1226"/>
      <c r="T261" s="1226"/>
      <c r="U261" s="1226"/>
      <c r="V261" s="1226"/>
      <c r="W261" s="1226"/>
      <c r="X261" s="1226"/>
      <c r="Y261" s="1226"/>
      <c r="Z261" s="1226"/>
      <c r="AA261" s="1226"/>
      <c r="AB261" s="1226"/>
      <c r="AC261" s="1226"/>
      <c r="AD261" s="1226"/>
      <c r="AE261" s="1226"/>
      <c r="AF261" s="1226"/>
      <c r="AG261" s="1226"/>
      <c r="AH261" s="1226"/>
      <c r="AI261" s="1226"/>
      <c r="AJ261" s="1226"/>
      <c r="AK261" s="1226"/>
      <c r="AL261" s="1226"/>
      <c r="AM261" s="1226"/>
      <c r="AN261" s="1226"/>
      <c r="AO261" s="1226"/>
      <c r="AP261" s="1226"/>
      <c r="AQ261" s="1226"/>
      <c r="AR261" s="1226"/>
      <c r="AS261" s="1226"/>
      <c r="AT261" s="1226"/>
      <c r="AU261" s="1226"/>
      <c r="AV261" s="1226"/>
      <c r="AW261" s="1226"/>
      <c r="AX261" s="1226"/>
      <c r="AY261" s="1226"/>
      <c r="AZ261" s="1226"/>
      <c r="BA261" s="1226"/>
      <c r="BB261" s="1226"/>
      <c r="BC261" s="1226"/>
      <c r="BD261" s="1226"/>
      <c r="BE261" s="1226"/>
      <c r="BF261" s="1226"/>
      <c r="BG261" s="1226"/>
      <c r="BH261" s="1226"/>
      <c r="BI261" s="1226"/>
      <c r="BJ261" s="1226"/>
      <c r="BK261" s="1226"/>
      <c r="BL261" s="1226"/>
      <c r="BM261" s="1226"/>
      <c r="BN261" s="1226"/>
      <c r="BO261" s="1226"/>
      <c r="BP261" s="1226"/>
      <c r="BQ261" s="1226"/>
      <c r="BR261" s="1226"/>
      <c r="BS261" s="1226"/>
      <c r="BT261" s="1226"/>
      <c r="BU261" s="1226"/>
      <c r="BV261" s="1226"/>
      <c r="BW261" s="1226"/>
      <c r="BX261" s="1226"/>
      <c r="BY261" s="1226"/>
      <c r="BZ261" s="1226"/>
      <c r="CA261" s="1226"/>
      <c r="CB261" s="1226"/>
      <c r="CC261" s="1226"/>
      <c r="CD261" s="1226"/>
      <c r="CE261" s="1226"/>
      <c r="CF261" s="1226"/>
      <c r="CG261" s="1226"/>
      <c r="CH261" s="1226"/>
      <c r="CI261" s="1226"/>
      <c r="CJ261" s="1226"/>
      <c r="CK261" s="1226"/>
      <c r="CL261" s="1226"/>
      <c r="CM261" s="1226"/>
      <c r="CN261" s="1226"/>
      <c r="CO261" s="1226"/>
      <c r="CP261" s="1226"/>
      <c r="CQ261" s="1226"/>
      <c r="CR261" s="1226"/>
      <c r="CS261" s="1226"/>
    </row>
    <row r="262" spans="1:97" s="1227" customFormat="1" ht="27" customHeight="1">
      <c r="A262" s="2316"/>
      <c r="B262" s="2317"/>
      <c r="C262" s="2317"/>
      <c r="D262" s="2323" t="s">
        <v>1931</v>
      </c>
      <c r="E262" s="2317"/>
      <c r="F262" s="2318"/>
      <c r="G262" s="2319"/>
      <c r="H262" s="2319"/>
      <c r="I262" s="2321"/>
      <c r="J262" s="1226"/>
      <c r="K262" s="1224"/>
      <c r="L262" s="1224"/>
      <c r="M262" s="1224"/>
      <c r="N262" s="1230"/>
      <c r="O262" s="1224"/>
      <c r="P262" s="1224"/>
      <c r="Q262" s="1226"/>
      <c r="R262" s="1226"/>
      <c r="S262" s="1226"/>
      <c r="T262" s="1226"/>
      <c r="U262" s="1226"/>
      <c r="V262" s="1226"/>
      <c r="W262" s="1226"/>
      <c r="X262" s="1226"/>
      <c r="Y262" s="1226"/>
      <c r="Z262" s="1226"/>
      <c r="AA262" s="1226"/>
      <c r="AB262" s="1226"/>
      <c r="AC262" s="1226"/>
      <c r="AD262" s="1226"/>
      <c r="AE262" s="1226"/>
      <c r="AF262" s="1226"/>
      <c r="AG262" s="1226"/>
      <c r="AH262" s="1226"/>
      <c r="AI262" s="1226"/>
      <c r="AJ262" s="1226"/>
      <c r="AK262" s="1226"/>
      <c r="AL262" s="1226"/>
      <c r="AM262" s="1226"/>
      <c r="AN262" s="1226"/>
      <c r="AO262" s="1226"/>
      <c r="AP262" s="1226"/>
      <c r="AQ262" s="1226"/>
      <c r="AR262" s="1226"/>
      <c r="AS262" s="1226"/>
      <c r="AT262" s="1226"/>
      <c r="AU262" s="1226"/>
      <c r="AV262" s="1226"/>
      <c r="AW262" s="1226"/>
      <c r="AX262" s="1226"/>
      <c r="AY262" s="1226"/>
      <c r="AZ262" s="1226"/>
      <c r="BA262" s="1226"/>
      <c r="BB262" s="1226"/>
      <c r="BC262" s="1226"/>
      <c r="BD262" s="1226"/>
      <c r="BE262" s="1226"/>
      <c r="BF262" s="1226"/>
      <c r="BG262" s="1226"/>
      <c r="BH262" s="1226"/>
      <c r="BI262" s="1226"/>
      <c r="BJ262" s="1226"/>
      <c r="BK262" s="1226"/>
      <c r="BL262" s="1226"/>
      <c r="BM262" s="1226"/>
      <c r="BN262" s="1226"/>
      <c r="BO262" s="1226"/>
      <c r="BP262" s="1226"/>
      <c r="BQ262" s="1226"/>
      <c r="BR262" s="1226"/>
      <c r="BS262" s="1226"/>
      <c r="BT262" s="1226"/>
      <c r="BU262" s="1226"/>
      <c r="BV262" s="1226"/>
      <c r="BW262" s="1226"/>
      <c r="BX262" s="1226"/>
      <c r="BY262" s="1226"/>
      <c r="BZ262" s="1226"/>
      <c r="CA262" s="1226"/>
      <c r="CB262" s="1226"/>
      <c r="CC262" s="1226"/>
      <c r="CD262" s="1226"/>
      <c r="CE262" s="1226"/>
      <c r="CF262" s="1226"/>
      <c r="CG262" s="1226"/>
      <c r="CH262" s="1226"/>
      <c r="CI262" s="1226"/>
      <c r="CJ262" s="1226"/>
      <c r="CK262" s="1226"/>
      <c r="CL262" s="1226"/>
      <c r="CM262" s="1226"/>
      <c r="CN262" s="1226"/>
      <c r="CO262" s="1226"/>
      <c r="CP262" s="1226"/>
      <c r="CQ262" s="1226"/>
      <c r="CR262" s="1226"/>
      <c r="CS262" s="1226"/>
    </row>
    <row r="263" spans="1:97" s="1234" customFormat="1" ht="13.5" customHeight="1">
      <c r="A263" s="2325"/>
      <c r="B263" s="2326"/>
      <c r="C263" s="2326">
        <v>741</v>
      </c>
      <c r="D263" s="2326" t="s">
        <v>1942</v>
      </c>
      <c r="E263" s="2326"/>
      <c r="F263" s="2327"/>
      <c r="G263" s="2319"/>
      <c r="H263" s="2066">
        <f>SUM(H264:H284)</f>
        <v>0</v>
      </c>
      <c r="I263" s="2315"/>
      <c r="K263" s="1238"/>
      <c r="L263" s="1238"/>
      <c r="M263" s="1238"/>
      <c r="N263" s="1238"/>
      <c r="O263" s="1238"/>
      <c r="P263" s="1238"/>
    </row>
    <row r="264" spans="1:97" s="1234" customFormat="1" ht="13.5" customHeight="1">
      <c r="A264" s="2328">
        <v>62</v>
      </c>
      <c r="B264" s="2317">
        <v>741</v>
      </c>
      <c r="C264" s="2332" t="s">
        <v>3238</v>
      </c>
      <c r="D264" s="2317" t="s">
        <v>3239</v>
      </c>
      <c r="E264" s="2317" t="s">
        <v>142</v>
      </c>
      <c r="F264" s="2333">
        <f>SUM(F266)</f>
        <v>176</v>
      </c>
      <c r="G264" s="2314"/>
      <c r="H264" s="2320">
        <f t="shared" ref="H264" si="57">ROUND(F264*G264,2)</f>
        <v>0</v>
      </c>
      <c r="I264" s="2329" t="s">
        <v>111</v>
      </c>
      <c r="J264" s="2291"/>
      <c r="K264" s="1896"/>
      <c r="L264" s="2292"/>
      <c r="M264" s="2292"/>
      <c r="N264" s="2292"/>
      <c r="O264" s="2292"/>
      <c r="P264" s="2292"/>
      <c r="Q264" s="2292"/>
      <c r="R264" s="2292"/>
      <c r="S264" s="2292"/>
      <c r="T264" s="2292"/>
      <c r="U264" s="2292"/>
      <c r="V264" s="2292"/>
      <c r="W264" s="2293"/>
    </row>
    <row r="265" spans="1:97" s="1234" customFormat="1" ht="13.5" customHeight="1">
      <c r="A265" s="2328"/>
      <c r="B265" s="2317"/>
      <c r="C265" s="2317"/>
      <c r="D265" s="2323" t="s">
        <v>3240</v>
      </c>
      <c r="E265" s="2317"/>
      <c r="F265" s="2333"/>
      <c r="G265" s="2314"/>
      <c r="H265" s="2314"/>
      <c r="I265" s="2329"/>
      <c r="J265" s="2334"/>
      <c r="K265" s="1240"/>
      <c r="L265" s="2295"/>
      <c r="M265" s="2295"/>
      <c r="N265" s="2295"/>
      <c r="O265" s="2335"/>
      <c r="P265" s="2295"/>
      <c r="Q265" s="2295"/>
      <c r="R265" s="2295"/>
      <c r="S265" s="2295"/>
      <c r="T265" s="2295"/>
      <c r="U265" s="2295"/>
      <c r="V265" s="2295"/>
      <c r="W265" s="2336"/>
    </row>
    <row r="266" spans="1:97" s="1234" customFormat="1" ht="13.5" customHeight="1">
      <c r="A266" s="2328"/>
      <c r="B266" s="2317"/>
      <c r="C266" s="2317"/>
      <c r="D266" s="2323" t="s">
        <v>3241</v>
      </c>
      <c r="E266" s="2317"/>
      <c r="F266" s="2324">
        <f>(160)*1.1</f>
        <v>176</v>
      </c>
      <c r="G266" s="2314"/>
      <c r="H266" s="2314"/>
      <c r="I266" s="2329"/>
      <c r="J266" s="1528"/>
      <c r="K266" s="1238"/>
      <c r="L266" s="1238"/>
      <c r="M266" s="1238"/>
      <c r="N266" s="1238"/>
      <c r="O266" s="1238"/>
      <c r="P266" s="1238"/>
    </row>
    <row r="267" spans="1:97" s="1227" customFormat="1" ht="13.5" customHeight="1">
      <c r="A267" s="2328"/>
      <c r="B267" s="2317"/>
      <c r="C267" s="2317"/>
      <c r="D267" s="2323" t="s">
        <v>3242</v>
      </c>
      <c r="E267" s="2317"/>
      <c r="F267" s="2337"/>
      <c r="G267" s="2314"/>
      <c r="H267" s="2314"/>
      <c r="I267" s="2321"/>
      <c r="J267" s="1226"/>
      <c r="K267" s="1224"/>
      <c r="L267" s="1224"/>
      <c r="M267" s="1224"/>
      <c r="N267" s="1224"/>
      <c r="O267" s="1224"/>
      <c r="P267" s="1224"/>
      <c r="Q267" s="1226"/>
      <c r="R267" s="1234"/>
      <c r="S267" s="1226"/>
      <c r="T267" s="1226"/>
      <c r="U267" s="1226"/>
      <c r="V267" s="1226"/>
      <c r="W267" s="1226"/>
      <c r="X267" s="1226"/>
      <c r="Y267" s="1226"/>
      <c r="Z267" s="1226"/>
      <c r="AA267" s="1226"/>
      <c r="AB267" s="1226"/>
      <c r="AC267" s="1226"/>
      <c r="AD267" s="1226"/>
      <c r="AE267" s="1226"/>
      <c r="AF267" s="1226"/>
      <c r="AG267" s="1226"/>
      <c r="AH267" s="1226"/>
      <c r="AI267" s="1226"/>
      <c r="AJ267" s="1226"/>
      <c r="AK267" s="1226"/>
      <c r="AL267" s="1226"/>
      <c r="AM267" s="1226"/>
      <c r="AN267" s="1226"/>
      <c r="AO267" s="1226"/>
      <c r="AP267" s="1226"/>
      <c r="AQ267" s="1226"/>
      <c r="AR267" s="1226"/>
      <c r="AS267" s="1226"/>
      <c r="AT267" s="1226"/>
      <c r="AU267" s="1226"/>
      <c r="AV267" s="1226"/>
      <c r="AW267" s="1226"/>
      <c r="AX267" s="1226"/>
      <c r="AY267" s="1226"/>
      <c r="AZ267" s="1226"/>
      <c r="BA267" s="1226"/>
      <c r="BB267" s="1226"/>
      <c r="BC267" s="1226"/>
      <c r="BD267" s="1226"/>
      <c r="BE267" s="1226"/>
      <c r="BF267" s="1226"/>
      <c r="BG267" s="1226"/>
      <c r="BH267" s="1226"/>
      <c r="BI267" s="1226"/>
      <c r="BJ267" s="1226"/>
      <c r="BK267" s="1226"/>
      <c r="BL267" s="1226"/>
      <c r="BM267" s="1226"/>
      <c r="BN267" s="1226"/>
      <c r="BO267" s="1226"/>
      <c r="BP267" s="1226"/>
      <c r="BQ267" s="1226"/>
      <c r="BR267" s="1226"/>
      <c r="BS267" s="1226"/>
      <c r="BT267" s="1226"/>
      <c r="BU267" s="1226"/>
      <c r="BV267" s="1226"/>
      <c r="BW267" s="1226"/>
      <c r="BX267" s="1226"/>
      <c r="BY267" s="1226"/>
      <c r="BZ267" s="1226"/>
      <c r="CA267" s="1226"/>
      <c r="CB267" s="1226"/>
      <c r="CC267" s="1226"/>
      <c r="CD267" s="1226"/>
      <c r="CE267" s="1226"/>
      <c r="CF267" s="1226"/>
      <c r="CG267" s="1226"/>
      <c r="CH267" s="1226"/>
      <c r="CI267" s="1226"/>
      <c r="CJ267" s="1226"/>
      <c r="CK267" s="1226"/>
      <c r="CL267" s="1226"/>
      <c r="CM267" s="1226"/>
      <c r="CN267" s="1226"/>
      <c r="CO267" s="1226"/>
      <c r="CP267" s="1226"/>
      <c r="CQ267" s="1226"/>
      <c r="CR267" s="1226"/>
      <c r="CS267" s="1226"/>
    </row>
    <row r="268" spans="1:97" s="1234" customFormat="1" ht="13.5" customHeight="1">
      <c r="A268" s="2328">
        <v>63</v>
      </c>
      <c r="B268" s="2317">
        <v>741</v>
      </c>
      <c r="C268" s="2332" t="s">
        <v>3243</v>
      </c>
      <c r="D268" s="2317" t="s">
        <v>3244</v>
      </c>
      <c r="E268" s="2317" t="s">
        <v>142</v>
      </c>
      <c r="F268" s="2322">
        <f>ROUND(SUM(F270),3)</f>
        <v>34.65</v>
      </c>
      <c r="G268" s="2314"/>
      <c r="H268" s="2320">
        <f t="shared" ref="H268" si="58">ROUND(F268*G268,2)</f>
        <v>0</v>
      </c>
      <c r="I268" s="2329" t="s">
        <v>111</v>
      </c>
      <c r="J268" s="2291"/>
      <c r="K268" s="1896"/>
      <c r="L268" s="2292"/>
      <c r="M268" s="2292"/>
      <c r="N268" s="2292"/>
      <c r="O268" s="2292"/>
      <c r="P268" s="2292"/>
      <c r="Q268" s="2292"/>
      <c r="R268" s="2292"/>
      <c r="S268" s="2292"/>
      <c r="T268" s="2292"/>
      <c r="U268" s="2292"/>
      <c r="V268" s="2292"/>
      <c r="W268" s="2293"/>
    </row>
    <row r="269" spans="1:97" s="1234" customFormat="1" ht="13.5" customHeight="1">
      <c r="A269" s="2328"/>
      <c r="B269" s="2317"/>
      <c r="C269" s="2332"/>
      <c r="D269" s="2323" t="s">
        <v>3245</v>
      </c>
      <c r="E269" s="2317"/>
      <c r="F269" s="2322"/>
      <c r="G269" s="2314"/>
      <c r="H269" s="2314"/>
      <c r="I269" s="2329"/>
      <c r="J269" s="2334"/>
      <c r="K269" s="1240"/>
      <c r="L269" s="2295"/>
      <c r="M269" s="2295"/>
      <c r="O269" s="2335"/>
      <c r="P269" s="2295"/>
      <c r="Q269" s="2295"/>
      <c r="R269" s="2295"/>
      <c r="S269" s="2295"/>
      <c r="T269" s="2295"/>
      <c r="U269" s="2295"/>
      <c r="V269" s="2295"/>
      <c r="W269" s="2336"/>
    </row>
    <row r="270" spans="1:97" s="1234" customFormat="1" ht="13.5" customHeight="1">
      <c r="A270" s="2328"/>
      <c r="B270" s="2317"/>
      <c r="C270" s="2338"/>
      <c r="D270" s="2323" t="s">
        <v>3246</v>
      </c>
      <c r="E270" s="2317"/>
      <c r="F270" s="2324">
        <f>(31.5)*1.1</f>
        <v>34.650000000000006</v>
      </c>
      <c r="G270" s="2314"/>
      <c r="H270" s="2314"/>
      <c r="I270" s="2329"/>
      <c r="J270" s="2334"/>
      <c r="K270" s="1240"/>
      <c r="L270" s="2295"/>
      <c r="M270" s="2295"/>
      <c r="O270" s="2335"/>
      <c r="P270" s="2295"/>
      <c r="Q270" s="2295"/>
      <c r="R270" s="2295"/>
      <c r="S270" s="2295"/>
      <c r="T270" s="2295"/>
      <c r="U270" s="2295"/>
      <c r="V270" s="2295"/>
      <c r="W270" s="2336"/>
    </row>
    <row r="271" spans="1:97" s="1234" customFormat="1" ht="13.5" customHeight="1">
      <c r="A271" s="2328"/>
      <c r="B271" s="2317"/>
      <c r="C271" s="2317"/>
      <c r="D271" s="2323" t="s">
        <v>3242</v>
      </c>
      <c r="E271" s="2317"/>
      <c r="F271" s="2333"/>
      <c r="G271" s="2314"/>
      <c r="H271" s="2314"/>
      <c r="I271" s="2329"/>
      <c r="J271" s="1528"/>
      <c r="K271" s="1238"/>
      <c r="L271" s="1238"/>
      <c r="M271" s="1238"/>
      <c r="N271" s="1238"/>
      <c r="O271" s="1238"/>
      <c r="P271" s="1238"/>
    </row>
    <row r="272" spans="1:97" s="1234" customFormat="1" ht="13.5" customHeight="1">
      <c r="A272" s="2328">
        <v>64</v>
      </c>
      <c r="B272" s="2317">
        <v>741</v>
      </c>
      <c r="C272" s="2332" t="s">
        <v>3247</v>
      </c>
      <c r="D272" s="2339" t="s">
        <v>3248</v>
      </c>
      <c r="E272" s="2317" t="s">
        <v>210</v>
      </c>
      <c r="F272" s="2322">
        <f>ROUND(SUM(F273),3)</f>
        <v>85</v>
      </c>
      <c r="G272" s="2314"/>
      <c r="H272" s="2320">
        <f t="shared" ref="H272" si="59">ROUND(F272*G272,2)</f>
        <v>0</v>
      </c>
      <c r="I272" s="2329" t="s">
        <v>111</v>
      </c>
      <c r="W272" s="2336"/>
    </row>
    <row r="273" spans="1:97" s="1234" customFormat="1" ht="13.5" customHeight="1">
      <c r="A273" s="2328"/>
      <c r="B273" s="2317"/>
      <c r="C273" s="2332"/>
      <c r="D273" s="2323" t="s">
        <v>3249</v>
      </c>
      <c r="E273" s="2317"/>
      <c r="F273" s="2324">
        <v>85</v>
      </c>
      <c r="G273" s="2314"/>
      <c r="H273" s="2314"/>
      <c r="I273" s="2329"/>
      <c r="J273" s="2291"/>
      <c r="K273" s="1896"/>
      <c r="L273" s="2292"/>
      <c r="M273" s="2292"/>
      <c r="N273" s="2292"/>
      <c r="O273" s="2292"/>
      <c r="P273" s="2292"/>
      <c r="Q273" s="2292"/>
      <c r="R273" s="2292"/>
      <c r="S273" s="2292"/>
      <c r="T273" s="2292"/>
      <c r="U273" s="2292"/>
      <c r="V273" s="2292"/>
      <c r="W273" s="2293"/>
    </row>
    <row r="274" spans="1:97" s="1227" customFormat="1" ht="13.5" customHeight="1">
      <c r="A274" s="2328"/>
      <c r="B274" s="2317"/>
      <c r="C274" s="2317"/>
      <c r="D274" s="2323" t="s">
        <v>3242</v>
      </c>
      <c r="E274" s="2317"/>
      <c r="F274" s="2337"/>
      <c r="G274" s="2314"/>
      <c r="H274" s="2314"/>
      <c r="I274" s="2329"/>
      <c r="J274" s="2334"/>
      <c r="K274" s="1240"/>
      <c r="L274" s="2295"/>
      <c r="M274" s="2295"/>
      <c r="N274" s="2295"/>
      <c r="O274" s="2335"/>
      <c r="P274" s="2295"/>
      <c r="Q274" s="2295"/>
      <c r="R274" s="2335"/>
      <c r="S274" s="2295"/>
      <c r="T274" s="2295"/>
      <c r="U274" s="2295"/>
      <c r="V274" s="2295"/>
      <c r="W274" s="2336"/>
      <c r="X274" s="1234"/>
      <c r="Y274" s="1234"/>
      <c r="Z274" s="1234"/>
      <c r="AA274" s="1234"/>
      <c r="AB274" s="1234"/>
      <c r="AC274" s="1226"/>
      <c r="AD274" s="1226"/>
      <c r="AE274" s="1226"/>
      <c r="AF274" s="1226"/>
      <c r="AG274" s="1226"/>
      <c r="AH274" s="1226"/>
      <c r="AI274" s="1226"/>
      <c r="AJ274" s="1226"/>
      <c r="AK274" s="1226"/>
      <c r="AL274" s="1226"/>
      <c r="AM274" s="1226"/>
      <c r="AN274" s="1226"/>
      <c r="AO274" s="1226"/>
      <c r="AP274" s="1226"/>
      <c r="AQ274" s="1226"/>
      <c r="AR274" s="1226"/>
      <c r="AS274" s="1226"/>
      <c r="AT274" s="1226"/>
      <c r="AU274" s="1226"/>
      <c r="AV274" s="1226"/>
      <c r="AW274" s="1226"/>
      <c r="AX274" s="1226"/>
      <c r="AY274" s="1226"/>
      <c r="AZ274" s="1226"/>
      <c r="BA274" s="1226"/>
      <c r="BB274" s="1226"/>
      <c r="BC274" s="1226"/>
      <c r="BD274" s="1226"/>
      <c r="BE274" s="1226"/>
      <c r="BF274" s="1226"/>
      <c r="BG274" s="1226"/>
      <c r="BH274" s="1226"/>
      <c r="BI274" s="1226"/>
      <c r="BJ274" s="1226"/>
      <c r="BK274" s="1226"/>
      <c r="BL274" s="1226"/>
      <c r="BM274" s="1226"/>
      <c r="BN274" s="1226"/>
      <c r="BO274" s="1226"/>
      <c r="BP274" s="1226"/>
      <c r="BQ274" s="1226"/>
      <c r="BR274" s="1226"/>
      <c r="BS274" s="1226"/>
      <c r="BT274" s="1226"/>
      <c r="BU274" s="1226"/>
      <c r="BV274" s="1226"/>
      <c r="BW274" s="1226"/>
      <c r="BX274" s="1226"/>
      <c r="BY274" s="1226"/>
      <c r="BZ274" s="1226"/>
      <c r="CA274" s="1226"/>
      <c r="CB274" s="1226"/>
      <c r="CC274" s="1226"/>
      <c r="CD274" s="1226"/>
      <c r="CE274" s="1226"/>
      <c r="CF274" s="1226"/>
      <c r="CG274" s="1226"/>
      <c r="CH274" s="1226"/>
      <c r="CI274" s="1226"/>
      <c r="CJ274" s="1226"/>
      <c r="CK274" s="1226"/>
      <c r="CL274" s="1226"/>
      <c r="CM274" s="1226"/>
      <c r="CN274" s="1226"/>
      <c r="CO274" s="1226"/>
      <c r="CP274" s="1226"/>
      <c r="CQ274" s="1226"/>
      <c r="CR274" s="1226"/>
      <c r="CS274" s="1226"/>
    </row>
    <row r="275" spans="1:97" s="2342" customFormat="1" ht="13.5" customHeight="1">
      <c r="A275" s="2340">
        <v>65</v>
      </c>
      <c r="B275" s="2332">
        <v>741</v>
      </c>
      <c r="C275" s="2332" t="s">
        <v>3250</v>
      </c>
      <c r="D275" s="2341" t="s">
        <v>3251</v>
      </c>
      <c r="E275" s="2332" t="s">
        <v>49</v>
      </c>
      <c r="F275" s="2322">
        <f>ROUND(SUM(F276),3)</f>
        <v>1</v>
      </c>
      <c r="G275" s="2319"/>
      <c r="H275" s="2320">
        <f t="shared" ref="H275" si="60">ROUND(F275*G275,2)</f>
        <v>0</v>
      </c>
      <c r="I275" s="2329" t="s">
        <v>111</v>
      </c>
      <c r="J275" s="2121"/>
      <c r="L275" s="2343"/>
      <c r="S275" s="1441"/>
    </row>
    <row r="276" spans="1:97" s="2342" customFormat="1" ht="13.5" customHeight="1">
      <c r="A276" s="2344"/>
      <c r="B276" s="2345"/>
      <c r="C276" s="2345"/>
      <c r="D276" s="2346" t="s">
        <v>3252</v>
      </c>
      <c r="E276" s="2345"/>
      <c r="F276" s="2347">
        <v>1</v>
      </c>
      <c r="G276" s="2348"/>
      <c r="H276" s="2349"/>
      <c r="I276" s="2350"/>
      <c r="J276" s="2299"/>
      <c r="R276" s="2351"/>
      <c r="S276" s="1441"/>
    </row>
    <row r="277" spans="1:97" s="2342" customFormat="1" ht="27" customHeight="1">
      <c r="A277" s="2344"/>
      <c r="B277" s="2345"/>
      <c r="C277" s="2345"/>
      <c r="D277" s="2346" t="s">
        <v>3253</v>
      </c>
      <c r="E277" s="2345"/>
      <c r="F277" s="2347"/>
      <c r="G277" s="2348"/>
      <c r="H277" s="2349"/>
      <c r="I277" s="2350"/>
      <c r="J277" s="2299"/>
      <c r="R277" s="2351"/>
      <c r="S277" s="1441"/>
    </row>
    <row r="278" spans="1:97" s="2342" customFormat="1" ht="13.5" customHeight="1">
      <c r="A278" s="1442">
        <v>66</v>
      </c>
      <c r="B278" s="1437">
        <v>741</v>
      </c>
      <c r="C278" s="1437" t="s">
        <v>3254</v>
      </c>
      <c r="D278" s="1436" t="s">
        <v>3255</v>
      </c>
      <c r="E278" s="1437" t="s">
        <v>49</v>
      </c>
      <c r="F278" s="1431">
        <f>ROUND(SUM(F279),3)</f>
        <v>1</v>
      </c>
      <c r="G278" s="1220"/>
      <c r="H278" s="2320">
        <f t="shared" ref="H278" si="61">ROUND(F278*G278,2)</f>
        <v>0</v>
      </c>
      <c r="I278" s="1445" t="s">
        <v>111</v>
      </c>
      <c r="J278" s="2121"/>
      <c r="S278" s="1441"/>
    </row>
    <row r="279" spans="1:97" s="2295" customFormat="1" ht="13.5" customHeight="1">
      <c r="A279" s="2352"/>
      <c r="B279" s="2353"/>
      <c r="C279" s="2353"/>
      <c r="D279" s="2354" t="s">
        <v>3256</v>
      </c>
      <c r="E279" s="2353"/>
      <c r="F279" s="2355">
        <v>1</v>
      </c>
      <c r="G279" s="2356"/>
      <c r="H279" s="2356"/>
      <c r="I279" s="2356"/>
      <c r="J279" s="2121"/>
      <c r="K279" s="2294"/>
      <c r="L279" s="2294"/>
    </row>
    <row r="280" spans="1:97" s="2342" customFormat="1" ht="13.5" customHeight="1">
      <c r="A280" s="1442">
        <v>67</v>
      </c>
      <c r="B280" s="1437">
        <v>741</v>
      </c>
      <c r="C280" s="1437" t="s">
        <v>1943</v>
      </c>
      <c r="D280" s="1436" t="s">
        <v>1944</v>
      </c>
      <c r="E280" s="1437" t="s">
        <v>49</v>
      </c>
      <c r="F280" s="2357">
        <v>1</v>
      </c>
      <c r="G280" s="1220"/>
      <c r="H280" s="2320">
        <f t="shared" ref="H280:H282" si="62">ROUND(F280*G280,2)</f>
        <v>0</v>
      </c>
      <c r="I280" s="1445" t="s">
        <v>111</v>
      </c>
      <c r="J280" s="2121"/>
      <c r="S280" s="1441"/>
    </row>
    <row r="281" spans="1:97" s="1225" customFormat="1" ht="13.5" customHeight="1">
      <c r="A281" s="1208" t="s">
        <v>3257</v>
      </c>
      <c r="B281" s="1218">
        <v>741</v>
      </c>
      <c r="C281" s="1218">
        <v>998741312</v>
      </c>
      <c r="D281" s="1218" t="s">
        <v>3149</v>
      </c>
      <c r="E281" s="1218" t="s">
        <v>10</v>
      </c>
      <c r="F281" s="1219">
        <v>0.78</v>
      </c>
      <c r="G281" s="1220"/>
      <c r="H281" s="2320">
        <f t="shared" si="62"/>
        <v>0</v>
      </c>
      <c r="I281" s="1221" t="s">
        <v>1927</v>
      </c>
      <c r="J281" s="1222"/>
      <c r="K281" s="1223"/>
      <c r="L281" s="1224"/>
      <c r="M281" s="1224"/>
      <c r="N281" s="1224"/>
      <c r="O281" s="1224"/>
      <c r="P281" s="1224"/>
      <c r="Q281" s="1191"/>
      <c r="R281" s="1191"/>
      <c r="S281" s="1191"/>
      <c r="T281" s="1191"/>
      <c r="U281" s="1191"/>
      <c r="V281" s="1191"/>
      <c r="W281" s="1191"/>
      <c r="X281" s="1191"/>
      <c r="Y281" s="1191"/>
      <c r="Z281" s="1191"/>
      <c r="AA281" s="1191"/>
      <c r="AB281" s="1191"/>
      <c r="AC281" s="1191"/>
      <c r="AD281" s="1191"/>
      <c r="AE281" s="1191"/>
      <c r="AF281" s="1191"/>
      <c r="AG281" s="1191"/>
      <c r="AH281" s="1191"/>
      <c r="AI281" s="1191"/>
      <c r="AJ281" s="1191"/>
      <c r="AK281" s="1191"/>
      <c r="AL281" s="1191"/>
      <c r="AM281" s="1191"/>
      <c r="AN281" s="1191"/>
      <c r="AO281" s="1191"/>
      <c r="AP281" s="1191"/>
      <c r="AQ281" s="1191"/>
      <c r="AR281" s="1191"/>
      <c r="AS281" s="1191"/>
      <c r="AT281" s="1191"/>
      <c r="AU281" s="1191"/>
      <c r="AV281" s="1191"/>
      <c r="AW281" s="1191"/>
      <c r="AX281" s="1191"/>
      <c r="AY281" s="1191"/>
      <c r="AZ281" s="1191"/>
      <c r="BA281" s="1191"/>
      <c r="BB281" s="1191"/>
      <c r="BC281" s="1191"/>
      <c r="BD281" s="1191"/>
      <c r="BE281" s="1191"/>
      <c r="BF281" s="1191"/>
      <c r="BG281" s="1191"/>
      <c r="BH281" s="1191"/>
      <c r="BI281" s="1191"/>
      <c r="BJ281" s="1191"/>
      <c r="BK281" s="1191"/>
      <c r="BL281" s="1191"/>
      <c r="BM281" s="1191"/>
      <c r="BN281" s="1191"/>
      <c r="BO281" s="1191"/>
      <c r="BP281" s="1191"/>
      <c r="BQ281" s="1191"/>
      <c r="BR281" s="1191"/>
      <c r="BS281" s="1191"/>
      <c r="BT281" s="1191"/>
      <c r="BU281" s="1191"/>
      <c r="BV281" s="1191"/>
      <c r="BW281" s="1191"/>
      <c r="BX281" s="1191"/>
      <c r="BY281" s="1191"/>
      <c r="BZ281" s="1191"/>
      <c r="CA281" s="1191"/>
      <c r="CB281" s="1191"/>
      <c r="CC281" s="1191"/>
      <c r="CD281" s="1191"/>
      <c r="CE281" s="1191"/>
      <c r="CF281" s="1191"/>
      <c r="CG281" s="1191"/>
      <c r="CH281" s="1191"/>
      <c r="CI281" s="1191"/>
      <c r="CJ281" s="1191"/>
      <c r="CK281" s="1191"/>
      <c r="CL281" s="1191"/>
      <c r="CM281" s="1191"/>
      <c r="CN281" s="1191"/>
      <c r="CO281" s="1191"/>
      <c r="CP281" s="1191"/>
      <c r="CQ281" s="1191"/>
      <c r="CR281" s="1191"/>
      <c r="CS281" s="1191"/>
    </row>
    <row r="282" spans="1:97" s="1227" customFormat="1" ht="13.5" customHeight="1">
      <c r="A282" s="1208" t="s">
        <v>3258</v>
      </c>
      <c r="B282" s="1218" t="s">
        <v>369</v>
      </c>
      <c r="C282" s="1218" t="s">
        <v>1928</v>
      </c>
      <c r="D282" s="1218" t="s">
        <v>1929</v>
      </c>
      <c r="E282" s="1218" t="s">
        <v>69</v>
      </c>
      <c r="F282" s="1431">
        <f>ROUND(SUM(F283),3)</f>
        <v>10</v>
      </c>
      <c r="G282" s="1220"/>
      <c r="H282" s="2320">
        <f t="shared" si="62"/>
        <v>0</v>
      </c>
      <c r="I282" s="1221" t="s">
        <v>1927</v>
      </c>
      <c r="J282" s="1197"/>
      <c r="K282" s="1224"/>
      <c r="L282" s="1224"/>
      <c r="M282" s="1224"/>
      <c r="N282" s="1224"/>
      <c r="O282" s="1224"/>
      <c r="P282" s="1224"/>
      <c r="Q282" s="1226"/>
      <c r="R282" s="1226"/>
      <c r="S282" s="1226"/>
      <c r="T282" s="1226"/>
      <c r="U282" s="1226"/>
      <c r="V282" s="1226"/>
      <c r="W282" s="1226"/>
      <c r="X282" s="1226"/>
      <c r="Y282" s="1226"/>
      <c r="Z282" s="1226"/>
      <c r="AA282" s="1226"/>
      <c r="AB282" s="1226"/>
      <c r="AC282" s="1226"/>
      <c r="AD282" s="1226"/>
      <c r="AE282" s="1226"/>
      <c r="AF282" s="1226"/>
      <c r="AG282" s="1226"/>
      <c r="AH282" s="1226"/>
      <c r="AI282" s="1226"/>
      <c r="AJ282" s="1226"/>
      <c r="AK282" s="1226"/>
      <c r="AL282" s="1226"/>
      <c r="AM282" s="1226"/>
      <c r="AN282" s="1226"/>
      <c r="AO282" s="1226"/>
      <c r="AP282" s="1226"/>
      <c r="AQ282" s="1226"/>
      <c r="AR282" s="1226"/>
      <c r="AS282" s="1226"/>
      <c r="AT282" s="1226"/>
      <c r="AU282" s="1226"/>
      <c r="AV282" s="1226"/>
      <c r="AW282" s="1226"/>
      <c r="AX282" s="1226"/>
      <c r="AY282" s="1226"/>
      <c r="AZ282" s="1226"/>
      <c r="BA282" s="1226"/>
      <c r="BB282" s="1226"/>
      <c r="BC282" s="1226"/>
      <c r="BD282" s="1226"/>
      <c r="BE282" s="1226"/>
      <c r="BF282" s="1226"/>
      <c r="BG282" s="1226"/>
      <c r="BH282" s="1226"/>
      <c r="BI282" s="1226"/>
      <c r="BJ282" s="1226"/>
      <c r="BK282" s="1226"/>
      <c r="BL282" s="1226"/>
      <c r="BM282" s="1226"/>
      <c r="BN282" s="1226"/>
      <c r="BO282" s="1226"/>
      <c r="BP282" s="1226"/>
      <c r="BQ282" s="1226"/>
      <c r="BR282" s="1226"/>
      <c r="BS282" s="1226"/>
      <c r="BT282" s="1226"/>
      <c r="BU282" s="1226"/>
      <c r="BV282" s="1226"/>
      <c r="BW282" s="1226"/>
      <c r="BX282" s="1226"/>
      <c r="BY282" s="1226"/>
      <c r="BZ282" s="1226"/>
      <c r="CA282" s="1226"/>
      <c r="CB282" s="1226"/>
      <c r="CC282" s="1226"/>
      <c r="CD282" s="1226"/>
      <c r="CE282" s="1226"/>
      <c r="CF282" s="1226"/>
      <c r="CG282" s="1226"/>
      <c r="CH282" s="1226"/>
      <c r="CI282" s="1226"/>
      <c r="CJ282" s="1226"/>
      <c r="CK282" s="1226"/>
      <c r="CL282" s="1226"/>
      <c r="CM282" s="1226"/>
      <c r="CN282" s="1226"/>
      <c r="CO282" s="1226"/>
      <c r="CP282" s="1226"/>
      <c r="CQ282" s="1226"/>
      <c r="CR282" s="1226"/>
      <c r="CS282" s="1226"/>
    </row>
    <row r="283" spans="1:97" s="1227" customFormat="1" ht="13.5" customHeight="1">
      <c r="A283" s="1208"/>
      <c r="B283" s="1218"/>
      <c r="C283" s="1218"/>
      <c r="D283" s="1228" t="s">
        <v>1930</v>
      </c>
      <c r="E283" s="1218"/>
      <c r="F283" s="1229">
        <v>10</v>
      </c>
      <c r="G283" s="1220"/>
      <c r="H283" s="1220"/>
      <c r="I283" s="1221"/>
      <c r="J283" s="1226"/>
      <c r="K283" s="1224"/>
      <c r="L283" s="1224"/>
      <c r="M283" s="1224"/>
      <c r="N283" s="1224"/>
      <c r="O283" s="1224"/>
      <c r="P283" s="1224"/>
      <c r="Q283" s="1226"/>
      <c r="R283" s="1226"/>
      <c r="S283" s="1226"/>
      <c r="T283" s="1226"/>
      <c r="U283" s="1226"/>
      <c r="V283" s="1226"/>
      <c r="W283" s="1226"/>
      <c r="X283" s="1226"/>
      <c r="Y283" s="1226"/>
      <c r="Z283" s="1226"/>
      <c r="AA283" s="1226"/>
      <c r="AB283" s="1226"/>
      <c r="AC283" s="1226"/>
      <c r="AD283" s="1226"/>
      <c r="AE283" s="1226"/>
      <c r="AF283" s="1226"/>
      <c r="AG283" s="1226"/>
      <c r="AH283" s="1226"/>
      <c r="AI283" s="1226"/>
      <c r="AJ283" s="1226"/>
      <c r="AK283" s="1226"/>
      <c r="AL283" s="1226"/>
      <c r="AM283" s="1226"/>
      <c r="AN283" s="1226"/>
      <c r="AO283" s="1226"/>
      <c r="AP283" s="1226"/>
      <c r="AQ283" s="1226"/>
      <c r="AR283" s="1226"/>
      <c r="AS283" s="1226"/>
      <c r="AT283" s="1226"/>
      <c r="AU283" s="1226"/>
      <c r="AV283" s="1226"/>
      <c r="AW283" s="1226"/>
      <c r="AX283" s="1226"/>
      <c r="AY283" s="1226"/>
      <c r="AZ283" s="1226"/>
      <c r="BA283" s="1226"/>
      <c r="BB283" s="1226"/>
      <c r="BC283" s="1226"/>
      <c r="BD283" s="1226"/>
      <c r="BE283" s="1226"/>
      <c r="BF283" s="1226"/>
      <c r="BG283" s="1226"/>
      <c r="BH283" s="1226"/>
      <c r="BI283" s="1226"/>
      <c r="BJ283" s="1226"/>
      <c r="BK283" s="1226"/>
      <c r="BL283" s="1226"/>
      <c r="BM283" s="1226"/>
      <c r="BN283" s="1226"/>
      <c r="BO283" s="1226"/>
      <c r="BP283" s="1226"/>
      <c r="BQ283" s="1226"/>
      <c r="BR283" s="1226"/>
      <c r="BS283" s="1226"/>
      <c r="BT283" s="1226"/>
      <c r="BU283" s="1226"/>
      <c r="BV283" s="1226"/>
      <c r="BW283" s="1226"/>
      <c r="BX283" s="1226"/>
      <c r="BY283" s="1226"/>
      <c r="BZ283" s="1226"/>
      <c r="CA283" s="1226"/>
      <c r="CB283" s="1226"/>
      <c r="CC283" s="1226"/>
      <c r="CD283" s="1226"/>
      <c r="CE283" s="1226"/>
      <c r="CF283" s="1226"/>
      <c r="CG283" s="1226"/>
      <c r="CH283" s="1226"/>
      <c r="CI283" s="1226"/>
      <c r="CJ283" s="1226"/>
      <c r="CK283" s="1226"/>
      <c r="CL283" s="1226"/>
      <c r="CM283" s="1226"/>
      <c r="CN283" s="1226"/>
      <c r="CO283" s="1226"/>
      <c r="CP283" s="1226"/>
      <c r="CQ283" s="1226"/>
      <c r="CR283" s="1226"/>
      <c r="CS283" s="1226"/>
    </row>
    <row r="284" spans="1:97" s="1227" customFormat="1" ht="27" customHeight="1">
      <c r="A284" s="1208"/>
      <c r="B284" s="1218"/>
      <c r="C284" s="1218"/>
      <c r="D284" s="1228" t="s">
        <v>1931</v>
      </c>
      <c r="E284" s="1218"/>
      <c r="F284" s="1219"/>
      <c r="G284" s="1220"/>
      <c r="H284" s="1220"/>
      <c r="I284" s="1221"/>
      <c r="J284" s="1226"/>
      <c r="K284" s="1224"/>
      <c r="L284" s="1224"/>
      <c r="M284" s="1224"/>
      <c r="N284" s="1230"/>
      <c r="O284" s="1224"/>
      <c r="P284" s="1224"/>
      <c r="Q284" s="1226"/>
      <c r="R284" s="1226"/>
      <c r="S284" s="1226"/>
      <c r="T284" s="1226"/>
      <c r="U284" s="1226"/>
      <c r="V284" s="1226"/>
      <c r="W284" s="1226"/>
      <c r="X284" s="1226"/>
      <c r="Y284" s="1226"/>
      <c r="Z284" s="1226"/>
      <c r="AA284" s="1226"/>
      <c r="AB284" s="1226"/>
      <c r="AC284" s="1226"/>
      <c r="AD284" s="1226"/>
      <c r="AE284" s="1226"/>
      <c r="AF284" s="1226"/>
      <c r="AG284" s="1226"/>
      <c r="AH284" s="1226"/>
      <c r="AI284" s="1226"/>
      <c r="AJ284" s="1226"/>
      <c r="AK284" s="1226"/>
      <c r="AL284" s="1226"/>
      <c r="AM284" s="1226"/>
      <c r="AN284" s="1226"/>
      <c r="AO284" s="1226"/>
      <c r="AP284" s="1226"/>
      <c r="AQ284" s="1226"/>
      <c r="AR284" s="1226"/>
      <c r="AS284" s="1226"/>
      <c r="AT284" s="1226"/>
      <c r="AU284" s="1226"/>
      <c r="AV284" s="1226"/>
      <c r="AW284" s="1226"/>
      <c r="AX284" s="1226"/>
      <c r="AY284" s="1226"/>
      <c r="AZ284" s="1226"/>
      <c r="BA284" s="1226"/>
      <c r="BB284" s="1226"/>
      <c r="BC284" s="1226"/>
      <c r="BD284" s="1226"/>
      <c r="BE284" s="1226"/>
      <c r="BF284" s="1226"/>
      <c r="BG284" s="1226"/>
      <c r="BH284" s="1226"/>
      <c r="BI284" s="1226"/>
      <c r="BJ284" s="1226"/>
      <c r="BK284" s="1226"/>
      <c r="BL284" s="1226"/>
      <c r="BM284" s="1226"/>
      <c r="BN284" s="1226"/>
      <c r="BO284" s="1226"/>
      <c r="BP284" s="1226"/>
      <c r="BQ284" s="1226"/>
      <c r="BR284" s="1226"/>
      <c r="BS284" s="1226"/>
      <c r="BT284" s="1226"/>
      <c r="BU284" s="1226"/>
      <c r="BV284" s="1226"/>
      <c r="BW284" s="1226"/>
      <c r="BX284" s="1226"/>
      <c r="BY284" s="1226"/>
      <c r="BZ284" s="1226"/>
      <c r="CA284" s="1226"/>
      <c r="CB284" s="1226"/>
      <c r="CC284" s="1226"/>
      <c r="CD284" s="1226"/>
      <c r="CE284" s="1226"/>
      <c r="CF284" s="1226"/>
      <c r="CG284" s="1226"/>
      <c r="CH284" s="1226"/>
      <c r="CI284" s="1226"/>
      <c r="CJ284" s="1226"/>
      <c r="CK284" s="1226"/>
      <c r="CL284" s="1226"/>
      <c r="CM284" s="1226"/>
      <c r="CN284" s="1226"/>
      <c r="CO284" s="1226"/>
      <c r="CP284" s="1226"/>
      <c r="CQ284" s="1226"/>
      <c r="CR284" s="1226"/>
      <c r="CS284" s="1226"/>
    </row>
    <row r="285" spans="1:97" s="1234" customFormat="1" ht="13.5" customHeight="1">
      <c r="A285" s="2358"/>
      <c r="B285" s="1206"/>
      <c r="C285" s="1206">
        <v>741</v>
      </c>
      <c r="D285" s="1206" t="s">
        <v>1945</v>
      </c>
      <c r="E285" s="1206"/>
      <c r="F285" s="1231"/>
      <c r="G285" s="1220"/>
      <c r="H285" s="1204">
        <f>SUM(H286:H319)</f>
        <v>0</v>
      </c>
      <c r="I285" s="1207"/>
      <c r="K285" s="1238"/>
      <c r="L285" s="1238"/>
      <c r="M285" s="1238"/>
      <c r="N285" s="1238"/>
      <c r="O285" s="1238"/>
      <c r="P285" s="1238"/>
    </row>
    <row r="286" spans="1:97" s="2342" customFormat="1" ht="13.5" customHeight="1">
      <c r="A286" s="1442">
        <v>70</v>
      </c>
      <c r="B286" s="1437">
        <v>741</v>
      </c>
      <c r="C286" s="1437" t="s">
        <v>1946</v>
      </c>
      <c r="D286" s="1436" t="s">
        <v>3259</v>
      </c>
      <c r="E286" s="1437" t="s">
        <v>142</v>
      </c>
      <c r="F286" s="2359">
        <f>SUM(F288)</f>
        <v>352</v>
      </c>
      <c r="G286" s="1220"/>
      <c r="H286" s="2320">
        <f t="shared" ref="H286" si="63">ROUND(F286*G286,2)</f>
        <v>0</v>
      </c>
      <c r="I286" s="1445" t="s">
        <v>111</v>
      </c>
      <c r="J286" s="2291"/>
      <c r="K286" s="1896"/>
      <c r="L286" s="2292"/>
      <c r="M286" s="2292"/>
      <c r="N286" s="2292"/>
      <c r="O286" s="2292"/>
      <c r="P286" s="2292"/>
      <c r="Q286" s="2292"/>
      <c r="R286" s="2292"/>
      <c r="S286" s="2292"/>
      <c r="T286" s="2292"/>
      <c r="U286" s="2292"/>
      <c r="V286" s="2292"/>
      <c r="W286" s="2293"/>
    </row>
    <row r="287" spans="1:97" s="1234" customFormat="1" ht="13.5" customHeight="1">
      <c r="A287" s="1430"/>
      <c r="B287" s="1218"/>
      <c r="C287" s="1437"/>
      <c r="D287" s="1228" t="s">
        <v>3260</v>
      </c>
      <c r="E287" s="1218"/>
      <c r="F287" s="2359"/>
      <c r="G287" s="1435"/>
      <c r="H287" s="1435"/>
      <c r="I287" s="1445"/>
      <c r="J287" s="2334"/>
      <c r="K287" s="1240"/>
      <c r="L287" s="2295"/>
      <c r="M287" s="2295"/>
      <c r="N287" s="2295"/>
      <c r="O287" s="2335"/>
      <c r="P287" s="2335"/>
      <c r="Q287" s="2295"/>
      <c r="R287" s="2360"/>
      <c r="S287" s="2295"/>
      <c r="T287" s="2295"/>
      <c r="U287" s="2295"/>
      <c r="V287" s="2295"/>
      <c r="W287" s="2336"/>
      <c r="X287" s="2361"/>
      <c r="Y287" s="2361"/>
    </row>
    <row r="288" spans="1:97" s="1234" customFormat="1" ht="13.5" customHeight="1">
      <c r="A288" s="1430"/>
      <c r="B288" s="1218"/>
      <c r="C288" s="1437"/>
      <c r="D288" s="1228" t="s">
        <v>3261</v>
      </c>
      <c r="E288" s="1218"/>
      <c r="F288" s="1229">
        <f>(320)*1.1</f>
        <v>352</v>
      </c>
      <c r="G288" s="1435"/>
      <c r="H288" s="1435"/>
      <c r="I288" s="1445"/>
      <c r="J288" s="2334"/>
      <c r="K288" s="1240"/>
      <c r="L288" s="2295"/>
      <c r="M288" s="2295"/>
      <c r="N288" s="2295"/>
      <c r="O288" s="2335"/>
      <c r="P288" s="2335"/>
      <c r="Q288" s="2295"/>
      <c r="R288" s="2360"/>
      <c r="S288" s="2295"/>
      <c r="T288" s="2295"/>
      <c r="U288" s="2295"/>
      <c r="V288" s="2295"/>
      <c r="W288" s="2336"/>
    </row>
    <row r="289" spans="1:23" s="2295" customFormat="1" ht="13.5" customHeight="1">
      <c r="A289" s="2352"/>
      <c r="B289" s="2353"/>
      <c r="C289" s="2353"/>
      <c r="D289" s="2354" t="s">
        <v>3262</v>
      </c>
      <c r="E289" s="2353"/>
      <c r="F289" s="2355"/>
      <c r="G289" s="2356"/>
      <c r="H289" s="2356"/>
      <c r="I289" s="2356"/>
      <c r="J289" s="2121"/>
      <c r="K289" s="2294"/>
      <c r="L289" s="2294"/>
    </row>
    <row r="290" spans="1:23" s="1234" customFormat="1" ht="13.5" customHeight="1">
      <c r="A290" s="2362">
        <v>71</v>
      </c>
      <c r="B290" s="1218">
        <v>741</v>
      </c>
      <c r="C290" s="1437" t="s">
        <v>3263</v>
      </c>
      <c r="D290" s="1218" t="s">
        <v>3264</v>
      </c>
      <c r="E290" s="1218" t="s">
        <v>142</v>
      </c>
      <c r="F290" s="2359">
        <f>SUM(F292)</f>
        <v>275</v>
      </c>
      <c r="G290" s="1435"/>
      <c r="H290" s="2320">
        <f t="shared" ref="H290" si="64">ROUND(F290*G290,2)</f>
        <v>0</v>
      </c>
      <c r="I290" s="1445" t="s">
        <v>111</v>
      </c>
      <c r="J290" s="2331"/>
      <c r="K290" s="2363"/>
      <c r="M290" s="2141"/>
      <c r="R290" s="1528"/>
    </row>
    <row r="291" spans="1:23" s="1234" customFormat="1" ht="27" customHeight="1">
      <c r="A291" s="2362"/>
      <c r="B291" s="1218"/>
      <c r="C291" s="1218"/>
      <c r="D291" s="2364" t="s">
        <v>3265</v>
      </c>
      <c r="E291" s="1233"/>
      <c r="F291" s="2365"/>
      <c r="G291" s="1435"/>
      <c r="H291" s="1435"/>
      <c r="I291" s="1221"/>
      <c r="J291" s="2187"/>
      <c r="M291" s="2141"/>
    </row>
    <row r="292" spans="1:23" s="1234" customFormat="1" ht="13.5" customHeight="1">
      <c r="A292" s="2362"/>
      <c r="B292" s="1218"/>
      <c r="C292" s="1218"/>
      <c r="D292" s="2364" t="s">
        <v>3266</v>
      </c>
      <c r="E292" s="1233"/>
      <c r="F292" s="1229">
        <f>(250)*1.1</f>
        <v>275</v>
      </c>
      <c r="G292" s="1435"/>
      <c r="H292" s="1435"/>
      <c r="I292" s="1221"/>
      <c r="J292" s="2366"/>
      <c r="M292" s="2141"/>
    </row>
    <row r="293" spans="1:23" s="1234" customFormat="1" ht="13.5" customHeight="1">
      <c r="A293" s="2362"/>
      <c r="B293" s="1218"/>
      <c r="C293" s="1218"/>
      <c r="D293" s="2364" t="s">
        <v>3267</v>
      </c>
      <c r="E293" s="1233"/>
      <c r="F293" s="2365"/>
      <c r="G293" s="1435"/>
      <c r="H293" s="1435"/>
      <c r="I293" s="1221"/>
      <c r="M293" s="2141"/>
    </row>
    <row r="294" spans="1:23" s="2342" customFormat="1" ht="13.5" customHeight="1">
      <c r="A294" s="1442">
        <v>72</v>
      </c>
      <c r="B294" s="1437">
        <v>741</v>
      </c>
      <c r="C294" s="1437" t="s">
        <v>3263</v>
      </c>
      <c r="D294" s="1436" t="s">
        <v>3268</v>
      </c>
      <c r="E294" s="1437" t="s">
        <v>210</v>
      </c>
      <c r="F294" s="2359">
        <f>SUM(F295)</f>
        <v>120</v>
      </c>
      <c r="G294" s="1220"/>
      <c r="H294" s="2320">
        <f t="shared" ref="H294" si="65">ROUND(F294*G294,2)</f>
        <v>0</v>
      </c>
      <c r="I294" s="1445" t="s">
        <v>111</v>
      </c>
      <c r="J294" s="2291"/>
      <c r="K294" s="1896"/>
      <c r="L294" s="2292"/>
      <c r="M294" s="2292"/>
      <c r="N294" s="2292"/>
      <c r="O294" s="2292"/>
      <c r="P294" s="2292"/>
      <c r="Q294" s="2292"/>
      <c r="R294" s="2292"/>
      <c r="S294" s="2292"/>
      <c r="T294" s="2292"/>
      <c r="U294" s="2292"/>
      <c r="V294" s="2292"/>
      <c r="W294" s="2293"/>
    </row>
    <row r="295" spans="1:23" s="1234" customFormat="1" ht="13.5" customHeight="1">
      <c r="A295" s="1430"/>
      <c r="B295" s="1218"/>
      <c r="C295" s="1437"/>
      <c r="D295" s="1228" t="s">
        <v>3269</v>
      </c>
      <c r="E295" s="1218"/>
      <c r="F295" s="1229">
        <v>120</v>
      </c>
      <c r="G295" s="1435"/>
      <c r="H295" s="1435"/>
      <c r="I295" s="1445"/>
      <c r="J295" s="2334"/>
      <c r="K295" s="1240"/>
      <c r="L295" s="2295"/>
      <c r="M295" s="2295"/>
      <c r="N295" s="2295"/>
      <c r="O295" s="2335"/>
      <c r="P295" s="2335"/>
      <c r="Q295" s="2295"/>
      <c r="R295" s="2295"/>
      <c r="S295" s="2295"/>
      <c r="T295" s="2295"/>
      <c r="U295" s="2295"/>
      <c r="V295" s="2295"/>
      <c r="W295" s="2336"/>
    </row>
    <row r="296" spans="1:23" s="2295" customFormat="1" ht="13.5" customHeight="1">
      <c r="A296" s="2352"/>
      <c r="B296" s="2353"/>
      <c r="C296" s="2353"/>
      <c r="D296" s="2354" t="s">
        <v>3242</v>
      </c>
      <c r="E296" s="2353"/>
      <c r="F296" s="2355"/>
      <c r="G296" s="2356"/>
      <c r="H296" s="2356"/>
      <c r="I296" s="1445"/>
      <c r="J296" s="2121"/>
      <c r="K296" s="2294"/>
      <c r="L296" s="2294"/>
    </row>
    <row r="297" spans="1:23" s="2342" customFormat="1" ht="13.5" customHeight="1">
      <c r="A297" s="1442">
        <v>73</v>
      </c>
      <c r="B297" s="1437">
        <v>741</v>
      </c>
      <c r="C297" s="1437" t="s">
        <v>3270</v>
      </c>
      <c r="D297" s="1436" t="s">
        <v>3271</v>
      </c>
      <c r="E297" s="1437" t="s">
        <v>210</v>
      </c>
      <c r="F297" s="2359">
        <f>SUM(F298)</f>
        <v>9</v>
      </c>
      <c r="G297" s="1220"/>
      <c r="H297" s="2320">
        <f t="shared" ref="H297" si="66">ROUND(F297*G297,2)</f>
        <v>0</v>
      </c>
      <c r="I297" s="1445" t="s">
        <v>111</v>
      </c>
      <c r="J297" s="2291"/>
      <c r="K297" s="1896"/>
      <c r="S297" s="2336"/>
      <c r="W297" s="2293"/>
    </row>
    <row r="298" spans="1:23" s="1234" customFormat="1" ht="13.5" customHeight="1">
      <c r="A298" s="1430"/>
      <c r="B298" s="1218"/>
      <c r="C298" s="1437"/>
      <c r="D298" s="1228" t="s">
        <v>3272</v>
      </c>
      <c r="E298" s="1218"/>
      <c r="F298" s="1229">
        <v>9</v>
      </c>
      <c r="G298" s="1435"/>
      <c r="H298" s="1435"/>
      <c r="I298" s="1445"/>
      <c r="J298" s="2334"/>
      <c r="K298" s="1240"/>
      <c r="L298" s="2294"/>
      <c r="M298" s="2295"/>
      <c r="N298" s="2295"/>
      <c r="O298" s="2295"/>
      <c r="P298" s="2295"/>
      <c r="Q298" s="2295"/>
      <c r="R298" s="2295"/>
      <c r="S298" s="2336"/>
      <c r="W298" s="2336"/>
    </row>
    <row r="299" spans="1:23" s="2295" customFormat="1" ht="13.5" customHeight="1">
      <c r="A299" s="2352"/>
      <c r="B299" s="2353"/>
      <c r="C299" s="2353"/>
      <c r="D299" s="2354" t="s">
        <v>3273</v>
      </c>
      <c r="E299" s="2353"/>
      <c r="F299" s="2355"/>
      <c r="G299" s="2356"/>
      <c r="H299" s="2356"/>
      <c r="I299" s="1445"/>
      <c r="S299" s="2336"/>
      <c r="W299" s="2336"/>
    </row>
    <row r="300" spans="1:23" s="2342" customFormat="1" ht="13.5" customHeight="1">
      <c r="A300" s="1442">
        <v>74</v>
      </c>
      <c r="B300" s="1437">
        <v>741</v>
      </c>
      <c r="C300" s="1437" t="s">
        <v>3274</v>
      </c>
      <c r="D300" s="1436" t="s">
        <v>3275</v>
      </c>
      <c r="E300" s="1437" t="s">
        <v>210</v>
      </c>
      <c r="F300" s="2359">
        <f>SUM(F301)</f>
        <v>9</v>
      </c>
      <c r="G300" s="1220"/>
      <c r="H300" s="2320">
        <f t="shared" ref="H300" si="67">ROUND(F300*G300,2)</f>
        <v>0</v>
      </c>
      <c r="I300" s="1445" t="s">
        <v>111</v>
      </c>
      <c r="J300" s="2291"/>
      <c r="K300" s="1896"/>
      <c r="S300" s="2336"/>
      <c r="W300" s="2293"/>
    </row>
    <row r="301" spans="1:23" s="1234" customFormat="1" ht="13.5" customHeight="1">
      <c r="A301" s="1430"/>
      <c r="B301" s="1218"/>
      <c r="C301" s="1437"/>
      <c r="D301" s="1228" t="s">
        <v>3276</v>
      </c>
      <c r="E301" s="1218"/>
      <c r="F301" s="1229">
        <v>9</v>
      </c>
      <c r="G301" s="1435"/>
      <c r="H301" s="1435"/>
      <c r="I301" s="1445"/>
      <c r="J301" s="2334"/>
      <c r="K301" s="1240"/>
      <c r="L301" s="2294"/>
      <c r="M301" s="2295"/>
      <c r="N301" s="2295"/>
      <c r="O301" s="2295"/>
      <c r="P301" s="2295"/>
      <c r="Q301" s="2295"/>
      <c r="R301" s="2295"/>
      <c r="S301" s="2336"/>
      <c r="W301" s="2336"/>
    </row>
    <row r="302" spans="1:23" s="2295" customFormat="1" ht="13.5" customHeight="1">
      <c r="A302" s="2352"/>
      <c r="B302" s="2353"/>
      <c r="C302" s="2353"/>
      <c r="D302" s="2354" t="s">
        <v>3273</v>
      </c>
      <c r="E302" s="2353"/>
      <c r="F302" s="2355"/>
      <c r="G302" s="2356"/>
      <c r="H302" s="2356"/>
      <c r="I302" s="1445"/>
    </row>
    <row r="303" spans="1:23" s="2342" customFormat="1" ht="13.5" customHeight="1">
      <c r="A303" s="1442">
        <v>75</v>
      </c>
      <c r="B303" s="1437">
        <v>741</v>
      </c>
      <c r="C303" s="1437" t="s">
        <v>3277</v>
      </c>
      <c r="D303" s="1436" t="s">
        <v>3278</v>
      </c>
      <c r="E303" s="1437" t="s">
        <v>210</v>
      </c>
      <c r="F303" s="2359">
        <f>SUM(F304)</f>
        <v>5</v>
      </c>
      <c r="G303" s="1220"/>
      <c r="H303" s="2320">
        <f t="shared" ref="H303" si="68">ROUND(F303*G303,2)</f>
        <v>0</v>
      </c>
      <c r="I303" s="1445" t="s">
        <v>111</v>
      </c>
      <c r="J303" s="2291"/>
      <c r="K303" s="1896"/>
      <c r="L303" s="2292"/>
      <c r="M303" s="2292"/>
      <c r="N303" s="2292"/>
      <c r="O303" s="2292"/>
      <c r="P303" s="2292"/>
      <c r="Q303" s="2292"/>
      <c r="R303" s="2292"/>
      <c r="S303" s="2292"/>
      <c r="T303" s="2292"/>
      <c r="U303" s="2292"/>
      <c r="V303" s="2292"/>
      <c r="W303" s="2293"/>
    </row>
    <row r="304" spans="1:23" s="1234" customFormat="1" ht="13.5" customHeight="1">
      <c r="A304" s="1430"/>
      <c r="B304" s="1218"/>
      <c r="C304" s="1437"/>
      <c r="D304" s="1228" t="s">
        <v>3279</v>
      </c>
      <c r="E304" s="1218"/>
      <c r="F304" s="1229">
        <v>5</v>
      </c>
      <c r="G304" s="1435"/>
      <c r="H304" s="1435"/>
      <c r="I304" s="1445"/>
      <c r="J304" s="2334"/>
      <c r="K304" s="1240"/>
      <c r="L304" s="2295"/>
      <c r="M304" s="2295"/>
      <c r="N304" s="2295"/>
      <c r="O304" s="2335"/>
      <c r="P304" s="2335"/>
      <c r="Q304" s="2295"/>
      <c r="R304" s="2360"/>
      <c r="S304" s="2295"/>
      <c r="T304" s="2295"/>
      <c r="U304" s="2295"/>
      <c r="V304" s="2295"/>
      <c r="W304" s="2336"/>
    </row>
    <row r="305" spans="1:97" s="2295" customFormat="1" ht="27" customHeight="1">
      <c r="A305" s="2352"/>
      <c r="B305" s="2353"/>
      <c r="C305" s="2353"/>
      <c r="D305" s="2354" t="s">
        <v>3280</v>
      </c>
      <c r="E305" s="2353"/>
      <c r="F305" s="2355"/>
      <c r="G305" s="2356"/>
      <c r="H305" s="2356"/>
      <c r="I305" s="1445"/>
      <c r="J305" s="2334"/>
      <c r="K305" s="1240"/>
      <c r="O305" s="2335"/>
      <c r="P305" s="2335"/>
      <c r="R305" s="2360"/>
      <c r="W305" s="2336"/>
    </row>
    <row r="306" spans="1:97" s="2342" customFormat="1" ht="13.5" customHeight="1">
      <c r="A306" s="1442">
        <v>76</v>
      </c>
      <c r="B306" s="1437">
        <v>741</v>
      </c>
      <c r="C306" s="1437" t="s">
        <v>3281</v>
      </c>
      <c r="D306" s="1436" t="s">
        <v>3282</v>
      </c>
      <c r="E306" s="1437" t="s">
        <v>210</v>
      </c>
      <c r="F306" s="2359">
        <f>SUM(F307)</f>
        <v>12</v>
      </c>
      <c r="G306" s="1220"/>
      <c r="H306" s="2320">
        <f t="shared" ref="H306" si="69">ROUND(F306*G306,2)</f>
        <v>0</v>
      </c>
      <c r="I306" s="1445" t="s">
        <v>111</v>
      </c>
      <c r="J306" s="2291"/>
      <c r="K306" s="1896"/>
      <c r="L306" s="2292"/>
      <c r="M306" s="2292"/>
      <c r="N306" s="2292"/>
      <c r="O306" s="2292"/>
      <c r="P306" s="2292"/>
      <c r="Q306" s="2292"/>
      <c r="R306" s="2292"/>
      <c r="S306" s="2292"/>
      <c r="T306" s="2292"/>
      <c r="U306" s="2292"/>
      <c r="V306" s="2292"/>
      <c r="W306" s="2293"/>
    </row>
    <row r="307" spans="1:97" s="1234" customFormat="1" ht="13.5" customHeight="1">
      <c r="A307" s="1430"/>
      <c r="B307" s="1218"/>
      <c r="C307" s="1437"/>
      <c r="D307" s="1228" t="s">
        <v>3283</v>
      </c>
      <c r="E307" s="1218"/>
      <c r="F307" s="1229">
        <v>12</v>
      </c>
      <c r="G307" s="1435"/>
      <c r="H307" s="1435"/>
      <c r="I307" s="1445"/>
      <c r="J307" s="2334"/>
      <c r="K307" s="1240"/>
      <c r="L307" s="2295"/>
      <c r="M307" s="2295"/>
      <c r="N307" s="2295"/>
      <c r="O307" s="2335"/>
      <c r="P307" s="2335"/>
      <c r="Q307" s="2295"/>
      <c r="R307" s="2360"/>
      <c r="S307" s="2295"/>
      <c r="T307" s="2295"/>
      <c r="U307" s="2295"/>
      <c r="V307" s="2295"/>
      <c r="W307" s="2336"/>
    </row>
    <row r="308" spans="1:97" s="2295" customFormat="1" ht="27" customHeight="1">
      <c r="A308" s="2352"/>
      <c r="B308" s="2353"/>
      <c r="C308" s="2353"/>
      <c r="D308" s="2354" t="s">
        <v>3280</v>
      </c>
      <c r="E308" s="2353"/>
      <c r="F308" s="2355"/>
      <c r="G308" s="2356"/>
      <c r="H308" s="2356"/>
      <c r="I308" s="1445"/>
      <c r="J308" s="2334"/>
      <c r="K308" s="1240"/>
      <c r="O308" s="2335"/>
      <c r="P308" s="2335"/>
      <c r="R308" s="2360"/>
      <c r="W308" s="2336"/>
    </row>
    <row r="309" spans="1:97" s="2342" customFormat="1" ht="13.5" customHeight="1">
      <c r="A309" s="1442">
        <v>77</v>
      </c>
      <c r="B309" s="1437">
        <v>741</v>
      </c>
      <c r="C309" s="1437" t="s">
        <v>1947</v>
      </c>
      <c r="D309" s="1436" t="s">
        <v>3284</v>
      </c>
      <c r="E309" s="1437" t="s">
        <v>210</v>
      </c>
      <c r="F309" s="2359">
        <f>SUM(F310)</f>
        <v>9</v>
      </c>
      <c r="G309" s="1220"/>
      <c r="H309" s="2320">
        <f t="shared" ref="H309" si="70">ROUND(F309*G309,2)</f>
        <v>0</v>
      </c>
      <c r="I309" s="1445" t="s">
        <v>111</v>
      </c>
      <c r="W309" s="2293"/>
    </row>
    <row r="310" spans="1:97" s="2342" customFormat="1" ht="13.5" customHeight="1">
      <c r="A310" s="1442"/>
      <c r="B310" s="1437"/>
      <c r="C310" s="1437"/>
      <c r="D310" s="1228" t="s">
        <v>3285</v>
      </c>
      <c r="E310" s="1218"/>
      <c r="F310" s="1229">
        <v>9</v>
      </c>
      <c r="G310" s="1220"/>
      <c r="H310" s="1438"/>
      <c r="I310" s="1445"/>
      <c r="J310" s="2187"/>
      <c r="S310" s="1441"/>
      <c r="W310" s="2336"/>
    </row>
    <row r="311" spans="1:97" s="1234" customFormat="1" ht="13.5" customHeight="1">
      <c r="A311" s="1430"/>
      <c r="B311" s="1218"/>
      <c r="C311" s="1437"/>
      <c r="D311" s="1228" t="s">
        <v>3286</v>
      </c>
      <c r="E311" s="1218"/>
      <c r="F311" s="1229"/>
      <c r="G311" s="1435"/>
      <c r="H311" s="1435"/>
      <c r="I311" s="1445"/>
      <c r="J311" s="2121"/>
      <c r="K311" s="2342"/>
      <c r="L311" s="2342"/>
      <c r="M311" s="2342"/>
      <c r="N311" s="2342"/>
      <c r="O311" s="2342"/>
      <c r="P311" s="2342"/>
      <c r="Q311" s="2342"/>
      <c r="R311" s="2342"/>
      <c r="S311" s="1441"/>
      <c r="U311" s="2342"/>
      <c r="V311" s="2342"/>
      <c r="W311" s="2336"/>
      <c r="X311" s="2342"/>
      <c r="Y311" s="2342"/>
      <c r="Z311" s="2342"/>
    </row>
    <row r="312" spans="1:97" s="2342" customFormat="1" ht="13.5" customHeight="1">
      <c r="A312" s="1442">
        <v>78</v>
      </c>
      <c r="B312" s="1437">
        <v>741</v>
      </c>
      <c r="C312" s="1437" t="s">
        <v>3287</v>
      </c>
      <c r="D312" s="1436" t="s">
        <v>1944</v>
      </c>
      <c r="E312" s="1437" t="s">
        <v>49</v>
      </c>
      <c r="F312" s="2357">
        <v>1</v>
      </c>
      <c r="G312" s="1220"/>
      <c r="H312" s="2320">
        <f t="shared" ref="H312:H313" si="71">ROUND(F312*G312,2)</f>
        <v>0</v>
      </c>
      <c r="I312" s="1445" t="s">
        <v>111</v>
      </c>
      <c r="J312" s="2367"/>
      <c r="K312" s="2368"/>
      <c r="L312" s="2368"/>
      <c r="M312" s="2369"/>
      <c r="N312" s="2369"/>
      <c r="O312" s="2369"/>
      <c r="P312" s="2369"/>
      <c r="Q312" s="1488"/>
      <c r="R312" s="2369"/>
      <c r="S312" s="2370"/>
      <c r="T312" s="2361"/>
      <c r="U312" s="2361"/>
      <c r="V312" s="2361"/>
      <c r="W312" s="2361"/>
      <c r="X312" s="2361"/>
      <c r="Y312" s="2361"/>
      <c r="Z312" s="1234"/>
    </row>
    <row r="313" spans="1:97" s="1439" customFormat="1" ht="13.5" customHeight="1">
      <c r="A313" s="1442">
        <v>79</v>
      </c>
      <c r="B313" s="1437">
        <v>741</v>
      </c>
      <c r="C313" s="1437" t="s">
        <v>3288</v>
      </c>
      <c r="D313" s="1436" t="s">
        <v>3289</v>
      </c>
      <c r="E313" s="1437" t="s">
        <v>49</v>
      </c>
      <c r="F313" s="2371">
        <f>SUM(F314)</f>
        <v>1</v>
      </c>
      <c r="G313" s="1220"/>
      <c r="H313" s="2320">
        <f t="shared" si="71"/>
        <v>0</v>
      </c>
      <c r="I313" s="1445" t="s">
        <v>111</v>
      </c>
      <c r="J313" s="2113"/>
      <c r="P313" s="1441"/>
      <c r="Q313" s="1441"/>
      <c r="R313" s="1441"/>
      <c r="S313" s="1441"/>
      <c r="T313" s="1441"/>
    </row>
    <row r="314" spans="1:97" s="1439" customFormat="1" ht="13.5" customHeight="1">
      <c r="A314" s="1442"/>
      <c r="B314" s="1437"/>
      <c r="C314" s="1437"/>
      <c r="D314" s="1443" t="s">
        <v>3290</v>
      </c>
      <c r="E314" s="1437"/>
      <c r="F314" s="1444">
        <v>1</v>
      </c>
      <c r="G314" s="1438"/>
      <c r="H314" s="1438"/>
      <c r="I314" s="1445"/>
      <c r="J314" s="2113"/>
      <c r="P314" s="1441"/>
      <c r="Q314" s="1441"/>
      <c r="R314" s="1441"/>
      <c r="S314" s="1441"/>
      <c r="T314" s="1441"/>
    </row>
    <row r="315" spans="1:97" s="1439" customFormat="1" ht="40.5" customHeight="1">
      <c r="A315" s="1442"/>
      <c r="B315" s="1437"/>
      <c r="C315" s="1437"/>
      <c r="D315" s="1443" t="s">
        <v>3291</v>
      </c>
      <c r="E315" s="1437"/>
      <c r="F315" s="2372"/>
      <c r="G315" s="1438"/>
      <c r="H315" s="1438"/>
      <c r="I315" s="1445"/>
      <c r="J315" s="2121"/>
    </row>
    <row r="316" spans="1:97" s="1225" customFormat="1" ht="13.5" customHeight="1">
      <c r="A316" s="1208" t="s">
        <v>3292</v>
      </c>
      <c r="B316" s="1218">
        <v>741</v>
      </c>
      <c r="C316" s="1218">
        <v>998741312</v>
      </c>
      <c r="D316" s="1218" t="s">
        <v>3149</v>
      </c>
      <c r="E316" s="1218" t="s">
        <v>10</v>
      </c>
      <c r="F316" s="1219">
        <v>0.78</v>
      </c>
      <c r="G316" s="1220"/>
      <c r="H316" s="2320">
        <f t="shared" ref="H316:H317" si="72">ROUND(F316*G316,2)</f>
        <v>0</v>
      </c>
      <c r="I316" s="1221" t="s">
        <v>1927</v>
      </c>
      <c r="J316" s="1222"/>
      <c r="K316" s="1223"/>
      <c r="L316" s="1224"/>
      <c r="M316" s="1224"/>
      <c r="N316" s="1224"/>
      <c r="O316" s="1224"/>
      <c r="P316" s="1224"/>
      <c r="Q316" s="1191"/>
      <c r="R316" s="1191"/>
      <c r="S316" s="1191"/>
      <c r="T316" s="1191"/>
      <c r="U316" s="1191"/>
      <c r="V316" s="1191"/>
      <c r="W316" s="1191"/>
      <c r="X316" s="1191"/>
      <c r="Y316" s="1191"/>
      <c r="Z316" s="1191"/>
      <c r="AA316" s="1191"/>
      <c r="AB316" s="1191"/>
      <c r="AC316" s="1191"/>
      <c r="AD316" s="1191"/>
      <c r="AE316" s="1191"/>
      <c r="AF316" s="1191"/>
      <c r="AG316" s="1191"/>
      <c r="AH316" s="1191"/>
      <c r="AI316" s="1191"/>
      <c r="AJ316" s="1191"/>
      <c r="AK316" s="1191"/>
      <c r="AL316" s="1191"/>
      <c r="AM316" s="1191"/>
      <c r="AN316" s="1191"/>
      <c r="AO316" s="1191"/>
      <c r="AP316" s="1191"/>
      <c r="AQ316" s="1191"/>
      <c r="AR316" s="1191"/>
      <c r="AS316" s="1191"/>
      <c r="AT316" s="1191"/>
      <c r="AU316" s="1191"/>
      <c r="AV316" s="1191"/>
      <c r="AW316" s="1191"/>
      <c r="AX316" s="1191"/>
      <c r="AY316" s="1191"/>
      <c r="AZ316" s="1191"/>
      <c r="BA316" s="1191"/>
      <c r="BB316" s="1191"/>
      <c r="BC316" s="1191"/>
      <c r="BD316" s="1191"/>
      <c r="BE316" s="1191"/>
      <c r="BF316" s="1191"/>
      <c r="BG316" s="1191"/>
      <c r="BH316" s="1191"/>
      <c r="BI316" s="1191"/>
      <c r="BJ316" s="1191"/>
      <c r="BK316" s="1191"/>
      <c r="BL316" s="1191"/>
      <c r="BM316" s="1191"/>
      <c r="BN316" s="1191"/>
      <c r="BO316" s="1191"/>
      <c r="BP316" s="1191"/>
      <c r="BQ316" s="1191"/>
      <c r="BR316" s="1191"/>
      <c r="BS316" s="1191"/>
      <c r="BT316" s="1191"/>
      <c r="BU316" s="1191"/>
      <c r="BV316" s="1191"/>
      <c r="BW316" s="1191"/>
      <c r="BX316" s="1191"/>
      <c r="BY316" s="1191"/>
      <c r="BZ316" s="1191"/>
      <c r="CA316" s="1191"/>
      <c r="CB316" s="1191"/>
      <c r="CC316" s="1191"/>
      <c r="CD316" s="1191"/>
      <c r="CE316" s="1191"/>
      <c r="CF316" s="1191"/>
      <c r="CG316" s="1191"/>
      <c r="CH316" s="1191"/>
      <c r="CI316" s="1191"/>
      <c r="CJ316" s="1191"/>
      <c r="CK316" s="1191"/>
      <c r="CL316" s="1191"/>
      <c r="CM316" s="1191"/>
      <c r="CN316" s="1191"/>
      <c r="CO316" s="1191"/>
      <c r="CP316" s="1191"/>
      <c r="CQ316" s="1191"/>
      <c r="CR316" s="1191"/>
      <c r="CS316" s="1191"/>
    </row>
    <row r="317" spans="1:97" s="1227" customFormat="1" ht="13.5" customHeight="1">
      <c r="A317" s="1208" t="s">
        <v>3293</v>
      </c>
      <c r="B317" s="1218" t="s">
        <v>369</v>
      </c>
      <c r="C317" s="1218" t="s">
        <v>1928</v>
      </c>
      <c r="D317" s="1218" t="s">
        <v>1929</v>
      </c>
      <c r="E317" s="1218" t="s">
        <v>69</v>
      </c>
      <c r="F317" s="1431">
        <f>ROUND(SUM(F318),3)</f>
        <v>20</v>
      </c>
      <c r="G317" s="1220"/>
      <c r="H317" s="2320">
        <f t="shared" si="72"/>
        <v>0</v>
      </c>
      <c r="I317" s="1221" t="s">
        <v>1927</v>
      </c>
      <c r="J317" s="1197"/>
      <c r="K317" s="1224"/>
      <c r="L317" s="1224"/>
      <c r="M317" s="1224"/>
      <c r="N317" s="1224"/>
      <c r="O317" s="1224"/>
      <c r="P317" s="1224"/>
      <c r="Q317" s="1226"/>
      <c r="R317" s="1226"/>
      <c r="S317" s="1226"/>
      <c r="T317" s="1226"/>
      <c r="U317" s="1226"/>
      <c r="V317" s="1226"/>
      <c r="W317" s="1226"/>
      <c r="X317" s="1226"/>
      <c r="Y317" s="1226"/>
      <c r="Z317" s="1226"/>
      <c r="AA317" s="1226"/>
      <c r="AB317" s="1226"/>
      <c r="AC317" s="1226"/>
      <c r="AD317" s="1226"/>
      <c r="AE317" s="1226"/>
      <c r="AF317" s="1226"/>
      <c r="AG317" s="1226"/>
      <c r="AH317" s="1226"/>
      <c r="AI317" s="1226"/>
      <c r="AJ317" s="1226"/>
      <c r="AK317" s="1226"/>
      <c r="AL317" s="1226"/>
      <c r="AM317" s="1226"/>
      <c r="AN317" s="1226"/>
      <c r="AO317" s="1226"/>
      <c r="AP317" s="1226"/>
      <c r="AQ317" s="1226"/>
      <c r="AR317" s="1226"/>
      <c r="AS317" s="1226"/>
      <c r="AT317" s="1226"/>
      <c r="AU317" s="1226"/>
      <c r="AV317" s="1226"/>
      <c r="AW317" s="1226"/>
      <c r="AX317" s="1226"/>
      <c r="AY317" s="1226"/>
      <c r="AZ317" s="1226"/>
      <c r="BA317" s="1226"/>
      <c r="BB317" s="1226"/>
      <c r="BC317" s="1226"/>
      <c r="BD317" s="1226"/>
      <c r="BE317" s="1226"/>
      <c r="BF317" s="1226"/>
      <c r="BG317" s="1226"/>
      <c r="BH317" s="1226"/>
      <c r="BI317" s="1226"/>
      <c r="BJ317" s="1226"/>
      <c r="BK317" s="1226"/>
      <c r="BL317" s="1226"/>
      <c r="BM317" s="1226"/>
      <c r="BN317" s="1226"/>
      <c r="BO317" s="1226"/>
      <c r="BP317" s="1226"/>
      <c r="BQ317" s="1226"/>
      <c r="BR317" s="1226"/>
      <c r="BS317" s="1226"/>
      <c r="BT317" s="1226"/>
      <c r="BU317" s="1226"/>
      <c r="BV317" s="1226"/>
      <c r="BW317" s="1226"/>
      <c r="BX317" s="1226"/>
      <c r="BY317" s="1226"/>
      <c r="BZ317" s="1226"/>
      <c r="CA317" s="1226"/>
      <c r="CB317" s="1226"/>
      <c r="CC317" s="1226"/>
      <c r="CD317" s="1226"/>
      <c r="CE317" s="1226"/>
      <c r="CF317" s="1226"/>
      <c r="CG317" s="1226"/>
      <c r="CH317" s="1226"/>
      <c r="CI317" s="1226"/>
      <c r="CJ317" s="1226"/>
      <c r="CK317" s="1226"/>
      <c r="CL317" s="1226"/>
      <c r="CM317" s="1226"/>
      <c r="CN317" s="1226"/>
      <c r="CO317" s="1226"/>
      <c r="CP317" s="1226"/>
      <c r="CQ317" s="1226"/>
      <c r="CR317" s="1226"/>
      <c r="CS317" s="1226"/>
    </row>
    <row r="318" spans="1:97" s="1227" customFormat="1" ht="13.5" customHeight="1">
      <c r="A318" s="1208"/>
      <c r="B318" s="1218"/>
      <c r="C318" s="1218"/>
      <c r="D318" s="1228" t="s">
        <v>1930</v>
      </c>
      <c r="E318" s="1218"/>
      <c r="F318" s="1229">
        <v>20</v>
      </c>
      <c r="G318" s="1220"/>
      <c r="H318" s="1220"/>
      <c r="I318" s="1221"/>
      <c r="J318" s="1226"/>
      <c r="K318" s="1224"/>
      <c r="L318" s="1224"/>
      <c r="M318" s="1224"/>
      <c r="N318" s="1224"/>
      <c r="O318" s="1224"/>
      <c r="P318" s="1224"/>
      <c r="Q318" s="1226"/>
      <c r="R318" s="1226"/>
      <c r="S318" s="1226"/>
      <c r="T318" s="1226"/>
      <c r="U318" s="1226"/>
      <c r="V318" s="1226"/>
      <c r="W318" s="1226"/>
      <c r="X318" s="1226"/>
      <c r="Y318" s="1226"/>
      <c r="Z318" s="1226"/>
      <c r="AA318" s="1226"/>
      <c r="AB318" s="1226"/>
      <c r="AC318" s="1226"/>
      <c r="AD318" s="1226"/>
      <c r="AE318" s="1226"/>
      <c r="AF318" s="1226"/>
      <c r="AG318" s="1226"/>
      <c r="AH318" s="1226"/>
      <c r="AI318" s="1226"/>
      <c r="AJ318" s="1226"/>
      <c r="AK318" s="1226"/>
      <c r="AL318" s="1226"/>
      <c r="AM318" s="1226"/>
      <c r="AN318" s="1226"/>
      <c r="AO318" s="1226"/>
      <c r="AP318" s="1226"/>
      <c r="AQ318" s="1226"/>
      <c r="AR318" s="1226"/>
      <c r="AS318" s="1226"/>
      <c r="AT318" s="1226"/>
      <c r="AU318" s="1226"/>
      <c r="AV318" s="1226"/>
      <c r="AW318" s="1226"/>
      <c r="AX318" s="1226"/>
      <c r="AY318" s="1226"/>
      <c r="AZ318" s="1226"/>
      <c r="BA318" s="1226"/>
      <c r="BB318" s="1226"/>
      <c r="BC318" s="1226"/>
      <c r="BD318" s="1226"/>
      <c r="BE318" s="1226"/>
      <c r="BF318" s="1226"/>
      <c r="BG318" s="1226"/>
      <c r="BH318" s="1226"/>
      <c r="BI318" s="1226"/>
      <c r="BJ318" s="1226"/>
      <c r="BK318" s="1226"/>
      <c r="BL318" s="1226"/>
      <c r="BM318" s="1226"/>
      <c r="BN318" s="1226"/>
      <c r="BO318" s="1226"/>
      <c r="BP318" s="1226"/>
      <c r="BQ318" s="1226"/>
      <c r="BR318" s="1226"/>
      <c r="BS318" s="1226"/>
      <c r="BT318" s="1226"/>
      <c r="BU318" s="1226"/>
      <c r="BV318" s="1226"/>
      <c r="BW318" s="1226"/>
      <c r="BX318" s="1226"/>
      <c r="BY318" s="1226"/>
      <c r="BZ318" s="1226"/>
      <c r="CA318" s="1226"/>
      <c r="CB318" s="1226"/>
      <c r="CC318" s="1226"/>
      <c r="CD318" s="1226"/>
      <c r="CE318" s="1226"/>
      <c r="CF318" s="1226"/>
      <c r="CG318" s="1226"/>
      <c r="CH318" s="1226"/>
      <c r="CI318" s="1226"/>
      <c r="CJ318" s="1226"/>
      <c r="CK318" s="1226"/>
      <c r="CL318" s="1226"/>
      <c r="CM318" s="1226"/>
      <c r="CN318" s="1226"/>
      <c r="CO318" s="1226"/>
      <c r="CP318" s="1226"/>
      <c r="CQ318" s="1226"/>
      <c r="CR318" s="1226"/>
      <c r="CS318" s="1226"/>
    </row>
    <row r="319" spans="1:97" s="1227" customFormat="1" ht="27" customHeight="1">
      <c r="A319" s="1208"/>
      <c r="B319" s="1218"/>
      <c r="C319" s="1218"/>
      <c r="D319" s="1228" t="s">
        <v>1931</v>
      </c>
      <c r="E319" s="1218"/>
      <c r="F319" s="1219"/>
      <c r="G319" s="1220"/>
      <c r="H319" s="1220"/>
      <c r="I319" s="1221"/>
      <c r="J319" s="1226"/>
      <c r="K319" s="1224"/>
      <c r="L319" s="1224"/>
      <c r="M319" s="1224"/>
      <c r="N319" s="1230"/>
      <c r="O319" s="1224"/>
      <c r="P319" s="1224"/>
      <c r="Q319" s="1226"/>
      <c r="R319" s="1226"/>
      <c r="S319" s="1226"/>
      <c r="T319" s="1226"/>
      <c r="U319" s="1226"/>
      <c r="V319" s="1226"/>
      <c r="W319" s="1226"/>
      <c r="X319" s="1226"/>
      <c r="Y319" s="1226"/>
      <c r="Z319" s="1226"/>
      <c r="AA319" s="1226"/>
      <c r="AB319" s="1226"/>
      <c r="AC319" s="1226"/>
      <c r="AD319" s="1226"/>
      <c r="AE319" s="1226"/>
      <c r="AF319" s="1226"/>
      <c r="AG319" s="1226"/>
      <c r="AH319" s="1226"/>
      <c r="AI319" s="1226"/>
      <c r="AJ319" s="1226"/>
      <c r="AK319" s="1226"/>
      <c r="AL319" s="1226"/>
      <c r="AM319" s="1226"/>
      <c r="AN319" s="1226"/>
      <c r="AO319" s="1226"/>
      <c r="AP319" s="1226"/>
      <c r="AQ319" s="1226"/>
      <c r="AR319" s="1226"/>
      <c r="AS319" s="1226"/>
      <c r="AT319" s="1226"/>
      <c r="AU319" s="1226"/>
      <c r="AV319" s="1226"/>
      <c r="AW319" s="1226"/>
      <c r="AX319" s="1226"/>
      <c r="AY319" s="1226"/>
      <c r="AZ319" s="1226"/>
      <c r="BA319" s="1226"/>
      <c r="BB319" s="1226"/>
      <c r="BC319" s="1226"/>
      <c r="BD319" s="1226"/>
      <c r="BE319" s="1226"/>
      <c r="BF319" s="1226"/>
      <c r="BG319" s="1226"/>
      <c r="BH319" s="1226"/>
      <c r="BI319" s="1226"/>
      <c r="BJ319" s="1226"/>
      <c r="BK319" s="1226"/>
      <c r="BL319" s="1226"/>
      <c r="BM319" s="1226"/>
      <c r="BN319" s="1226"/>
      <c r="BO319" s="1226"/>
      <c r="BP319" s="1226"/>
      <c r="BQ319" s="1226"/>
      <c r="BR319" s="1226"/>
      <c r="BS319" s="1226"/>
      <c r="BT319" s="1226"/>
      <c r="BU319" s="1226"/>
      <c r="BV319" s="1226"/>
      <c r="BW319" s="1226"/>
      <c r="BX319" s="1226"/>
      <c r="BY319" s="1226"/>
      <c r="BZ319" s="1226"/>
      <c r="CA319" s="1226"/>
      <c r="CB319" s="1226"/>
      <c r="CC319" s="1226"/>
      <c r="CD319" s="1226"/>
      <c r="CE319" s="1226"/>
      <c r="CF319" s="1226"/>
      <c r="CG319" s="1226"/>
      <c r="CH319" s="1226"/>
      <c r="CI319" s="1226"/>
      <c r="CJ319" s="1226"/>
      <c r="CK319" s="1226"/>
      <c r="CL319" s="1226"/>
      <c r="CM319" s="1226"/>
      <c r="CN319" s="1226"/>
      <c r="CO319" s="1226"/>
      <c r="CP319" s="1226"/>
      <c r="CQ319" s="1226"/>
      <c r="CR319" s="1226"/>
      <c r="CS319" s="1226"/>
    </row>
    <row r="320" spans="1:97" s="1234" customFormat="1" ht="13.5" customHeight="1">
      <c r="A320" s="2358"/>
      <c r="B320" s="1206"/>
      <c r="C320" s="1206">
        <v>741</v>
      </c>
      <c r="D320" s="1206" t="s">
        <v>1948</v>
      </c>
      <c r="E320" s="1206"/>
      <c r="F320" s="1231"/>
      <c r="G320" s="1220"/>
      <c r="H320" s="1204">
        <f>SUM(H321:H340)</f>
        <v>0</v>
      </c>
      <c r="I320" s="1207"/>
      <c r="K320" s="1238"/>
      <c r="L320" s="1238"/>
      <c r="M320" s="1238"/>
      <c r="N320" s="1238"/>
      <c r="O320" s="1238"/>
      <c r="P320" s="1238"/>
    </row>
    <row r="321" spans="1:121" s="1217" customFormat="1" ht="13.5" customHeight="1">
      <c r="A321" s="2358" t="s">
        <v>3294</v>
      </c>
      <c r="B321" s="1218">
        <v>741</v>
      </c>
      <c r="C321" s="1244" t="s">
        <v>1949</v>
      </c>
      <c r="D321" s="1239" t="s">
        <v>1950</v>
      </c>
      <c r="E321" s="1209" t="s">
        <v>49</v>
      </c>
      <c r="F321" s="1431">
        <f>ROUND(SUM(F322),3)</f>
        <v>1</v>
      </c>
      <c r="G321" s="1220"/>
      <c r="H321" s="2320">
        <f t="shared" ref="H321" si="73">ROUND(F321*G321,2)</f>
        <v>0</v>
      </c>
      <c r="I321" s="1211" t="s">
        <v>111</v>
      </c>
      <c r="J321" s="1212"/>
      <c r="K321" s="1213"/>
      <c r="L321" s="1214"/>
      <c r="M321" s="1214"/>
      <c r="N321" s="1213"/>
      <c r="P321" s="1243"/>
      <c r="Q321" s="1243"/>
      <c r="R321" s="1243"/>
      <c r="S321" s="1243"/>
      <c r="T321" s="1243"/>
    </row>
    <row r="322" spans="1:121" s="1217" customFormat="1" ht="13.5" customHeight="1">
      <c r="A322" s="1215"/>
      <c r="B322" s="1209"/>
      <c r="C322" s="1209"/>
      <c r="D322" s="1216" t="s">
        <v>1951</v>
      </c>
      <c r="E322" s="1209"/>
      <c r="F322" s="1241">
        <v>1</v>
      </c>
      <c r="G322" s="1210"/>
      <c r="H322" s="1210"/>
      <c r="I322" s="1211"/>
      <c r="J322" s="1212"/>
      <c r="K322" s="1213"/>
      <c r="L322" s="1214"/>
      <c r="M322" s="1214"/>
      <c r="P322" s="1243"/>
      <c r="Q322" s="1243"/>
      <c r="R322" s="1243"/>
      <c r="S322" s="1243"/>
      <c r="T322" s="1243"/>
    </row>
    <row r="323" spans="1:121" s="1217" customFormat="1" ht="40.5" customHeight="1">
      <c r="A323" s="1215"/>
      <c r="B323" s="1209"/>
      <c r="C323" s="1209"/>
      <c r="D323" s="1216" t="s">
        <v>1952</v>
      </c>
      <c r="E323" s="1209"/>
      <c r="F323" s="2373"/>
      <c r="G323" s="1210"/>
      <c r="H323" s="1210"/>
      <c r="I323" s="1211"/>
    </row>
    <row r="324" spans="1:121" s="1217" customFormat="1" ht="13.5" customHeight="1">
      <c r="A324" s="2358" t="s">
        <v>3295</v>
      </c>
      <c r="B324" s="1218">
        <v>741</v>
      </c>
      <c r="C324" s="1244" t="s">
        <v>1953</v>
      </c>
      <c r="D324" s="1239" t="s">
        <v>1954</v>
      </c>
      <c r="E324" s="1209" t="s">
        <v>49</v>
      </c>
      <c r="F324" s="1431">
        <f>ROUND(SUM(F325),3)</f>
        <v>1</v>
      </c>
      <c r="G324" s="1220"/>
      <c r="H324" s="2320">
        <f t="shared" ref="H324" si="74">ROUND(F324*G324,2)</f>
        <v>0</v>
      </c>
      <c r="I324" s="1211" t="s">
        <v>111</v>
      </c>
      <c r="J324" s="1212"/>
      <c r="K324" s="1213"/>
      <c r="L324" s="1214"/>
      <c r="M324" s="1214"/>
      <c r="N324" s="1213"/>
      <c r="P324" s="1243"/>
      <c r="Q324" s="1243"/>
      <c r="R324" s="1243"/>
      <c r="S324" s="1243"/>
      <c r="T324" s="1243"/>
    </row>
    <row r="325" spans="1:121" s="1217" customFormat="1" ht="27" customHeight="1">
      <c r="A325" s="1215"/>
      <c r="B325" s="1209"/>
      <c r="C325" s="1209"/>
      <c r="D325" s="1216" t="s">
        <v>1955</v>
      </c>
      <c r="E325" s="1209"/>
      <c r="F325" s="1241">
        <v>1</v>
      </c>
      <c r="G325" s="1210"/>
      <c r="H325" s="1210"/>
      <c r="I325" s="1211"/>
      <c r="J325" s="1212"/>
      <c r="K325" s="1213"/>
      <c r="L325" s="1214"/>
      <c r="M325" s="1214"/>
      <c r="P325" s="1243"/>
      <c r="Q325" s="1243"/>
      <c r="R325" s="1243"/>
      <c r="S325" s="1243"/>
      <c r="T325" s="1243"/>
    </row>
    <row r="326" spans="1:121" s="1217" customFormat="1" ht="40.5" customHeight="1">
      <c r="A326" s="1215"/>
      <c r="B326" s="1209"/>
      <c r="C326" s="1209"/>
      <c r="D326" s="1216" t="s">
        <v>1956</v>
      </c>
      <c r="E326" s="1209"/>
      <c r="F326" s="2373"/>
      <c r="G326" s="1210"/>
      <c r="H326" s="1210"/>
      <c r="I326" s="1211"/>
      <c r="J326" s="1242"/>
    </row>
    <row r="327" spans="1:121" s="1217" customFormat="1" ht="27" customHeight="1">
      <c r="A327" s="2358" t="s">
        <v>3296</v>
      </c>
      <c r="B327" s="1218">
        <v>741</v>
      </c>
      <c r="C327" s="1244" t="s">
        <v>1957</v>
      </c>
      <c r="D327" s="1245" t="s">
        <v>1958</v>
      </c>
      <c r="E327" s="1209" t="s">
        <v>49</v>
      </c>
      <c r="F327" s="1431">
        <f>ROUND(SUM(F328),3)</f>
        <v>1</v>
      </c>
      <c r="G327" s="1220"/>
      <c r="H327" s="2320">
        <f t="shared" ref="H327" si="75">ROUND(F327*G327,2)</f>
        <v>0</v>
      </c>
      <c r="I327" s="1211" t="s">
        <v>111</v>
      </c>
      <c r="J327" s="1246"/>
      <c r="P327" s="1243"/>
      <c r="Q327" s="1243"/>
      <c r="R327" s="1243"/>
      <c r="S327" s="1243"/>
      <c r="T327" s="1243"/>
    </row>
    <row r="328" spans="1:121" s="1217" customFormat="1" ht="13.5" customHeight="1">
      <c r="A328" s="1215"/>
      <c r="B328" s="1209"/>
      <c r="C328" s="1209"/>
      <c r="D328" s="1216" t="s">
        <v>1959</v>
      </c>
      <c r="E328" s="1209"/>
      <c r="F328" s="1241">
        <v>1</v>
      </c>
      <c r="G328" s="1210"/>
      <c r="H328" s="1210"/>
      <c r="I328" s="1211"/>
      <c r="J328" s="1247"/>
      <c r="P328" s="1243"/>
      <c r="Q328" s="1243"/>
      <c r="R328" s="1243"/>
      <c r="S328" s="1243"/>
      <c r="T328" s="1243"/>
    </row>
    <row r="329" spans="1:121" s="1217" customFormat="1" ht="27" customHeight="1">
      <c r="A329" s="1215"/>
      <c r="B329" s="1209"/>
      <c r="C329" s="1209"/>
      <c r="D329" s="1216" t="s">
        <v>1960</v>
      </c>
      <c r="E329" s="1209"/>
      <c r="F329" s="2373"/>
      <c r="G329" s="1210"/>
      <c r="H329" s="1210"/>
      <c r="I329" s="1211"/>
      <c r="J329" s="1242"/>
    </row>
    <row r="330" spans="1:121" s="158" customFormat="1" ht="67.5" customHeight="1">
      <c r="A330" s="2374"/>
      <c r="B330" s="1450"/>
      <c r="C330" s="1451"/>
      <c r="D330" s="2375" t="s">
        <v>317</v>
      </c>
      <c r="E330" s="1209"/>
      <c r="F330" s="1452"/>
      <c r="G330" s="1453"/>
      <c r="H330" s="1454"/>
      <c r="I330" s="1455"/>
      <c r="J330" s="1249"/>
      <c r="K330" s="1250"/>
      <c r="L330" s="159"/>
      <c r="M330" s="1251"/>
    </row>
    <row r="331" spans="1:121" s="1191" customFormat="1" ht="13.5" customHeight="1">
      <c r="A331" s="1208" t="s">
        <v>3297</v>
      </c>
      <c r="B331" s="1218">
        <v>741</v>
      </c>
      <c r="C331" s="1244" t="s">
        <v>1961</v>
      </c>
      <c r="D331" s="1218" t="s">
        <v>1962</v>
      </c>
      <c r="E331" s="1218" t="s">
        <v>49</v>
      </c>
      <c r="F331" s="1431">
        <f>ROUND(SUM(F333),3)</f>
        <v>1</v>
      </c>
      <c r="G331" s="1220"/>
      <c r="H331" s="2320">
        <f t="shared" ref="H331" si="76">ROUND(F331*G331,2)</f>
        <v>0</v>
      </c>
      <c r="I331" s="1221" t="s">
        <v>111</v>
      </c>
      <c r="J331" s="1212"/>
      <c r="K331" s="1213"/>
      <c r="L331" s="1214"/>
      <c r="M331" s="1214"/>
    </row>
    <row r="332" spans="1:121" s="1227" customFormat="1" ht="27" customHeight="1">
      <c r="A332" s="2376"/>
      <c r="B332" s="1457"/>
      <c r="C332" s="1457"/>
      <c r="D332" s="1228" t="s">
        <v>1963</v>
      </c>
      <c r="E332" s="1457"/>
      <c r="F332" s="1229"/>
      <c r="G332" s="2377"/>
      <c r="H332" s="1220"/>
      <c r="I332" s="1207"/>
      <c r="J332" s="1212"/>
      <c r="K332" s="1213"/>
      <c r="L332" s="1214"/>
      <c r="M332" s="1214"/>
      <c r="N332" s="1226"/>
      <c r="O332" s="1226"/>
      <c r="P332" s="1226"/>
      <c r="Q332" s="1226"/>
      <c r="R332" s="1226"/>
      <c r="S332" s="1226"/>
      <c r="T332" s="1226"/>
      <c r="U332" s="1226"/>
      <c r="V332" s="1226"/>
      <c r="W332" s="1226"/>
      <c r="X332" s="1226"/>
      <c r="Y332" s="1226"/>
      <c r="Z332" s="1226"/>
      <c r="AA332" s="1226"/>
      <c r="AB332" s="1226"/>
      <c r="AC332" s="1226"/>
      <c r="AD332" s="1226"/>
      <c r="AE332" s="1226"/>
      <c r="AF332" s="1226"/>
      <c r="AG332" s="1226"/>
      <c r="AH332" s="1226"/>
      <c r="AI332" s="1226"/>
      <c r="AJ332" s="1226"/>
      <c r="AK332" s="1226"/>
      <c r="AL332" s="1226"/>
      <c r="AM332" s="1226"/>
      <c r="AN332" s="1226"/>
      <c r="AO332" s="1226"/>
      <c r="AP332" s="1226"/>
      <c r="AQ332" s="1226"/>
      <c r="AR332" s="1226"/>
      <c r="AS332" s="1226"/>
      <c r="AT332" s="1226"/>
      <c r="AU332" s="1226"/>
      <c r="AV332" s="1226"/>
      <c r="AW332" s="1226"/>
      <c r="AX332" s="1226"/>
      <c r="AY332" s="1226"/>
      <c r="AZ332" s="1226"/>
      <c r="BA332" s="1226"/>
      <c r="BB332" s="1226"/>
      <c r="BC332" s="1226"/>
      <c r="BD332" s="1226"/>
      <c r="BE332" s="1226"/>
      <c r="BF332" s="1226"/>
      <c r="BG332" s="1226"/>
      <c r="BH332" s="1226"/>
      <c r="BI332" s="1226"/>
      <c r="BJ332" s="1226"/>
      <c r="BK332" s="1226"/>
      <c r="BL332" s="1226"/>
      <c r="BM332" s="1226"/>
      <c r="BN332" s="1226"/>
      <c r="BO332" s="1226"/>
      <c r="BP332" s="1226"/>
      <c r="BQ332" s="1226"/>
      <c r="BR332" s="1226"/>
      <c r="BS332" s="1226"/>
      <c r="BT332" s="1226"/>
      <c r="BU332" s="1226"/>
      <c r="BV332" s="1226"/>
      <c r="BW332" s="1226"/>
      <c r="BX332" s="1226"/>
      <c r="BY332" s="1226"/>
      <c r="BZ332" s="1226"/>
      <c r="CA332" s="1226"/>
      <c r="CB332" s="1226"/>
      <c r="CC332" s="1226"/>
      <c r="CD332" s="1226"/>
      <c r="CE332" s="1226"/>
      <c r="CF332" s="1226"/>
      <c r="CG332" s="1226"/>
      <c r="CH332" s="1226"/>
      <c r="CI332" s="1226"/>
      <c r="CJ332" s="1226"/>
      <c r="CK332" s="1226"/>
      <c r="CL332" s="1226"/>
      <c r="CM332" s="1226"/>
      <c r="CN332" s="1226"/>
      <c r="CO332" s="1226"/>
      <c r="CP332" s="1226"/>
      <c r="CQ332" s="1226"/>
      <c r="CR332" s="1226"/>
      <c r="CS332" s="1226"/>
      <c r="CT332" s="1226"/>
      <c r="CU332" s="1226"/>
      <c r="CV332" s="1226"/>
      <c r="CW332" s="1226"/>
      <c r="CX332" s="1226"/>
      <c r="CY332" s="1226"/>
      <c r="CZ332" s="1226"/>
      <c r="DA332" s="1226"/>
      <c r="DB332" s="1226"/>
      <c r="DC332" s="1226"/>
      <c r="DD332" s="1226"/>
      <c r="DE332" s="1226"/>
      <c r="DF332" s="1226"/>
      <c r="DG332" s="1226"/>
      <c r="DH332" s="1226"/>
      <c r="DI332" s="1226"/>
      <c r="DJ332" s="1226"/>
      <c r="DK332" s="1226"/>
      <c r="DL332" s="1226"/>
      <c r="DM332" s="1226"/>
      <c r="DN332" s="1226"/>
      <c r="DO332" s="1226"/>
      <c r="DP332" s="1226"/>
      <c r="DQ332" s="1226"/>
    </row>
    <row r="333" spans="1:121" s="1227" customFormat="1" ht="13.5" customHeight="1">
      <c r="A333" s="2376"/>
      <c r="B333" s="1457"/>
      <c r="C333" s="1457"/>
      <c r="D333" s="1228" t="s">
        <v>1964</v>
      </c>
      <c r="E333" s="1457"/>
      <c r="F333" s="1229">
        <v>1</v>
      </c>
      <c r="G333" s="2377"/>
      <c r="H333" s="1220"/>
      <c r="I333" s="1207"/>
      <c r="J333" s="1226"/>
      <c r="K333" s="1226"/>
      <c r="L333" s="1226"/>
      <c r="M333" s="1226"/>
      <c r="N333" s="1226"/>
      <c r="O333" s="1226"/>
      <c r="P333" s="1226"/>
      <c r="Q333" s="1226"/>
      <c r="R333" s="1226"/>
      <c r="S333" s="1226"/>
      <c r="T333" s="1226"/>
      <c r="U333" s="1226"/>
      <c r="V333" s="1226"/>
      <c r="W333" s="1226"/>
      <c r="X333" s="1226"/>
      <c r="Y333" s="1226"/>
      <c r="Z333" s="1226"/>
      <c r="AA333" s="1226"/>
      <c r="AB333" s="1226"/>
      <c r="AC333" s="1226"/>
      <c r="AD333" s="1226"/>
      <c r="AE333" s="1226"/>
      <c r="AF333" s="1226"/>
      <c r="AG333" s="1226"/>
      <c r="AH333" s="1226"/>
      <c r="AI333" s="1226"/>
      <c r="AJ333" s="1226"/>
      <c r="AK333" s="1226"/>
      <c r="AL333" s="1226"/>
      <c r="AM333" s="1226"/>
      <c r="AN333" s="1226"/>
      <c r="AO333" s="1226"/>
      <c r="AP333" s="1226"/>
      <c r="AQ333" s="1226"/>
      <c r="AR333" s="1226"/>
      <c r="AS333" s="1226"/>
      <c r="AT333" s="1226"/>
      <c r="AU333" s="1226"/>
      <c r="AV333" s="1226"/>
      <c r="AW333" s="1226"/>
      <c r="AX333" s="1226"/>
      <c r="AY333" s="1226"/>
      <c r="AZ333" s="1226"/>
      <c r="BA333" s="1226"/>
      <c r="BB333" s="1226"/>
      <c r="BC333" s="1226"/>
      <c r="BD333" s="1226"/>
      <c r="BE333" s="1226"/>
      <c r="BF333" s="1226"/>
      <c r="BG333" s="1226"/>
      <c r="BH333" s="1226"/>
      <c r="BI333" s="1226"/>
      <c r="BJ333" s="1226"/>
      <c r="BK333" s="1226"/>
      <c r="BL333" s="1226"/>
      <c r="BM333" s="1226"/>
      <c r="BN333" s="1226"/>
      <c r="BO333" s="1226"/>
      <c r="BP333" s="1226"/>
      <c r="BQ333" s="1226"/>
      <c r="BR333" s="1226"/>
      <c r="BS333" s="1226"/>
      <c r="BT333" s="1226"/>
      <c r="BU333" s="1226"/>
      <c r="BV333" s="1226"/>
      <c r="BW333" s="1226"/>
      <c r="BX333" s="1226"/>
      <c r="BY333" s="1226"/>
      <c r="BZ333" s="1226"/>
      <c r="CA333" s="1226"/>
      <c r="CB333" s="1226"/>
      <c r="CC333" s="1226"/>
      <c r="CD333" s="1226"/>
      <c r="CE333" s="1226"/>
      <c r="CF333" s="1226"/>
      <c r="CG333" s="1226"/>
      <c r="CH333" s="1226"/>
      <c r="CI333" s="1226"/>
      <c r="CJ333" s="1226"/>
      <c r="CK333" s="1226"/>
      <c r="CL333" s="1226"/>
      <c r="CM333" s="1226"/>
      <c r="CN333" s="1226"/>
      <c r="CO333" s="1226"/>
      <c r="CP333" s="1226"/>
      <c r="CQ333" s="1226"/>
      <c r="CR333" s="1226"/>
      <c r="CS333" s="1226"/>
      <c r="CT333" s="1226"/>
      <c r="CU333" s="1226"/>
      <c r="CV333" s="1226"/>
      <c r="CW333" s="1226"/>
      <c r="CX333" s="1226"/>
      <c r="CY333" s="1226"/>
      <c r="CZ333" s="1226"/>
      <c r="DA333" s="1226"/>
      <c r="DB333" s="1226"/>
      <c r="DC333" s="1226"/>
      <c r="DD333" s="1226"/>
      <c r="DE333" s="1226"/>
      <c r="DF333" s="1226"/>
      <c r="DG333" s="1226"/>
      <c r="DH333" s="1226"/>
      <c r="DI333" s="1226"/>
      <c r="DJ333" s="1226"/>
      <c r="DK333" s="1226"/>
      <c r="DL333" s="1226"/>
      <c r="DM333" s="1226"/>
      <c r="DN333" s="1226"/>
      <c r="DO333" s="1226"/>
      <c r="DP333" s="1226"/>
      <c r="DQ333" s="1226"/>
    </row>
    <row r="334" spans="1:121" s="1191" customFormat="1" ht="13.5" customHeight="1">
      <c r="A334" s="2358" t="s">
        <v>3298</v>
      </c>
      <c r="B334" s="1218">
        <v>741</v>
      </c>
      <c r="C334" s="1244" t="s">
        <v>1965</v>
      </c>
      <c r="D334" s="1218" t="s">
        <v>1966</v>
      </c>
      <c r="E334" s="1232" t="s">
        <v>49</v>
      </c>
      <c r="F334" s="1219">
        <v>1</v>
      </c>
      <c r="G334" s="1220"/>
      <c r="H334" s="2320">
        <f t="shared" ref="H334:H338" si="77">ROUND(F334*G334,2)</f>
        <v>0</v>
      </c>
      <c r="I334" s="1211" t="s">
        <v>111</v>
      </c>
    </row>
    <row r="335" spans="1:121" s="1234" customFormat="1" ht="13.5" customHeight="1">
      <c r="A335" s="1426">
        <v>87</v>
      </c>
      <c r="B335" s="1218">
        <v>741</v>
      </c>
      <c r="C335" s="1244" t="s">
        <v>1967</v>
      </c>
      <c r="D335" s="1233" t="s">
        <v>1968</v>
      </c>
      <c r="E335" s="1233" t="s">
        <v>49</v>
      </c>
      <c r="F335" s="1219">
        <v>1</v>
      </c>
      <c r="G335" s="1220"/>
      <c r="H335" s="2320">
        <f t="shared" si="77"/>
        <v>0</v>
      </c>
      <c r="I335" s="1211" t="s">
        <v>111</v>
      </c>
      <c r="J335" s="1253"/>
      <c r="L335" s="1191"/>
    </row>
    <row r="336" spans="1:121" s="2127" customFormat="1" ht="13.5" customHeight="1">
      <c r="A336" s="2378">
        <v>88</v>
      </c>
      <c r="B336" s="2379">
        <v>741</v>
      </c>
      <c r="C336" s="1218" t="s">
        <v>2168</v>
      </c>
      <c r="D336" s="2380" t="s">
        <v>2167</v>
      </c>
      <c r="E336" s="2380" t="s">
        <v>142</v>
      </c>
      <c r="F336" s="2381">
        <v>90</v>
      </c>
      <c r="G336" s="2382"/>
      <c r="H336" s="2320">
        <f t="shared" si="77"/>
        <v>0</v>
      </c>
      <c r="I336" s="2383" t="s">
        <v>138</v>
      </c>
      <c r="J336" s="1428"/>
      <c r="K336" s="1427"/>
      <c r="L336" s="1427"/>
      <c r="M336" s="1428"/>
      <c r="N336" s="1432"/>
      <c r="O336" s="1456"/>
      <c r="Q336" s="1428"/>
    </row>
    <row r="337" spans="1:97" s="1225" customFormat="1" ht="13.5" customHeight="1">
      <c r="A337" s="1208" t="s">
        <v>3299</v>
      </c>
      <c r="B337" s="1218">
        <v>741</v>
      </c>
      <c r="C337" s="1218">
        <v>998741312</v>
      </c>
      <c r="D337" s="1218" t="s">
        <v>3149</v>
      </c>
      <c r="E337" s="1218" t="s">
        <v>10</v>
      </c>
      <c r="F337" s="1219">
        <v>0.78</v>
      </c>
      <c r="G337" s="1220"/>
      <c r="H337" s="2320">
        <f t="shared" si="77"/>
        <v>0</v>
      </c>
      <c r="I337" s="1221" t="s">
        <v>1927</v>
      </c>
      <c r="J337" s="1222"/>
      <c r="K337" s="1223"/>
      <c r="L337" s="1224"/>
      <c r="M337" s="1224"/>
      <c r="N337" s="1224"/>
      <c r="O337" s="1224"/>
      <c r="P337" s="1224"/>
      <c r="Q337" s="1191"/>
      <c r="R337" s="1191"/>
      <c r="S337" s="1191"/>
      <c r="T337" s="1191"/>
      <c r="U337" s="1191"/>
      <c r="V337" s="1191"/>
      <c r="W337" s="1191"/>
      <c r="X337" s="1191"/>
      <c r="Y337" s="1191"/>
      <c r="Z337" s="1191"/>
      <c r="AA337" s="1191"/>
      <c r="AB337" s="1191"/>
      <c r="AC337" s="1191"/>
      <c r="AD337" s="1191"/>
      <c r="AE337" s="1191"/>
      <c r="AF337" s="1191"/>
      <c r="AG337" s="1191"/>
      <c r="AH337" s="1191"/>
      <c r="AI337" s="1191"/>
      <c r="AJ337" s="1191"/>
      <c r="AK337" s="1191"/>
      <c r="AL337" s="1191"/>
      <c r="AM337" s="1191"/>
      <c r="AN337" s="1191"/>
      <c r="AO337" s="1191"/>
      <c r="AP337" s="1191"/>
      <c r="AQ337" s="1191"/>
      <c r="AR337" s="1191"/>
      <c r="AS337" s="1191"/>
      <c r="AT337" s="1191"/>
      <c r="AU337" s="1191"/>
      <c r="AV337" s="1191"/>
      <c r="AW337" s="1191"/>
      <c r="AX337" s="1191"/>
      <c r="AY337" s="1191"/>
      <c r="AZ337" s="1191"/>
      <c r="BA337" s="1191"/>
      <c r="BB337" s="1191"/>
      <c r="BC337" s="1191"/>
      <c r="BD337" s="1191"/>
      <c r="BE337" s="1191"/>
      <c r="BF337" s="1191"/>
      <c r="BG337" s="1191"/>
      <c r="BH337" s="1191"/>
      <c r="BI337" s="1191"/>
      <c r="BJ337" s="1191"/>
      <c r="BK337" s="1191"/>
      <c r="BL337" s="1191"/>
      <c r="BM337" s="1191"/>
      <c r="BN337" s="1191"/>
      <c r="BO337" s="1191"/>
      <c r="BP337" s="1191"/>
      <c r="BQ337" s="1191"/>
      <c r="BR337" s="1191"/>
      <c r="BS337" s="1191"/>
      <c r="BT337" s="1191"/>
      <c r="BU337" s="1191"/>
      <c r="BV337" s="1191"/>
      <c r="BW337" s="1191"/>
      <c r="BX337" s="1191"/>
      <c r="BY337" s="1191"/>
      <c r="BZ337" s="1191"/>
      <c r="CA337" s="1191"/>
      <c r="CB337" s="1191"/>
      <c r="CC337" s="1191"/>
      <c r="CD337" s="1191"/>
      <c r="CE337" s="1191"/>
      <c r="CF337" s="1191"/>
      <c r="CG337" s="1191"/>
      <c r="CH337" s="1191"/>
      <c r="CI337" s="1191"/>
      <c r="CJ337" s="1191"/>
      <c r="CK337" s="1191"/>
      <c r="CL337" s="1191"/>
      <c r="CM337" s="1191"/>
      <c r="CN337" s="1191"/>
      <c r="CO337" s="1191"/>
      <c r="CP337" s="1191"/>
      <c r="CQ337" s="1191"/>
      <c r="CR337" s="1191"/>
      <c r="CS337" s="1191"/>
    </row>
    <row r="338" spans="1:97" s="1227" customFormat="1" ht="13.5" customHeight="1">
      <c r="A338" s="1208" t="s">
        <v>3300</v>
      </c>
      <c r="B338" s="1218" t="s">
        <v>369</v>
      </c>
      <c r="C338" s="1218" t="s">
        <v>1928</v>
      </c>
      <c r="D338" s="1218" t="s">
        <v>1929</v>
      </c>
      <c r="E338" s="1218" t="s">
        <v>69</v>
      </c>
      <c r="F338" s="1431">
        <f>ROUND(SUM(F339),3)</f>
        <v>20</v>
      </c>
      <c r="G338" s="1220"/>
      <c r="H338" s="2320">
        <f t="shared" si="77"/>
        <v>0</v>
      </c>
      <c r="I338" s="1221" t="s">
        <v>1927</v>
      </c>
      <c r="J338" s="1197"/>
      <c r="K338" s="1224"/>
      <c r="L338" s="1224"/>
      <c r="M338" s="1224"/>
      <c r="N338" s="1224"/>
      <c r="O338" s="1224"/>
      <c r="P338" s="1224"/>
      <c r="Q338" s="1226"/>
      <c r="R338" s="1226"/>
      <c r="S338" s="1226"/>
      <c r="T338" s="1226"/>
      <c r="U338" s="1226"/>
      <c r="V338" s="1226"/>
      <c r="W338" s="1226"/>
      <c r="X338" s="1226"/>
      <c r="Y338" s="1226"/>
      <c r="Z338" s="1226"/>
      <c r="AA338" s="1226"/>
      <c r="AB338" s="1226"/>
      <c r="AC338" s="1226"/>
      <c r="AD338" s="1226"/>
      <c r="AE338" s="1226"/>
      <c r="AF338" s="1226"/>
      <c r="AG338" s="1226"/>
      <c r="AH338" s="1226"/>
      <c r="AI338" s="1226"/>
      <c r="AJ338" s="1226"/>
      <c r="AK338" s="1226"/>
      <c r="AL338" s="1226"/>
      <c r="AM338" s="1226"/>
      <c r="AN338" s="1226"/>
      <c r="AO338" s="1226"/>
      <c r="AP338" s="1226"/>
      <c r="AQ338" s="1226"/>
      <c r="AR338" s="1226"/>
      <c r="AS338" s="1226"/>
      <c r="AT338" s="1226"/>
      <c r="AU338" s="1226"/>
      <c r="AV338" s="1226"/>
      <c r="AW338" s="1226"/>
      <c r="AX338" s="1226"/>
      <c r="AY338" s="1226"/>
      <c r="AZ338" s="1226"/>
      <c r="BA338" s="1226"/>
      <c r="BB338" s="1226"/>
      <c r="BC338" s="1226"/>
      <c r="BD338" s="1226"/>
      <c r="BE338" s="1226"/>
      <c r="BF338" s="1226"/>
      <c r="BG338" s="1226"/>
      <c r="BH338" s="1226"/>
      <c r="BI338" s="1226"/>
      <c r="BJ338" s="1226"/>
      <c r="BK338" s="1226"/>
      <c r="BL338" s="1226"/>
      <c r="BM338" s="1226"/>
      <c r="BN338" s="1226"/>
      <c r="BO338" s="1226"/>
      <c r="BP338" s="1226"/>
      <c r="BQ338" s="1226"/>
      <c r="BR338" s="1226"/>
      <c r="BS338" s="1226"/>
      <c r="BT338" s="1226"/>
      <c r="BU338" s="1226"/>
      <c r="BV338" s="1226"/>
      <c r="BW338" s="1226"/>
      <c r="BX338" s="1226"/>
      <c r="BY338" s="1226"/>
      <c r="BZ338" s="1226"/>
      <c r="CA338" s="1226"/>
      <c r="CB338" s="1226"/>
      <c r="CC338" s="1226"/>
      <c r="CD338" s="1226"/>
      <c r="CE338" s="1226"/>
      <c r="CF338" s="1226"/>
      <c r="CG338" s="1226"/>
      <c r="CH338" s="1226"/>
      <c r="CI338" s="1226"/>
      <c r="CJ338" s="1226"/>
      <c r="CK338" s="1226"/>
      <c r="CL338" s="1226"/>
      <c r="CM338" s="1226"/>
      <c r="CN338" s="1226"/>
      <c r="CO338" s="1226"/>
      <c r="CP338" s="1226"/>
      <c r="CQ338" s="1226"/>
      <c r="CR338" s="1226"/>
      <c r="CS338" s="1226"/>
    </row>
    <row r="339" spans="1:97" s="1227" customFormat="1" ht="13.5" customHeight="1">
      <c r="A339" s="1208"/>
      <c r="B339" s="1218"/>
      <c r="C339" s="1218"/>
      <c r="D339" s="1228" t="s">
        <v>1930</v>
      </c>
      <c r="E339" s="1218"/>
      <c r="F339" s="1229">
        <v>20</v>
      </c>
      <c r="G339" s="1220"/>
      <c r="H339" s="1220"/>
      <c r="I339" s="1221"/>
      <c r="J339" s="1226"/>
      <c r="K339" s="1224"/>
      <c r="L339" s="1224"/>
      <c r="M339" s="1224"/>
      <c r="N339" s="1224"/>
      <c r="O339" s="1224"/>
      <c r="P339" s="1224"/>
      <c r="Q339" s="1226"/>
      <c r="R339" s="1226"/>
      <c r="S339" s="1226"/>
      <c r="T339" s="1226"/>
      <c r="U339" s="1226"/>
      <c r="V339" s="1226"/>
      <c r="W339" s="1226"/>
      <c r="X339" s="1226"/>
      <c r="Y339" s="1226"/>
      <c r="Z339" s="1226"/>
      <c r="AA339" s="1226"/>
      <c r="AB339" s="1226"/>
      <c r="AC339" s="1226"/>
      <c r="AD339" s="1226"/>
      <c r="AE339" s="1226"/>
      <c r="AF339" s="1226"/>
      <c r="AG339" s="1226"/>
      <c r="AH339" s="1226"/>
      <c r="AI339" s="1226"/>
      <c r="AJ339" s="1226"/>
      <c r="AK339" s="1226"/>
      <c r="AL339" s="1226"/>
      <c r="AM339" s="1226"/>
      <c r="AN339" s="1226"/>
      <c r="AO339" s="1226"/>
      <c r="AP339" s="1226"/>
      <c r="AQ339" s="1226"/>
      <c r="AR339" s="1226"/>
      <c r="AS339" s="1226"/>
      <c r="AT339" s="1226"/>
      <c r="AU339" s="1226"/>
      <c r="AV339" s="1226"/>
      <c r="AW339" s="1226"/>
      <c r="AX339" s="1226"/>
      <c r="AY339" s="1226"/>
      <c r="AZ339" s="1226"/>
      <c r="BA339" s="1226"/>
      <c r="BB339" s="1226"/>
      <c r="BC339" s="1226"/>
      <c r="BD339" s="1226"/>
      <c r="BE339" s="1226"/>
      <c r="BF339" s="1226"/>
      <c r="BG339" s="1226"/>
      <c r="BH339" s="1226"/>
      <c r="BI339" s="1226"/>
      <c r="BJ339" s="1226"/>
      <c r="BK339" s="1226"/>
      <c r="BL339" s="1226"/>
      <c r="BM339" s="1226"/>
      <c r="BN339" s="1226"/>
      <c r="BO339" s="1226"/>
      <c r="BP339" s="1226"/>
      <c r="BQ339" s="1226"/>
      <c r="BR339" s="1226"/>
      <c r="BS339" s="1226"/>
      <c r="BT339" s="1226"/>
      <c r="BU339" s="1226"/>
      <c r="BV339" s="1226"/>
      <c r="BW339" s="1226"/>
      <c r="BX339" s="1226"/>
      <c r="BY339" s="1226"/>
      <c r="BZ339" s="1226"/>
      <c r="CA339" s="1226"/>
      <c r="CB339" s="1226"/>
      <c r="CC339" s="1226"/>
      <c r="CD339" s="1226"/>
      <c r="CE339" s="1226"/>
      <c r="CF339" s="1226"/>
      <c r="CG339" s="1226"/>
      <c r="CH339" s="1226"/>
      <c r="CI339" s="1226"/>
      <c r="CJ339" s="1226"/>
      <c r="CK339" s="1226"/>
      <c r="CL339" s="1226"/>
      <c r="CM339" s="1226"/>
      <c r="CN339" s="1226"/>
      <c r="CO339" s="1226"/>
      <c r="CP339" s="1226"/>
      <c r="CQ339" s="1226"/>
      <c r="CR339" s="1226"/>
      <c r="CS339" s="1226"/>
    </row>
    <row r="340" spans="1:97" s="1227" customFormat="1" ht="27" customHeight="1">
      <c r="A340" s="1208"/>
      <c r="B340" s="1218"/>
      <c r="C340" s="1218"/>
      <c r="D340" s="1228" t="s">
        <v>1931</v>
      </c>
      <c r="E340" s="1218"/>
      <c r="F340" s="1219"/>
      <c r="G340" s="1220"/>
      <c r="H340" s="1220"/>
      <c r="I340" s="1221"/>
      <c r="J340" s="1226"/>
      <c r="K340" s="1224"/>
      <c r="L340" s="1224"/>
      <c r="M340" s="1224"/>
      <c r="N340" s="1230"/>
      <c r="O340" s="1224"/>
      <c r="P340" s="1224"/>
      <c r="Q340" s="1226"/>
      <c r="R340" s="1226"/>
      <c r="S340" s="1226"/>
      <c r="T340" s="1226"/>
      <c r="U340" s="1226"/>
      <c r="V340" s="1226"/>
      <c r="W340" s="1226"/>
      <c r="X340" s="1226"/>
      <c r="Y340" s="1226"/>
      <c r="Z340" s="1226"/>
      <c r="AA340" s="1226"/>
      <c r="AB340" s="1226"/>
      <c r="AC340" s="1226"/>
      <c r="AD340" s="1226"/>
      <c r="AE340" s="1226"/>
      <c r="AF340" s="1226"/>
      <c r="AG340" s="1226"/>
      <c r="AH340" s="1226"/>
      <c r="AI340" s="1226"/>
      <c r="AJ340" s="1226"/>
      <c r="AK340" s="1226"/>
      <c r="AL340" s="1226"/>
      <c r="AM340" s="1226"/>
      <c r="AN340" s="1226"/>
      <c r="AO340" s="1226"/>
      <c r="AP340" s="1226"/>
      <c r="AQ340" s="1226"/>
      <c r="AR340" s="1226"/>
      <c r="AS340" s="1226"/>
      <c r="AT340" s="1226"/>
      <c r="AU340" s="1226"/>
      <c r="AV340" s="1226"/>
      <c r="AW340" s="1226"/>
      <c r="AX340" s="1226"/>
      <c r="AY340" s="1226"/>
      <c r="AZ340" s="1226"/>
      <c r="BA340" s="1226"/>
      <c r="BB340" s="1226"/>
      <c r="BC340" s="1226"/>
      <c r="BD340" s="1226"/>
      <c r="BE340" s="1226"/>
      <c r="BF340" s="1226"/>
      <c r="BG340" s="1226"/>
      <c r="BH340" s="1226"/>
      <c r="BI340" s="1226"/>
      <c r="BJ340" s="1226"/>
      <c r="BK340" s="1226"/>
      <c r="BL340" s="1226"/>
      <c r="BM340" s="1226"/>
      <c r="BN340" s="1226"/>
      <c r="BO340" s="1226"/>
      <c r="BP340" s="1226"/>
      <c r="BQ340" s="1226"/>
      <c r="BR340" s="1226"/>
      <c r="BS340" s="1226"/>
      <c r="BT340" s="1226"/>
      <c r="BU340" s="1226"/>
      <c r="BV340" s="1226"/>
      <c r="BW340" s="1226"/>
      <c r="BX340" s="1226"/>
      <c r="BY340" s="1226"/>
      <c r="BZ340" s="1226"/>
      <c r="CA340" s="1226"/>
      <c r="CB340" s="1226"/>
      <c r="CC340" s="1226"/>
      <c r="CD340" s="1226"/>
      <c r="CE340" s="1226"/>
      <c r="CF340" s="1226"/>
      <c r="CG340" s="1226"/>
      <c r="CH340" s="1226"/>
      <c r="CI340" s="1226"/>
      <c r="CJ340" s="1226"/>
      <c r="CK340" s="1226"/>
      <c r="CL340" s="1226"/>
      <c r="CM340" s="1226"/>
      <c r="CN340" s="1226"/>
      <c r="CO340" s="1226"/>
      <c r="CP340" s="1226"/>
      <c r="CQ340" s="1226"/>
      <c r="CR340" s="1226"/>
      <c r="CS340" s="1226"/>
    </row>
    <row r="341" spans="1:97" s="1259" customFormat="1" ht="21" customHeight="1">
      <c r="A341" s="1254"/>
      <c r="B341" s="1255"/>
      <c r="C341" s="1255"/>
      <c r="D341" s="1255" t="s">
        <v>0</v>
      </c>
      <c r="E341" s="1255"/>
      <c r="F341" s="1256"/>
      <c r="G341" s="1257"/>
      <c r="H341" s="1258">
        <f>H7</f>
        <v>0</v>
      </c>
      <c r="I341" s="1225"/>
    </row>
    <row r="342" spans="1:97" s="1259" customFormat="1" ht="13.5" customHeight="1">
      <c r="A342" s="1254"/>
      <c r="B342" s="1255"/>
      <c r="C342" s="1255"/>
      <c r="D342" s="1255"/>
      <c r="E342" s="1255"/>
      <c r="F342" s="1256"/>
      <c r="G342" s="1257"/>
      <c r="H342" s="1260"/>
      <c r="I342" s="1225"/>
    </row>
    <row r="343" spans="1:97" s="1268" customFormat="1" ht="13.5" customHeight="1">
      <c r="A343" s="3076" t="s">
        <v>875</v>
      </c>
      <c r="B343" s="3077"/>
      <c r="C343" s="3078"/>
      <c r="D343" s="1261" t="s">
        <v>1424</v>
      </c>
      <c r="E343" s="1262"/>
      <c r="F343" s="1263"/>
      <c r="G343" s="1264"/>
      <c r="H343" s="1265">
        <f>H341</f>
        <v>0</v>
      </c>
      <c r="I343" s="1266"/>
      <c r="J343" s="1267"/>
      <c r="K343" s="1267"/>
      <c r="L343" s="1267"/>
      <c r="M343" s="1267"/>
      <c r="N343" s="1267"/>
      <c r="O343" s="1267"/>
      <c r="P343" s="1267"/>
      <c r="Q343" s="1267"/>
      <c r="R343" s="1267"/>
      <c r="S343" s="1267"/>
      <c r="T343" s="1267"/>
      <c r="U343" s="1267"/>
      <c r="V343" s="1267"/>
      <c r="W343" s="1267"/>
      <c r="X343" s="1267"/>
      <c r="Y343" s="1267"/>
      <c r="Z343" s="1267"/>
      <c r="AA343" s="1267"/>
      <c r="AB343" s="1267"/>
      <c r="AC343" s="1267"/>
      <c r="AD343" s="1267"/>
      <c r="AE343" s="1267"/>
      <c r="AF343" s="1267"/>
      <c r="AG343" s="1267"/>
      <c r="AH343" s="1267"/>
      <c r="AI343" s="1267"/>
      <c r="AJ343" s="1267"/>
      <c r="AK343" s="1267"/>
      <c r="AL343" s="1267"/>
      <c r="AM343" s="1267"/>
      <c r="AN343" s="1267"/>
      <c r="AO343" s="1267"/>
      <c r="AP343" s="1267"/>
      <c r="AQ343" s="1267"/>
      <c r="AR343" s="1267"/>
      <c r="AS343" s="1267"/>
      <c r="AT343" s="1267"/>
      <c r="AU343" s="1267"/>
      <c r="AV343" s="1267"/>
      <c r="AW343" s="1267"/>
      <c r="AX343" s="1267"/>
      <c r="AY343" s="1267"/>
      <c r="AZ343" s="1267"/>
      <c r="BA343" s="1267"/>
      <c r="BB343" s="1267"/>
      <c r="BC343" s="1267"/>
      <c r="BD343" s="1267"/>
    </row>
    <row r="344" spans="1:97" s="1191" customFormat="1" ht="14.25" customHeight="1">
      <c r="A344" s="129"/>
      <c r="B344" s="130"/>
      <c r="C344" s="129"/>
      <c r="D344" s="129"/>
      <c r="E344" s="129"/>
      <c r="F344" s="1269"/>
      <c r="G344" s="129"/>
      <c r="H344" s="1270"/>
      <c r="I344" s="507"/>
    </row>
    <row r="345" spans="1:97" s="1191" customFormat="1" ht="14.25" customHeight="1">
      <c r="A345" s="129" t="s">
        <v>1</v>
      </c>
      <c r="B345" s="130"/>
      <c r="C345" s="129"/>
      <c r="D345" s="129"/>
      <c r="E345" s="129"/>
      <c r="F345" s="129"/>
      <c r="G345" s="129"/>
      <c r="H345" s="129"/>
      <c r="I345" s="1271"/>
    </row>
    <row r="346" spans="1:97" s="1191" customFormat="1" ht="27" customHeight="1">
      <c r="A346" s="3018" t="s">
        <v>1969</v>
      </c>
      <c r="B346" s="3018"/>
      <c r="C346" s="3018"/>
      <c r="D346" s="3018"/>
      <c r="E346" s="3018"/>
      <c r="F346" s="3018"/>
      <c r="G346" s="3018"/>
      <c r="H346" s="129"/>
      <c r="I346" s="1270"/>
    </row>
    <row r="347" spans="1:97" s="1191" customFormat="1" ht="107.25" customHeight="1">
      <c r="A347" s="3018" t="s">
        <v>104</v>
      </c>
      <c r="B347" s="3018"/>
      <c r="C347" s="3018"/>
      <c r="D347" s="3018"/>
      <c r="E347" s="3018"/>
      <c r="F347" s="3018"/>
      <c r="G347" s="3018"/>
      <c r="H347" s="129"/>
      <c r="I347" s="129"/>
    </row>
    <row r="348" spans="1:97" s="1191" customFormat="1" ht="13.5" customHeight="1">
      <c r="A348" s="3018" t="s">
        <v>105</v>
      </c>
      <c r="B348" s="3018"/>
      <c r="C348" s="3018"/>
      <c r="D348" s="3018"/>
      <c r="E348" s="3018"/>
      <c r="F348" s="3018"/>
      <c r="G348" s="3018"/>
      <c r="H348" s="507"/>
      <c r="I348" s="507"/>
    </row>
    <row r="349" spans="1:97" s="1191" customFormat="1" ht="13.5" customHeight="1">
      <c r="A349" s="3018" t="s">
        <v>106</v>
      </c>
      <c r="B349" s="3018"/>
      <c r="C349" s="3018"/>
      <c r="D349" s="3018"/>
      <c r="E349" s="3018"/>
      <c r="F349" s="3018"/>
      <c r="G349" s="3018"/>
      <c r="H349" s="507"/>
      <c r="I349" s="507"/>
    </row>
    <row r="350" spans="1:97" s="1259" customFormat="1" ht="40.5" customHeight="1">
      <c r="A350" s="3057" t="s">
        <v>878</v>
      </c>
      <c r="B350" s="3057"/>
      <c r="C350" s="3057"/>
      <c r="D350" s="3057"/>
      <c r="E350" s="3057"/>
      <c r="F350" s="3057"/>
      <c r="G350" s="3057"/>
      <c r="I350" s="2266"/>
    </row>
    <row r="351" spans="1:97" s="2386" customFormat="1" ht="94.5" customHeight="1">
      <c r="A351" s="3057" t="s">
        <v>1026</v>
      </c>
      <c r="B351" s="3057"/>
      <c r="C351" s="3057"/>
      <c r="D351" s="3057"/>
      <c r="E351" s="3057"/>
      <c r="F351" s="3057"/>
      <c r="G351" s="3057"/>
      <c r="H351" s="2384"/>
      <c r="I351" s="2385"/>
    </row>
    <row r="352" spans="1:97" s="1191" customFormat="1" ht="14.25" customHeight="1">
      <c r="A352" s="1272"/>
      <c r="B352" s="1273"/>
      <c r="C352" s="1273"/>
      <c r="D352" s="1274"/>
      <c r="E352" s="1275"/>
      <c r="F352" s="1276"/>
      <c r="G352" s="1270"/>
      <c r="H352" s="1270"/>
    </row>
    <row r="353" spans="1:9" s="1191" customFormat="1" ht="14.25" customHeight="1">
      <c r="A353" s="1272"/>
      <c r="B353" s="1273"/>
      <c r="C353" s="1273"/>
      <c r="D353" s="1277"/>
      <c r="E353" s="1275"/>
      <c r="F353" s="1276"/>
    </row>
    <row r="354" spans="1:9" s="1191" customFormat="1" ht="14.25" customHeight="1">
      <c r="A354"/>
      <c r="B354" s="1278"/>
      <c r="C354"/>
      <c r="D354"/>
      <c r="E354"/>
      <c r="F354" s="1279"/>
      <c r="G354"/>
      <c r="H354"/>
      <c r="I354"/>
    </row>
    <row r="355" spans="1:9" s="1191" customFormat="1" ht="14.25" customHeight="1">
      <c r="A355"/>
      <c r="B355" s="1278"/>
      <c r="C355"/>
      <c r="D355"/>
      <c r="E355"/>
      <c r="F355" s="1279"/>
      <c r="G355"/>
      <c r="H355"/>
      <c r="I355"/>
    </row>
    <row r="356" spans="1:9" s="1191" customFormat="1" ht="14.25" customHeight="1">
      <c r="A356"/>
      <c r="B356" s="1278"/>
      <c r="C356"/>
      <c r="D356"/>
      <c r="E356"/>
      <c r="F356" s="1279"/>
      <c r="G356"/>
      <c r="H356"/>
      <c r="I356"/>
    </row>
    <row r="357" spans="1:9" s="1191" customFormat="1" ht="15" customHeight="1">
      <c r="A357"/>
      <c r="B357" s="1278"/>
      <c r="C357"/>
      <c r="D357"/>
      <c r="E357"/>
      <c r="F357" s="1279"/>
      <c r="G357"/>
      <c r="H357"/>
      <c r="I357"/>
    </row>
    <row r="358" spans="1:9" s="1191" customFormat="1" ht="15" customHeight="1">
      <c r="A358"/>
      <c r="B358" s="1278"/>
      <c r="C358"/>
      <c r="D358"/>
      <c r="E358"/>
      <c r="F358" s="1279"/>
      <c r="G358"/>
      <c r="H358"/>
      <c r="I358"/>
    </row>
    <row r="359" spans="1:9" ht="13.5" customHeight="1"/>
    <row r="360" spans="1:9" s="1191" customFormat="1" ht="13.5" customHeight="1">
      <c r="A360"/>
      <c r="B360" s="1278"/>
      <c r="C360"/>
      <c r="D360"/>
      <c r="E360"/>
      <c r="F360" s="1279"/>
      <c r="G360"/>
      <c r="H360"/>
      <c r="I360"/>
    </row>
    <row r="361" spans="1:9" s="129" customFormat="1" ht="11.25">
      <c r="A361"/>
      <c r="B361" s="1278"/>
      <c r="C361"/>
      <c r="D361"/>
      <c r="E361"/>
      <c r="F361" s="1279"/>
      <c r="G361"/>
      <c r="H361"/>
      <c r="I361"/>
    </row>
    <row r="362" spans="1:9" s="129" customFormat="1" ht="12" customHeight="1">
      <c r="A362"/>
      <c r="B362" s="1278"/>
      <c r="C362"/>
      <c r="D362"/>
      <c r="E362"/>
      <c r="F362" s="1279"/>
      <c r="G362"/>
      <c r="H362"/>
      <c r="I362"/>
    </row>
    <row r="363" spans="1:9" s="129" customFormat="1" ht="15" customHeight="1">
      <c r="A363"/>
      <c r="B363" s="1278"/>
      <c r="C363"/>
      <c r="D363"/>
      <c r="E363"/>
      <c r="F363" s="1279"/>
      <c r="G363"/>
      <c r="H363"/>
      <c r="I363"/>
    </row>
    <row r="364" spans="1:9" s="1191" customFormat="1" ht="13.5" customHeight="1">
      <c r="A364"/>
      <c r="B364" s="1278"/>
      <c r="C364"/>
      <c r="D364"/>
      <c r="E364"/>
      <c r="F364" s="1279"/>
      <c r="G364"/>
      <c r="H364"/>
      <c r="I364"/>
    </row>
    <row r="365" spans="1:9" s="1191" customFormat="1" ht="13.5" customHeight="1">
      <c r="A365"/>
      <c r="B365" s="1278"/>
      <c r="C365"/>
      <c r="D365"/>
      <c r="E365"/>
      <c r="F365" s="1279"/>
      <c r="G365"/>
      <c r="H365"/>
      <c r="I365"/>
    </row>
    <row r="366" spans="1:9" s="1191" customFormat="1" ht="13.5" customHeight="1">
      <c r="A366"/>
      <c r="B366" s="1278"/>
      <c r="C366"/>
      <c r="D366"/>
      <c r="E366"/>
      <c r="F366" s="1279"/>
      <c r="G366"/>
      <c r="H366"/>
      <c r="I366"/>
    </row>
    <row r="367" spans="1:9" s="1191" customFormat="1" ht="13.5" customHeight="1">
      <c r="A367"/>
      <c r="B367" s="1278"/>
      <c r="C367"/>
      <c r="D367"/>
      <c r="E367"/>
      <c r="F367" s="1279"/>
      <c r="G367"/>
      <c r="H367"/>
      <c r="I367"/>
    </row>
    <row r="372" ht="11.25" customHeight="1"/>
    <row r="381" ht="27.75" customHeight="1"/>
  </sheetData>
  <mergeCells count="8">
    <mergeCell ref="A350:G350"/>
    <mergeCell ref="A351:G351"/>
    <mergeCell ref="A2:I2"/>
    <mergeCell ref="A343:C343"/>
    <mergeCell ref="A346:G346"/>
    <mergeCell ref="A347:G347"/>
    <mergeCell ref="A348:G348"/>
    <mergeCell ref="A349:G349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68" fitToHeight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74F9-8A1C-40B1-BC03-519E1F53EFE4}">
  <sheetPr>
    <tabColor rgb="FFFF66FF"/>
    <pageSetUpPr fitToPage="1"/>
  </sheetPr>
  <dimension ref="A1:IV300"/>
  <sheetViews>
    <sheetView zoomScaleNormal="100" workbookViewId="0"/>
  </sheetViews>
  <sheetFormatPr defaultRowHeight="10.5"/>
  <cols>
    <col min="1" max="1" width="4.83203125" customWidth="1"/>
    <col min="2" max="2" width="4.83203125" style="1278" customWidth="1"/>
    <col min="3" max="3" width="16.83203125" customWidth="1"/>
    <col min="4" max="4" width="75.83203125" customWidth="1"/>
    <col min="5" max="5" width="7.83203125" customWidth="1"/>
    <col min="6" max="6" width="11.83203125" style="1468" customWidth="1"/>
    <col min="7" max="7" width="14.33203125" style="1422" customWidth="1"/>
    <col min="8" max="8" width="18.33203125" style="1422" customWidth="1"/>
    <col min="9" max="9" width="19.83203125" customWidth="1"/>
    <col min="10" max="10" width="21" customWidth="1"/>
    <col min="11" max="11" width="12.6640625" customWidth="1"/>
    <col min="12" max="12" width="20" customWidth="1"/>
    <col min="14" max="14" width="13.33203125" customWidth="1"/>
    <col min="15" max="15" width="11.83203125" customWidth="1"/>
    <col min="16" max="16" width="12.5" customWidth="1"/>
    <col min="17" max="17" width="11" customWidth="1"/>
    <col min="21" max="21" width="12.33203125" customWidth="1"/>
  </cols>
  <sheetData>
    <row r="1" spans="1:20" s="510" customFormat="1" ht="20.25" customHeight="1">
      <c r="A1" s="133" t="s">
        <v>2956</v>
      </c>
      <c r="B1" s="2059"/>
      <c r="C1" s="509"/>
      <c r="D1" s="509"/>
      <c r="F1" s="2060"/>
      <c r="G1" s="1187"/>
      <c r="H1" s="1187"/>
      <c r="I1" s="1187"/>
    </row>
    <row r="2" spans="1:20" s="1259" customFormat="1" ht="13.5" customHeight="1">
      <c r="A2" s="3082" t="s">
        <v>116</v>
      </c>
      <c r="B2" s="3083"/>
      <c r="C2" s="3083"/>
      <c r="D2" s="3083"/>
      <c r="E2" s="3083"/>
      <c r="F2" s="3083"/>
      <c r="G2" s="3083"/>
      <c r="H2" s="3083"/>
      <c r="I2" s="3083"/>
      <c r="J2" s="2061"/>
    </row>
    <row r="3" spans="1:20" s="1259" customFormat="1" ht="13.5" customHeight="1">
      <c r="A3" s="3059" t="s">
        <v>2117</v>
      </c>
      <c r="B3" s="3059"/>
      <c r="C3" s="3059"/>
      <c r="D3" s="3059"/>
      <c r="E3" s="3059"/>
      <c r="F3" s="3059"/>
      <c r="G3" s="3059"/>
      <c r="H3" s="3059"/>
      <c r="I3" s="3059"/>
    </row>
    <row r="5" spans="1:20" s="510" customFormat="1" ht="13.5" customHeight="1">
      <c r="A5" s="1188"/>
      <c r="B5" s="1189"/>
      <c r="C5" s="1189"/>
      <c r="D5" s="1189"/>
      <c r="E5" s="1189"/>
      <c r="F5" s="1416"/>
      <c r="G5" s="1417"/>
      <c r="H5" s="1418"/>
      <c r="I5" s="1191"/>
      <c r="K5" s="1191"/>
      <c r="L5" s="1191"/>
      <c r="M5" s="1191"/>
      <c r="N5" s="1191"/>
      <c r="O5" s="1192"/>
    </row>
    <row r="6" spans="1:20" ht="24.75" customHeight="1">
      <c r="A6" s="1193" t="s">
        <v>119</v>
      </c>
      <c r="B6" s="1194" t="s">
        <v>120</v>
      </c>
      <c r="C6" s="1193" t="s">
        <v>121</v>
      </c>
      <c r="D6" s="1193" t="s">
        <v>1924</v>
      </c>
      <c r="E6" s="1193" t="s">
        <v>123</v>
      </c>
      <c r="F6" s="1419" t="s">
        <v>124</v>
      </c>
      <c r="G6" s="1420" t="s">
        <v>125</v>
      </c>
      <c r="H6" s="1420" t="s">
        <v>2</v>
      </c>
      <c r="I6" s="1193" t="s">
        <v>46</v>
      </c>
      <c r="J6" s="1566"/>
      <c r="L6" s="1422"/>
    </row>
    <row r="7" spans="1:20" ht="12.75" customHeight="1">
      <c r="A7" s="1193" t="s">
        <v>126</v>
      </c>
      <c r="B7" s="1194" t="s">
        <v>127</v>
      </c>
      <c r="C7" s="1193" t="s">
        <v>128</v>
      </c>
      <c r="D7" s="1193" t="s">
        <v>129</v>
      </c>
      <c r="E7" s="1193" t="s">
        <v>130</v>
      </c>
      <c r="F7" s="1419" t="s">
        <v>131</v>
      </c>
      <c r="G7" s="1420" t="s">
        <v>132</v>
      </c>
      <c r="H7" s="1193">
        <v>8</v>
      </c>
      <c r="I7" s="1193">
        <v>9</v>
      </c>
    </row>
    <row r="8" spans="1:20" s="1191" customFormat="1" ht="21" customHeight="1">
      <c r="A8" s="1423"/>
      <c r="B8" s="1199"/>
      <c r="C8" s="1200" t="s">
        <v>373</v>
      </c>
      <c r="D8" s="1201" t="s">
        <v>374</v>
      </c>
      <c r="E8" s="1200"/>
      <c r="F8" s="1424"/>
      <c r="G8" s="1425"/>
      <c r="H8" s="1425">
        <f>H9+H41+H78+H118+H144+H171+H194+H218+H245</f>
        <v>0</v>
      </c>
    </row>
    <row r="9" spans="1:20" s="1234" customFormat="1" ht="13.5" customHeight="1">
      <c r="A9" s="2062"/>
      <c r="B9" s="2063"/>
      <c r="C9" s="2063">
        <v>742</v>
      </c>
      <c r="D9" s="2063" t="s">
        <v>2957</v>
      </c>
      <c r="E9" s="2063"/>
      <c r="F9" s="2064"/>
      <c r="G9" s="2065"/>
      <c r="H9" s="2066">
        <f>SUM(H10:H40)</f>
        <v>0</v>
      </c>
      <c r="I9" s="2067"/>
      <c r="K9" s="1238"/>
      <c r="L9" s="1238"/>
      <c r="M9" s="1238"/>
      <c r="N9" s="1238"/>
      <c r="O9" s="1238"/>
      <c r="P9" s="1238"/>
    </row>
    <row r="10" spans="1:20" s="1191" customFormat="1" ht="13.5" customHeight="1">
      <c r="A10" s="2068">
        <v>1</v>
      </c>
      <c r="B10" s="2069" t="s">
        <v>2958</v>
      </c>
      <c r="C10" s="2069" t="s">
        <v>2118</v>
      </c>
      <c r="D10" s="2069" t="s">
        <v>2959</v>
      </c>
      <c r="E10" s="2069" t="s">
        <v>210</v>
      </c>
      <c r="F10" s="2070">
        <f>ROUND(SUM(F12),3)</f>
        <v>1</v>
      </c>
      <c r="G10" s="2071"/>
      <c r="H10" s="2072">
        <f t="shared" ref="H10" si="0">ROUND(F10*G10,2)</f>
        <v>0</v>
      </c>
      <c r="I10" s="2073" t="s">
        <v>111</v>
      </c>
      <c r="J10" s="1234"/>
      <c r="K10" s="1238"/>
      <c r="L10" s="1238"/>
      <c r="M10" s="1238"/>
      <c r="N10" s="1238"/>
      <c r="O10" s="1238"/>
      <c r="P10" s="1238"/>
      <c r="Q10" s="1234"/>
      <c r="R10" s="1234"/>
    </row>
    <row r="11" spans="1:20" s="1191" customFormat="1" ht="13.5" customHeight="1">
      <c r="A11" s="2074"/>
      <c r="B11" s="2075"/>
      <c r="C11" s="2076"/>
      <c r="D11" s="2077" t="s">
        <v>2960</v>
      </c>
      <c r="E11" s="2076"/>
      <c r="F11" s="2078"/>
      <c r="G11" s="2079"/>
      <c r="H11" s="2079"/>
      <c r="I11" s="2080"/>
      <c r="J11" s="1527"/>
      <c r="R11" s="1489"/>
    </row>
    <row r="12" spans="1:20" s="1191" customFormat="1" ht="13.5" customHeight="1">
      <c r="A12" s="2074"/>
      <c r="B12" s="2075"/>
      <c r="C12" s="2076"/>
      <c r="D12" s="2077" t="s">
        <v>1235</v>
      </c>
      <c r="E12" s="2076"/>
      <c r="F12" s="2078">
        <v>1</v>
      </c>
      <c r="G12" s="2079"/>
      <c r="H12" s="2079"/>
      <c r="I12" s="2080"/>
      <c r="J12" s="1527"/>
    </row>
    <row r="13" spans="1:20" s="1191" customFormat="1" ht="27" customHeight="1">
      <c r="A13" s="2074"/>
      <c r="B13" s="2075"/>
      <c r="C13" s="2076"/>
      <c r="D13" s="2077" t="s">
        <v>2961</v>
      </c>
      <c r="E13" s="2076"/>
      <c r="F13" s="2078"/>
      <c r="G13" s="2079"/>
      <c r="H13" s="2079"/>
      <c r="I13" s="2080"/>
      <c r="J13" s="1527"/>
    </row>
    <row r="14" spans="1:20" s="1191" customFormat="1" ht="13.5" customHeight="1">
      <c r="A14" s="2081">
        <v>2</v>
      </c>
      <c r="B14" s="2082" t="s">
        <v>2958</v>
      </c>
      <c r="C14" s="2082" t="s">
        <v>2962</v>
      </c>
      <c r="D14" s="2082" t="s">
        <v>2963</v>
      </c>
      <c r="E14" s="2082" t="s">
        <v>210</v>
      </c>
      <c r="F14" s="2083">
        <f>ROUND(SUM(F16:F18),3)</f>
        <v>97</v>
      </c>
      <c r="G14" s="2079"/>
      <c r="H14" s="2084">
        <f t="shared" ref="H14" si="1">ROUND(F14*G14,2)</f>
        <v>0</v>
      </c>
      <c r="I14" s="2085" t="s">
        <v>111</v>
      </c>
      <c r="J14" s="2086"/>
      <c r="M14" s="1234"/>
      <c r="N14" s="1234"/>
      <c r="O14" s="1578"/>
      <c r="P14" s="1234"/>
      <c r="Q14" s="1234"/>
      <c r="R14" s="1489"/>
      <c r="S14" s="2087"/>
      <c r="T14" s="1234"/>
    </row>
    <row r="15" spans="1:20" s="1191" customFormat="1" ht="13.5" customHeight="1">
      <c r="A15" s="2074"/>
      <c r="B15" s="2075"/>
      <c r="C15" s="2076"/>
      <c r="D15" s="2077" t="s">
        <v>2964</v>
      </c>
      <c r="E15" s="2076"/>
      <c r="F15" s="2078"/>
      <c r="G15" s="2079"/>
      <c r="H15" s="2079"/>
      <c r="I15" s="2080"/>
      <c r="J15" s="2086"/>
      <c r="R15" s="1489"/>
    </row>
    <row r="16" spans="1:20" s="1191" customFormat="1" ht="13.5" customHeight="1">
      <c r="A16" s="2074"/>
      <c r="B16" s="2075"/>
      <c r="C16" s="2076"/>
      <c r="D16" s="2077" t="s">
        <v>1234</v>
      </c>
      <c r="E16" s="2076"/>
      <c r="F16" s="2078">
        <v>6</v>
      </c>
      <c r="G16" s="2079"/>
      <c r="H16" s="2079"/>
      <c r="I16" s="2080"/>
      <c r="J16" s="2088"/>
      <c r="R16" s="1489"/>
      <c r="S16" s="1486"/>
    </row>
    <row r="17" spans="1:21" s="1191" customFormat="1" ht="13.5" customHeight="1">
      <c r="A17" s="2074"/>
      <c r="B17" s="2075"/>
      <c r="C17" s="2076"/>
      <c r="D17" s="2077" t="s">
        <v>1182</v>
      </c>
      <c r="E17" s="2076"/>
      <c r="F17" s="2078">
        <v>32</v>
      </c>
      <c r="G17" s="2079"/>
      <c r="H17" s="2079"/>
      <c r="I17" s="2080"/>
    </row>
    <row r="18" spans="1:21" s="1191" customFormat="1" ht="13.5" customHeight="1">
      <c r="A18" s="2074"/>
      <c r="B18" s="2075"/>
      <c r="C18" s="2076"/>
      <c r="D18" s="2077" t="s">
        <v>1235</v>
      </c>
      <c r="E18" s="2076"/>
      <c r="F18" s="2078">
        <v>59</v>
      </c>
      <c r="G18" s="2079"/>
      <c r="H18" s="2079"/>
      <c r="I18" s="2080"/>
      <c r="J18"/>
      <c r="S18" s="1578"/>
    </row>
    <row r="19" spans="1:21" s="1191" customFormat="1" ht="27" customHeight="1">
      <c r="A19" s="2074"/>
      <c r="B19" s="2075"/>
      <c r="C19" s="2076"/>
      <c r="D19" s="2077" t="s">
        <v>2965</v>
      </c>
      <c r="E19" s="2076"/>
      <c r="F19" s="2078"/>
      <c r="G19" s="2079"/>
      <c r="H19" s="2079"/>
      <c r="I19" s="2080"/>
      <c r="J19"/>
    </row>
    <row r="20" spans="1:21" s="1191" customFormat="1" ht="13.5" customHeight="1">
      <c r="A20" s="2081">
        <v>3</v>
      </c>
      <c r="B20" s="2082" t="s">
        <v>2958</v>
      </c>
      <c r="C20" s="2082" t="s">
        <v>2966</v>
      </c>
      <c r="D20" s="2082" t="s">
        <v>2967</v>
      </c>
      <c r="E20" s="2082" t="s">
        <v>210</v>
      </c>
      <c r="F20" s="2083">
        <f>ROUND(SUM(F22),3)</f>
        <v>3</v>
      </c>
      <c r="G20" s="2079"/>
      <c r="H20" s="2084">
        <f t="shared" ref="H20" si="2">ROUND(F20*G20,2)</f>
        <v>0</v>
      </c>
      <c r="I20" s="2085" t="s">
        <v>111</v>
      </c>
      <c r="J20" s="2086"/>
      <c r="M20" s="1234"/>
      <c r="N20" s="1234"/>
      <c r="O20" s="1578"/>
      <c r="P20" s="1234"/>
      <c r="Q20" s="1234"/>
      <c r="R20" s="1489"/>
      <c r="S20" s="2087"/>
      <c r="T20" s="1234"/>
    </row>
    <row r="21" spans="1:21" s="1191" customFormat="1" ht="13.5" customHeight="1">
      <c r="A21" s="2074"/>
      <c r="B21" s="2075"/>
      <c r="C21" s="2076"/>
      <c r="D21" s="2077" t="s">
        <v>2968</v>
      </c>
      <c r="E21" s="2076"/>
      <c r="F21" s="2078"/>
      <c r="G21" s="2079"/>
      <c r="H21" s="2079"/>
      <c r="I21" s="2080"/>
      <c r="J21" s="2086"/>
      <c r="R21" s="1489"/>
    </row>
    <row r="22" spans="1:21" s="1191" customFormat="1" ht="13.5" customHeight="1">
      <c r="A22" s="2074"/>
      <c r="B22" s="2075"/>
      <c r="C22" s="2076"/>
      <c r="D22" s="2077" t="s">
        <v>1182</v>
      </c>
      <c r="E22" s="2076"/>
      <c r="F22" s="2078">
        <v>3</v>
      </c>
      <c r="G22" s="2079"/>
      <c r="H22" s="2079"/>
      <c r="I22" s="2080"/>
      <c r="J22" s="2088"/>
      <c r="R22" s="1489"/>
      <c r="S22" s="1486"/>
    </row>
    <row r="23" spans="1:21" s="1191" customFormat="1" ht="27" customHeight="1">
      <c r="A23" s="2074"/>
      <c r="B23" s="2075"/>
      <c r="C23" s="2076"/>
      <c r="D23" s="2077" t="s">
        <v>2965</v>
      </c>
      <c r="E23" s="2076"/>
      <c r="F23" s="2078"/>
      <c r="G23" s="2079"/>
      <c r="H23" s="2079"/>
      <c r="I23" s="2080"/>
      <c r="J23"/>
    </row>
    <row r="24" spans="1:21" s="1259" customFormat="1" ht="13.5" customHeight="1">
      <c r="A24" s="2081">
        <v>4</v>
      </c>
      <c r="B24" s="2089">
        <v>742</v>
      </c>
      <c r="C24" s="2082" t="s">
        <v>2969</v>
      </c>
      <c r="D24" s="2082" t="s">
        <v>2970</v>
      </c>
      <c r="E24" s="2090" t="s">
        <v>142</v>
      </c>
      <c r="F24" s="2083">
        <f>ROUND(SUM(F25),3)</f>
        <v>80</v>
      </c>
      <c r="G24" s="2091"/>
      <c r="H24" s="2084">
        <f t="shared" ref="H24" si="3">ROUND(F24*G24,2)</f>
        <v>0</v>
      </c>
      <c r="I24" s="2085" t="s">
        <v>111</v>
      </c>
      <c r="J24" s="2092"/>
      <c r="K24" s="2093"/>
      <c r="L24" s="2094"/>
      <c r="M24" s="2094"/>
      <c r="N24" s="2094"/>
      <c r="O24" s="2094"/>
      <c r="P24" s="2095"/>
      <c r="Q24" s="2095"/>
      <c r="R24" s="1489"/>
      <c r="S24" s="1192"/>
    </row>
    <row r="25" spans="1:21" s="2095" customFormat="1" ht="13.5" customHeight="1">
      <c r="A25" s="2096"/>
      <c r="B25" s="2097"/>
      <c r="C25" s="2098"/>
      <c r="D25" s="2099" t="s">
        <v>2971</v>
      </c>
      <c r="E25" s="2090"/>
      <c r="F25" s="2078">
        <v>80</v>
      </c>
      <c r="G25" s="2091"/>
      <c r="H25" s="2079"/>
      <c r="I25" s="2085"/>
      <c r="J25" s="2092"/>
      <c r="K25" s="2093"/>
      <c r="L25" s="2094"/>
      <c r="M25" s="2094"/>
      <c r="N25" s="2094"/>
      <c r="O25" s="2094"/>
      <c r="R25" s="1489"/>
    </row>
    <row r="26" spans="1:21" s="2095" customFormat="1" ht="27" customHeight="1">
      <c r="A26" s="2096"/>
      <c r="B26" s="2097"/>
      <c r="C26" s="2098"/>
      <c r="D26" s="2077" t="s">
        <v>2972</v>
      </c>
      <c r="E26" s="2090"/>
      <c r="F26" s="2078"/>
      <c r="G26" s="2091"/>
      <c r="H26" s="2079"/>
      <c r="I26" s="2085"/>
      <c r="J26" s="1375"/>
      <c r="K26" s="2045"/>
      <c r="L26" s="2094"/>
      <c r="M26" s="2094"/>
      <c r="N26" s="2094"/>
      <c r="O26" s="2094"/>
    </row>
    <row r="27" spans="1:21" s="1259" customFormat="1" ht="13.5" customHeight="1">
      <c r="A27" s="2100">
        <v>5</v>
      </c>
      <c r="B27" s="2089">
        <v>742</v>
      </c>
      <c r="C27" s="2082" t="s">
        <v>2120</v>
      </c>
      <c r="D27" s="2082" t="s">
        <v>2121</v>
      </c>
      <c r="E27" s="2082" t="s">
        <v>49</v>
      </c>
      <c r="F27" s="2101">
        <f>ROUND(SUM(F28),3)</f>
        <v>1</v>
      </c>
      <c r="G27" s="2091"/>
      <c r="H27" s="2084">
        <f t="shared" ref="H27" si="4">ROUND(F27*G27,2)</f>
        <v>0</v>
      </c>
      <c r="I27" s="2085" t="s">
        <v>111</v>
      </c>
      <c r="J27" s="1191"/>
      <c r="K27" s="1191"/>
      <c r="L27" s="1427"/>
      <c r="M27" s="1428"/>
      <c r="N27" s="1432"/>
      <c r="O27" s="1433"/>
      <c r="P27" s="1191"/>
      <c r="Q27" s="1433"/>
      <c r="R27" s="1192"/>
      <c r="S27" s="1192"/>
    </row>
    <row r="28" spans="1:21" s="2109" customFormat="1" ht="13.5" customHeight="1">
      <c r="A28" s="2102"/>
      <c r="B28" s="2103"/>
      <c r="C28" s="2098"/>
      <c r="D28" s="2104" t="s">
        <v>2122</v>
      </c>
      <c r="E28" s="2105"/>
      <c r="F28" s="2106">
        <v>1</v>
      </c>
      <c r="G28" s="2107"/>
      <c r="H28" s="2107"/>
      <c r="I28" s="2108"/>
      <c r="J28" s="1191"/>
      <c r="K28" s="1191"/>
      <c r="L28" s="1427"/>
      <c r="M28" s="1428"/>
      <c r="N28" s="1432"/>
      <c r="O28" s="1434"/>
      <c r="Q28" s="1428"/>
    </row>
    <row r="29" spans="1:21" s="2109" customFormat="1" ht="27" customHeight="1">
      <c r="A29" s="2102"/>
      <c r="B29" s="2103"/>
      <c r="C29" s="2098"/>
      <c r="D29" s="2104" t="s">
        <v>2123</v>
      </c>
      <c r="E29" s="2105"/>
      <c r="F29" s="2110"/>
      <c r="G29" s="2107"/>
      <c r="H29" s="2107"/>
      <c r="I29" s="2108"/>
      <c r="J29" s="1191"/>
      <c r="K29" s="1191"/>
      <c r="L29" s="1427"/>
      <c r="M29" s="1428"/>
      <c r="N29" s="1432"/>
      <c r="O29" s="1191"/>
      <c r="P29" s="1429"/>
      <c r="Q29" s="1428"/>
    </row>
    <row r="30" spans="1:21" s="1439" customFormat="1" ht="13.5" customHeight="1">
      <c r="A30" s="2081">
        <v>6</v>
      </c>
      <c r="B30" s="2089">
        <v>742</v>
      </c>
      <c r="C30" s="2082" t="s">
        <v>2124</v>
      </c>
      <c r="D30" s="2111" t="s">
        <v>1950</v>
      </c>
      <c r="E30" s="2112" t="s">
        <v>49</v>
      </c>
      <c r="F30" s="2083">
        <f>ROUND(SUM(F31),3)</f>
        <v>1</v>
      </c>
      <c r="G30" s="2079"/>
      <c r="H30" s="2084">
        <f t="shared" ref="H30" si="5">ROUND(F30*G30,2)</f>
        <v>0</v>
      </c>
      <c r="I30" s="2085" t="s">
        <v>111</v>
      </c>
      <c r="J30" s="1191"/>
      <c r="K30" s="2113"/>
      <c r="L30" s="1191"/>
      <c r="Q30" s="1441"/>
      <c r="R30" s="1441"/>
      <c r="S30" s="1441"/>
      <c r="T30" s="1441"/>
      <c r="U30" s="1441"/>
    </row>
    <row r="31" spans="1:21" s="1439" customFormat="1" ht="13.5" customHeight="1">
      <c r="A31" s="2114"/>
      <c r="B31" s="2112"/>
      <c r="C31" s="2112"/>
      <c r="D31" s="2115" t="s">
        <v>2125</v>
      </c>
      <c r="E31" s="2112"/>
      <c r="F31" s="2116">
        <v>1</v>
      </c>
      <c r="G31" s="2117"/>
      <c r="H31" s="2117"/>
      <c r="I31" s="2118"/>
      <c r="J31" s="1191"/>
      <c r="K31" s="2119"/>
      <c r="Q31" s="1441"/>
      <c r="R31" s="1441"/>
      <c r="S31" s="1441"/>
      <c r="T31" s="1441"/>
      <c r="U31" s="1441"/>
    </row>
    <row r="32" spans="1:21" s="1439" customFormat="1" ht="40.5" customHeight="1">
      <c r="A32" s="2114"/>
      <c r="B32" s="2112"/>
      <c r="C32" s="2112"/>
      <c r="D32" s="2115" t="s">
        <v>2126</v>
      </c>
      <c r="E32" s="2112"/>
      <c r="F32" s="2120"/>
      <c r="G32" s="2117"/>
      <c r="H32" s="2117"/>
      <c r="I32" s="2118"/>
      <c r="J32" s="1191"/>
      <c r="K32" s="2121"/>
    </row>
    <row r="33" spans="1:24" s="1439" customFormat="1" ht="13.5" customHeight="1">
      <c r="A33" s="2081">
        <v>7</v>
      </c>
      <c r="B33" s="2089">
        <v>742</v>
      </c>
      <c r="C33" s="2082" t="s">
        <v>2127</v>
      </c>
      <c r="D33" s="2111" t="s">
        <v>1954</v>
      </c>
      <c r="E33" s="2112" t="s">
        <v>49</v>
      </c>
      <c r="F33" s="2083">
        <f>ROUND(SUM(F34),3)</f>
        <v>1</v>
      </c>
      <c r="G33" s="2079"/>
      <c r="H33" s="2084">
        <f t="shared" ref="H33" si="6">ROUND(F33*G33,2)</f>
        <v>0</v>
      </c>
      <c r="I33" s="2085" t="s">
        <v>111</v>
      </c>
      <c r="J33" s="1191"/>
      <c r="K33" s="2113"/>
      <c r="L33" s="1191"/>
      <c r="Q33" s="1441"/>
      <c r="R33" s="1441"/>
      <c r="S33" s="1441"/>
      <c r="T33" s="1441"/>
      <c r="U33" s="1441"/>
    </row>
    <row r="34" spans="1:24" s="1439" customFormat="1" ht="27" customHeight="1">
      <c r="A34" s="2114"/>
      <c r="B34" s="2112"/>
      <c r="C34" s="2112"/>
      <c r="D34" s="2115" t="s">
        <v>2128</v>
      </c>
      <c r="E34" s="2112"/>
      <c r="F34" s="2116">
        <v>1</v>
      </c>
      <c r="G34" s="2117"/>
      <c r="H34" s="2117"/>
      <c r="I34" s="2118"/>
      <c r="J34" s="1191"/>
      <c r="K34" s="2113"/>
      <c r="Q34" s="1441"/>
      <c r="R34" s="1441"/>
      <c r="S34" s="1441"/>
      <c r="T34" s="1441"/>
      <c r="U34" s="1441"/>
    </row>
    <row r="35" spans="1:24" s="1439" customFormat="1" ht="40.5" customHeight="1">
      <c r="A35" s="2114"/>
      <c r="B35" s="2112"/>
      <c r="C35" s="2112"/>
      <c r="D35" s="2115" t="s">
        <v>1952</v>
      </c>
      <c r="E35" s="2112"/>
      <c r="F35" s="2120"/>
      <c r="G35" s="2117"/>
      <c r="H35" s="2117"/>
      <c r="I35" s="2118"/>
      <c r="J35" s="1191"/>
      <c r="K35" s="2121"/>
    </row>
    <row r="36" spans="1:24" s="1191" customFormat="1" ht="13.5" customHeight="1">
      <c r="A36" s="2081">
        <v>8</v>
      </c>
      <c r="B36" s="2089">
        <v>742</v>
      </c>
      <c r="C36" s="2082" t="s">
        <v>2973</v>
      </c>
      <c r="D36" s="2082" t="s">
        <v>1966</v>
      </c>
      <c r="E36" s="2122" t="s">
        <v>49</v>
      </c>
      <c r="F36" s="2083">
        <v>1</v>
      </c>
      <c r="G36" s="2079"/>
      <c r="H36" s="2107">
        <f>ROUND(F36*G36,2)</f>
        <v>0</v>
      </c>
      <c r="I36" s="2085" t="s">
        <v>111</v>
      </c>
    </row>
    <row r="37" spans="1:24" s="2127" customFormat="1" ht="13.5" customHeight="1">
      <c r="A37" s="2081">
        <v>9</v>
      </c>
      <c r="B37" s="2123">
        <v>742</v>
      </c>
      <c r="C37" s="2103">
        <v>998742312</v>
      </c>
      <c r="D37" s="2124" t="s">
        <v>2974</v>
      </c>
      <c r="E37" s="2124" t="s">
        <v>10</v>
      </c>
      <c r="F37" s="2125">
        <v>0.89</v>
      </c>
      <c r="G37" s="2107"/>
      <c r="H37" s="2084">
        <f t="shared" ref="H37:H38" si="7">ROUND(F37*G37,2)</f>
        <v>0</v>
      </c>
      <c r="I37" s="2126" t="s">
        <v>138</v>
      </c>
      <c r="J37" s="1428"/>
      <c r="K37" s="1427"/>
      <c r="L37" s="1427"/>
      <c r="M37" s="1428"/>
      <c r="N37" s="1432"/>
      <c r="O37" s="1447"/>
      <c r="Q37" s="1428"/>
    </row>
    <row r="38" spans="1:24" s="2109" customFormat="1" ht="13.5" customHeight="1">
      <c r="A38" s="2081">
        <v>10</v>
      </c>
      <c r="B38" s="2082" t="s">
        <v>369</v>
      </c>
      <c r="C38" s="2082" t="s">
        <v>1928</v>
      </c>
      <c r="D38" s="2082" t="s">
        <v>1929</v>
      </c>
      <c r="E38" s="2103" t="s">
        <v>69</v>
      </c>
      <c r="F38" s="2083">
        <f>ROUND(SUM(F39),3)</f>
        <v>10</v>
      </c>
      <c r="G38" s="2091"/>
      <c r="H38" s="2084">
        <f t="shared" si="7"/>
        <v>0</v>
      </c>
      <c r="I38" s="2126" t="s">
        <v>138</v>
      </c>
      <c r="J38" s="1428"/>
      <c r="K38" s="1427"/>
      <c r="L38" s="1427"/>
      <c r="M38" s="1428"/>
      <c r="N38" s="1432"/>
      <c r="O38" s="1191"/>
      <c r="Q38" s="1428"/>
    </row>
    <row r="39" spans="1:24" s="2109" customFormat="1" ht="13.5" customHeight="1">
      <c r="A39" s="2102"/>
      <c r="B39" s="2103"/>
      <c r="C39" s="2098"/>
      <c r="D39" s="2104" t="s">
        <v>2129</v>
      </c>
      <c r="E39" s="2105"/>
      <c r="F39" s="2106">
        <v>10</v>
      </c>
      <c r="G39" s="2107"/>
      <c r="H39" s="2107"/>
      <c r="I39" s="2108"/>
      <c r="J39" s="1428"/>
      <c r="K39" s="1427"/>
      <c r="L39" s="1427"/>
      <c r="M39" s="1428"/>
      <c r="N39" s="1432"/>
      <c r="O39" s="1448"/>
      <c r="Q39" s="1428"/>
    </row>
    <row r="40" spans="1:24" s="2109" customFormat="1" ht="13.5" customHeight="1">
      <c r="A40" s="2102"/>
      <c r="B40" s="2103"/>
      <c r="C40" s="2098"/>
      <c r="D40" s="2104" t="s">
        <v>2130</v>
      </c>
      <c r="E40" s="2105"/>
      <c r="F40" s="2106"/>
      <c r="G40" s="2107"/>
      <c r="H40" s="2107"/>
      <c r="I40" s="2108"/>
      <c r="J40" s="1428"/>
      <c r="K40" s="1427"/>
      <c r="L40" s="1427"/>
      <c r="M40" s="1428"/>
      <c r="N40" s="1432"/>
      <c r="O40" s="1448"/>
      <c r="Q40" s="1428"/>
    </row>
    <row r="41" spans="1:24" s="1234" customFormat="1" ht="13.5" customHeight="1">
      <c r="A41" s="2074"/>
      <c r="B41" s="2076"/>
      <c r="C41" s="2076">
        <v>742</v>
      </c>
      <c r="D41" s="2076" t="s">
        <v>2131</v>
      </c>
      <c r="E41" s="2076"/>
      <c r="F41" s="2128"/>
      <c r="G41" s="2129"/>
      <c r="H41" s="2130">
        <f>SUM(H42:H77)</f>
        <v>0</v>
      </c>
      <c r="I41" s="2080"/>
      <c r="J41" s="1488"/>
    </row>
    <row r="42" spans="1:24" s="1234" customFormat="1" ht="13.5" customHeight="1">
      <c r="A42" s="2081">
        <v>11</v>
      </c>
      <c r="B42" s="2089">
        <v>742</v>
      </c>
      <c r="C42" s="2082" t="s">
        <v>2132</v>
      </c>
      <c r="D42" s="2131" t="s">
        <v>2975</v>
      </c>
      <c r="E42" s="2131" t="s">
        <v>210</v>
      </c>
      <c r="F42" s="2083">
        <f>SUM(F43:F44)</f>
        <v>4</v>
      </c>
      <c r="G42" s="2132"/>
      <c r="H42" s="2084">
        <f t="shared" ref="H42" si="8">ROUND(F42*G42,2)</f>
        <v>0</v>
      </c>
      <c r="I42" s="2085" t="s">
        <v>111</v>
      </c>
      <c r="J42" s="2092"/>
      <c r="K42" s="2133"/>
      <c r="L42" s="1191"/>
      <c r="P42" s="2134"/>
      <c r="Q42" s="2135"/>
      <c r="X42" s="2136"/>
    </row>
    <row r="43" spans="1:24" s="1234" customFormat="1" ht="13.5" customHeight="1">
      <c r="A43" s="2137"/>
      <c r="B43" s="2082"/>
      <c r="C43" s="2082"/>
      <c r="D43" s="2077" t="s">
        <v>2976</v>
      </c>
      <c r="E43" s="2082"/>
      <c r="F43" s="2138"/>
      <c r="G43" s="2079"/>
      <c r="H43" s="2079"/>
      <c r="I43" s="2085"/>
    </row>
    <row r="44" spans="1:24" s="1234" customFormat="1" ht="13.5" customHeight="1">
      <c r="A44" s="2137"/>
      <c r="B44" s="2082"/>
      <c r="C44" s="2082"/>
      <c r="D44" s="2077" t="s">
        <v>1040</v>
      </c>
      <c r="E44" s="2082"/>
      <c r="F44" s="2138">
        <v>4</v>
      </c>
      <c r="G44" s="2079"/>
      <c r="H44" s="2079"/>
      <c r="I44" s="2085"/>
      <c r="J44" s="1488"/>
      <c r="Q44" s="2135"/>
    </row>
    <row r="45" spans="1:24" s="1234" customFormat="1" ht="13.5" customHeight="1">
      <c r="A45" s="2137"/>
      <c r="B45" s="2082"/>
      <c r="C45" s="2082"/>
      <c r="D45" s="2139" t="s">
        <v>2977</v>
      </c>
      <c r="E45" s="2082"/>
      <c r="F45" s="2140"/>
      <c r="G45" s="2079"/>
      <c r="H45" s="2079"/>
      <c r="I45" s="2085"/>
    </row>
    <row r="46" spans="1:24" s="1234" customFormat="1" ht="13.5" customHeight="1">
      <c r="A46" s="2081">
        <v>12</v>
      </c>
      <c r="B46" s="2082" t="s">
        <v>2958</v>
      </c>
      <c r="C46" s="2082" t="s">
        <v>2978</v>
      </c>
      <c r="D46" s="2082" t="s">
        <v>2979</v>
      </c>
      <c r="E46" s="2090" t="s">
        <v>49</v>
      </c>
      <c r="F46" s="2083">
        <f>ROUND(SUM(F48),3)</f>
        <v>1</v>
      </c>
      <c r="G46" s="2091"/>
      <c r="H46" s="2084">
        <f t="shared" ref="H46" si="9">ROUND(F46*G46,2)</f>
        <v>0</v>
      </c>
      <c r="I46" s="2085" t="s">
        <v>111</v>
      </c>
      <c r="M46" s="2141"/>
    </row>
    <row r="47" spans="1:24" s="1234" customFormat="1" ht="13.5" customHeight="1">
      <c r="A47" s="2137"/>
      <c r="B47" s="2082"/>
      <c r="C47" s="2082"/>
      <c r="D47" s="2077" t="s">
        <v>2980</v>
      </c>
      <c r="E47" s="2090"/>
      <c r="F47" s="2142"/>
      <c r="G47" s="2091"/>
      <c r="H47" s="2079"/>
      <c r="I47" s="2085"/>
      <c r="M47" s="2141"/>
    </row>
    <row r="48" spans="1:24" s="1234" customFormat="1" ht="13.5" customHeight="1">
      <c r="A48" s="2143"/>
      <c r="B48" s="2082"/>
      <c r="C48" s="2082"/>
      <c r="D48" s="2077" t="s">
        <v>2981</v>
      </c>
      <c r="E48" s="2082"/>
      <c r="F48" s="2138">
        <v>1</v>
      </c>
      <c r="G48" s="2091"/>
      <c r="H48" s="2079"/>
      <c r="I48" s="2085"/>
      <c r="K48" s="1567"/>
      <c r="M48" s="2141"/>
    </row>
    <row r="49" spans="1:23" s="1448" customFormat="1" ht="40.5" customHeight="1">
      <c r="A49" s="2144"/>
      <c r="B49" s="2145"/>
      <c r="C49" s="2146"/>
      <c r="D49" s="2147" t="s">
        <v>2982</v>
      </c>
      <c r="E49" s="2148"/>
      <c r="F49" s="2149"/>
      <c r="G49" s="2150"/>
      <c r="H49" s="2151"/>
      <c r="I49" s="2152"/>
      <c r="J49" s="2153"/>
      <c r="K49" s="2154"/>
      <c r="L49" s="2155"/>
      <c r="M49" s="2156"/>
      <c r="N49" s="2157"/>
      <c r="O49" s="2157"/>
      <c r="P49" s="1434"/>
      <c r="Q49" s="2158"/>
      <c r="R49" s="2159"/>
      <c r="S49" s="2160"/>
      <c r="T49" s="2160"/>
      <c r="U49" s="2161"/>
      <c r="W49" s="2162"/>
    </row>
    <row r="50" spans="1:23" s="2164" customFormat="1" ht="13.5" customHeight="1">
      <c r="A50" s="2081">
        <v>13</v>
      </c>
      <c r="B50" s="2089">
        <v>742</v>
      </c>
      <c r="C50" s="2082" t="s">
        <v>2983</v>
      </c>
      <c r="D50" s="2163" t="s">
        <v>2984</v>
      </c>
      <c r="E50" s="2163" t="s">
        <v>210</v>
      </c>
      <c r="F50" s="2083">
        <f>ROUND(SUM(F52),3)</f>
        <v>3</v>
      </c>
      <c r="G50" s="2132"/>
      <c r="H50" s="2084">
        <f t="shared" ref="H50" si="10">ROUND(F50*G50,2)</f>
        <v>0</v>
      </c>
      <c r="I50" s="2085" t="s">
        <v>111</v>
      </c>
      <c r="J50" s="2092"/>
      <c r="K50" s="2133"/>
      <c r="L50" s="1259"/>
      <c r="M50" s="1259"/>
      <c r="N50" s="2135"/>
      <c r="O50" s="2092"/>
      <c r="P50" s="1234"/>
      <c r="Q50" s="2135"/>
      <c r="R50" s="1234"/>
    </row>
    <row r="51" spans="1:23" s="2164" customFormat="1" ht="13.5" customHeight="1">
      <c r="A51" s="2081"/>
      <c r="B51" s="2089"/>
      <c r="C51" s="2082"/>
      <c r="D51" s="2077" t="s">
        <v>2985</v>
      </c>
      <c r="E51" s="2163"/>
      <c r="F51" s="2165"/>
      <c r="G51" s="2166"/>
      <c r="H51" s="2167"/>
      <c r="I51" s="2168"/>
      <c r="J51" s="1488"/>
      <c r="K51" s="1234"/>
      <c r="L51" s="1234"/>
      <c r="M51" s="1234"/>
      <c r="N51" s="1234"/>
      <c r="O51" s="1234"/>
      <c r="P51" s="1234"/>
      <c r="Q51" s="1234"/>
      <c r="R51" s="2136"/>
    </row>
    <row r="52" spans="1:23" s="2164" customFormat="1" ht="13.5" customHeight="1">
      <c r="A52" s="2137"/>
      <c r="B52" s="2169"/>
      <c r="C52" s="2169"/>
      <c r="D52" s="2077" t="s">
        <v>1040</v>
      </c>
      <c r="E52" s="2163"/>
      <c r="F52" s="2138">
        <v>3</v>
      </c>
      <c r="G52" s="2166"/>
      <c r="H52" s="2167"/>
      <c r="I52" s="2168"/>
      <c r="J52" s="1488"/>
      <c r="K52" s="1234"/>
      <c r="L52" s="1234"/>
      <c r="M52" s="1234"/>
      <c r="N52" s="1234"/>
      <c r="O52" s="1234"/>
      <c r="P52" s="1234"/>
      <c r="Q52" s="2135"/>
      <c r="R52" s="2136"/>
    </row>
    <row r="53" spans="1:23" s="2164" customFormat="1" ht="27" customHeight="1">
      <c r="A53" s="2137"/>
      <c r="B53" s="2169"/>
      <c r="C53" s="2169"/>
      <c r="D53" s="2170" t="s">
        <v>2986</v>
      </c>
      <c r="E53" s="2163"/>
      <c r="F53" s="2165"/>
      <c r="G53" s="2166"/>
      <c r="H53" s="2167"/>
      <c r="I53" s="2168"/>
    </row>
    <row r="54" spans="1:23" s="1259" customFormat="1" ht="13.5" customHeight="1">
      <c r="A54" s="2081">
        <v>14</v>
      </c>
      <c r="B54" s="2089">
        <v>742</v>
      </c>
      <c r="C54" s="2082" t="s">
        <v>2987</v>
      </c>
      <c r="D54" s="2082" t="s">
        <v>2988</v>
      </c>
      <c r="E54" s="2082" t="s">
        <v>210</v>
      </c>
      <c r="F54" s="2083">
        <f>ROUND(SUM(F56),3)</f>
        <v>2</v>
      </c>
      <c r="G54" s="2091"/>
      <c r="H54" s="2084">
        <f t="shared" ref="H54" si="11">ROUND(F54*G54,2)</f>
        <v>0</v>
      </c>
      <c r="I54" s="2085" t="s">
        <v>111</v>
      </c>
      <c r="J54" s="1235"/>
      <c r="K54" s="1527"/>
      <c r="L54" s="1527"/>
      <c r="M54" s="1191"/>
      <c r="O54" s="1566"/>
      <c r="P54" s="1191"/>
      <c r="Q54" s="2135"/>
      <c r="R54" s="1192"/>
      <c r="S54" s="1192"/>
    </row>
    <row r="55" spans="1:23" s="1259" customFormat="1" ht="13.5" customHeight="1">
      <c r="A55" s="2100"/>
      <c r="B55" s="2089"/>
      <c r="C55" s="2082"/>
      <c r="D55" s="2077" t="s">
        <v>2989</v>
      </c>
      <c r="E55" s="2163"/>
      <c r="F55" s="2165"/>
      <c r="G55" s="2091"/>
      <c r="H55" s="2167"/>
      <c r="I55" s="2085"/>
      <c r="J55" s="1235"/>
      <c r="K55" s="1527"/>
      <c r="L55" s="1191"/>
      <c r="M55" s="1191"/>
      <c r="N55" s="1191"/>
      <c r="O55" s="1566"/>
      <c r="P55" s="1191"/>
      <c r="Q55" s="2135"/>
      <c r="R55" s="1192"/>
      <c r="S55" s="1192"/>
    </row>
    <row r="56" spans="1:23" s="1259" customFormat="1" ht="13.5" customHeight="1">
      <c r="A56" s="2100"/>
      <c r="B56" s="2089"/>
      <c r="C56" s="2082"/>
      <c r="D56" s="2077" t="s">
        <v>1040</v>
      </c>
      <c r="E56" s="2163"/>
      <c r="F56" s="2138">
        <v>2</v>
      </c>
      <c r="G56" s="2091"/>
      <c r="H56" s="2091"/>
      <c r="I56" s="2085"/>
      <c r="J56" s="1559"/>
      <c r="K56" s="1191"/>
      <c r="L56" s="1191"/>
      <c r="M56" s="1191"/>
      <c r="N56" s="1191"/>
      <c r="O56" s="1191"/>
      <c r="P56" s="1191"/>
      <c r="Q56" s="1191"/>
      <c r="R56" s="1192"/>
      <c r="S56" s="1192"/>
    </row>
    <row r="57" spans="1:23" s="1259" customFormat="1" ht="27" customHeight="1">
      <c r="A57" s="2100"/>
      <c r="B57" s="2089"/>
      <c r="C57" s="2082"/>
      <c r="D57" s="2170" t="s">
        <v>2986</v>
      </c>
      <c r="E57" s="2163"/>
      <c r="F57" s="2165"/>
      <c r="G57" s="2091"/>
      <c r="H57" s="2091"/>
      <c r="I57" s="2085"/>
      <c r="J57" s="2171"/>
      <c r="K57" s="1191"/>
      <c r="L57" s="1191"/>
      <c r="M57" s="1191"/>
      <c r="N57" s="1191"/>
      <c r="O57" s="1191"/>
      <c r="P57" s="1191"/>
      <c r="Q57" s="1191"/>
      <c r="R57" s="1192"/>
      <c r="S57" s="1192"/>
    </row>
    <row r="58" spans="1:23" s="1234" customFormat="1" ht="13.5" customHeight="1">
      <c r="A58" s="2081">
        <v>15</v>
      </c>
      <c r="B58" s="2089">
        <v>742</v>
      </c>
      <c r="C58" s="2082" t="s">
        <v>2990</v>
      </c>
      <c r="D58" s="2082" t="s">
        <v>2991</v>
      </c>
      <c r="E58" s="2082" t="s">
        <v>210</v>
      </c>
      <c r="F58" s="2172">
        <f>SUM(F59)</f>
        <v>1</v>
      </c>
      <c r="G58" s="2091"/>
      <c r="H58" s="2084">
        <f t="shared" ref="H58" si="12">ROUND(F58*G58,2)</f>
        <v>0</v>
      </c>
      <c r="I58" s="2085" t="s">
        <v>111</v>
      </c>
      <c r="J58" s="1235"/>
      <c r="K58" s="1527"/>
      <c r="L58" s="1238"/>
      <c r="M58" s="1238"/>
      <c r="N58" s="1238"/>
      <c r="O58" s="1238"/>
      <c r="P58" s="2135"/>
      <c r="R58" s="1566"/>
      <c r="U58" s="2173"/>
      <c r="V58" s="2173"/>
    </row>
    <row r="59" spans="1:23" s="1234" customFormat="1" ht="13.5" customHeight="1">
      <c r="A59" s="2098"/>
      <c r="B59" s="2076"/>
      <c r="C59" s="2076"/>
      <c r="D59" s="2099" t="s">
        <v>2992</v>
      </c>
      <c r="E59" s="2174"/>
      <c r="F59" s="2175">
        <v>1</v>
      </c>
      <c r="G59" s="2091"/>
      <c r="H59" s="2091"/>
      <c r="I59" s="2080"/>
      <c r="J59" s="1235"/>
      <c r="K59" s="1527"/>
      <c r="L59" s="1238"/>
      <c r="M59" s="1238"/>
      <c r="N59" s="1238"/>
      <c r="O59" s="1238"/>
      <c r="P59" s="2135"/>
      <c r="U59" s="2173"/>
    </row>
    <row r="60" spans="1:23" s="1234" customFormat="1" ht="25.5" customHeight="1">
      <c r="A60" s="2098"/>
      <c r="B60" s="2076"/>
      <c r="C60" s="2076"/>
      <c r="D60" s="2115" t="s">
        <v>2993</v>
      </c>
      <c r="E60" s="2174"/>
      <c r="F60" s="2176"/>
      <c r="G60" s="2091"/>
      <c r="H60" s="2091"/>
      <c r="I60" s="2080"/>
      <c r="J60" s="2153"/>
      <c r="K60" s="1235"/>
      <c r="L60" s="1527"/>
      <c r="M60" s="1238"/>
      <c r="N60" s="1238"/>
      <c r="O60" s="1238"/>
      <c r="P60" s="1238"/>
      <c r="Q60" s="1566"/>
      <c r="U60" s="2173"/>
    </row>
    <row r="61" spans="1:23" s="1234" customFormat="1" ht="13.5" customHeight="1">
      <c r="A61" s="2081">
        <v>16</v>
      </c>
      <c r="B61" s="2089">
        <v>742</v>
      </c>
      <c r="C61" s="2082" t="s">
        <v>2994</v>
      </c>
      <c r="D61" s="2082" t="s">
        <v>2995</v>
      </c>
      <c r="E61" s="2082" t="s">
        <v>210</v>
      </c>
      <c r="F61" s="2172">
        <f>SUM(F62)</f>
        <v>1</v>
      </c>
      <c r="G61" s="2091"/>
      <c r="H61" s="2084">
        <f t="shared" ref="H61" si="13">ROUND(F61*G61,2)</f>
        <v>0</v>
      </c>
      <c r="I61" s="2085" t="s">
        <v>111</v>
      </c>
      <c r="J61" s="1235"/>
      <c r="K61" s="1527"/>
      <c r="L61" s="1527"/>
      <c r="M61" s="1527"/>
      <c r="N61" s="2134"/>
      <c r="O61" s="2134"/>
      <c r="P61" s="2135"/>
      <c r="Q61" s="1566"/>
      <c r="R61" s="1566"/>
      <c r="U61" s="2173"/>
      <c r="V61" s="2173"/>
    </row>
    <row r="62" spans="1:23" s="1234" customFormat="1" ht="13.5" customHeight="1">
      <c r="A62" s="2098"/>
      <c r="B62" s="2076"/>
      <c r="C62" s="2076"/>
      <c r="D62" s="2099" t="s">
        <v>2996</v>
      </c>
      <c r="E62" s="2174"/>
      <c r="F62" s="2175">
        <v>1</v>
      </c>
      <c r="G62" s="2091"/>
      <c r="H62" s="2091"/>
      <c r="I62" s="2080"/>
      <c r="J62" s="1235"/>
      <c r="K62" s="1527"/>
      <c r="L62" s="1527"/>
      <c r="M62" s="1238"/>
      <c r="N62" s="1238"/>
      <c r="O62" s="1238"/>
      <c r="P62" s="2135"/>
      <c r="Q62" s="1566"/>
      <c r="U62" s="2173"/>
    </row>
    <row r="63" spans="1:23" s="1234" customFormat="1" ht="13.5" customHeight="1">
      <c r="A63" s="2098"/>
      <c r="B63" s="2076"/>
      <c r="C63" s="2076"/>
      <c r="D63" s="2115" t="s">
        <v>2997</v>
      </c>
      <c r="E63" s="2174"/>
      <c r="F63" s="2176"/>
      <c r="G63" s="2091"/>
      <c r="H63" s="2091"/>
      <c r="I63" s="2080"/>
      <c r="J63" s="2153"/>
      <c r="K63" s="1235"/>
      <c r="L63" s="1527"/>
      <c r="M63" s="1238"/>
      <c r="N63" s="1238"/>
      <c r="O63" s="1238"/>
      <c r="P63" s="1238"/>
      <c r="Q63" s="1566"/>
      <c r="U63" s="2173"/>
    </row>
    <row r="64" spans="1:23" s="1259" customFormat="1" ht="13.5" customHeight="1">
      <c r="A64" s="2100">
        <v>17</v>
      </c>
      <c r="B64" s="2089">
        <v>742</v>
      </c>
      <c r="C64" s="2082" t="s">
        <v>2133</v>
      </c>
      <c r="D64" s="2082" t="s">
        <v>2134</v>
      </c>
      <c r="E64" s="2082" t="s">
        <v>49</v>
      </c>
      <c r="F64" s="2101">
        <f>ROUND(SUM(F65),3)</f>
        <v>1</v>
      </c>
      <c r="G64" s="2091"/>
      <c r="H64" s="2084">
        <f t="shared" ref="H64" si="14">ROUND(F64*G64,2)</f>
        <v>0</v>
      </c>
      <c r="I64" s="2085" t="s">
        <v>111</v>
      </c>
      <c r="J64" s="1428"/>
      <c r="K64" s="1427"/>
      <c r="L64" s="1427"/>
      <c r="M64" s="1428"/>
      <c r="N64" s="1432"/>
      <c r="O64" s="1433"/>
      <c r="P64" s="1191"/>
      <c r="Q64" s="1433"/>
      <c r="R64" s="1192"/>
      <c r="S64" s="1192"/>
    </row>
    <row r="65" spans="1:21" s="2109" customFormat="1" ht="13.5" customHeight="1">
      <c r="A65" s="2102"/>
      <c r="B65" s="2103"/>
      <c r="C65" s="2098"/>
      <c r="D65" s="2104" t="s">
        <v>2135</v>
      </c>
      <c r="E65" s="2105"/>
      <c r="F65" s="2106">
        <v>1</v>
      </c>
      <c r="G65" s="2107"/>
      <c r="H65" s="2107"/>
      <c r="I65" s="2108"/>
      <c r="J65" s="1428"/>
      <c r="K65" s="1427"/>
      <c r="L65" s="1427"/>
      <c r="M65" s="1428"/>
      <c r="N65" s="1432"/>
      <c r="O65" s="1191"/>
      <c r="Q65" s="1428"/>
    </row>
    <row r="66" spans="1:21" s="2109" customFormat="1" ht="27" customHeight="1">
      <c r="A66" s="2102"/>
      <c r="B66" s="2103"/>
      <c r="C66" s="2098"/>
      <c r="D66" s="2104" t="s">
        <v>2123</v>
      </c>
      <c r="E66" s="2105"/>
      <c r="F66" s="2110"/>
      <c r="G66" s="2107"/>
      <c r="H66" s="2107"/>
      <c r="I66" s="2108"/>
      <c r="J66" s="1428"/>
      <c r="K66" s="1427"/>
      <c r="L66" s="1427"/>
      <c r="M66" s="1428"/>
      <c r="N66" s="1432"/>
      <c r="O66" s="1191"/>
      <c r="P66" s="1429"/>
      <c r="Q66" s="1428"/>
    </row>
    <row r="67" spans="1:21" s="1439" customFormat="1" ht="13.5" customHeight="1">
      <c r="A67" s="2081">
        <v>18</v>
      </c>
      <c r="B67" s="2089">
        <v>742</v>
      </c>
      <c r="C67" s="2082" t="s">
        <v>2136</v>
      </c>
      <c r="D67" s="2111" t="s">
        <v>1950</v>
      </c>
      <c r="E67" s="2112" t="s">
        <v>49</v>
      </c>
      <c r="F67" s="2083">
        <f>ROUND(SUM(F68),3)</f>
        <v>1</v>
      </c>
      <c r="G67" s="2079"/>
      <c r="H67" s="2084">
        <f t="shared" ref="H67" si="15">ROUND(F67*G67,2)</f>
        <v>0</v>
      </c>
      <c r="I67" s="2085" t="s">
        <v>111</v>
      </c>
      <c r="J67" s="1191"/>
      <c r="K67" s="2113"/>
      <c r="L67" s="1191"/>
      <c r="Q67" s="1441"/>
      <c r="R67" s="1441"/>
      <c r="S67" s="1441"/>
      <c r="T67" s="1441"/>
      <c r="U67" s="1441"/>
    </row>
    <row r="68" spans="1:21" s="1439" customFormat="1" ht="13.5" customHeight="1">
      <c r="A68" s="2114"/>
      <c r="B68" s="2112"/>
      <c r="C68" s="2112"/>
      <c r="D68" s="2115" t="s">
        <v>2125</v>
      </c>
      <c r="E68" s="2112"/>
      <c r="F68" s="2116">
        <v>1</v>
      </c>
      <c r="G68" s="2117"/>
      <c r="H68" s="2117"/>
      <c r="I68" s="2118"/>
      <c r="J68" s="1191"/>
      <c r="K68" s="2119"/>
      <c r="Q68" s="1441"/>
      <c r="R68" s="1441"/>
      <c r="S68" s="1441"/>
      <c r="T68" s="1441"/>
      <c r="U68" s="1441"/>
    </row>
    <row r="69" spans="1:21" s="1439" customFormat="1" ht="40.5" customHeight="1">
      <c r="A69" s="2114"/>
      <c r="B69" s="2112"/>
      <c r="C69" s="2112"/>
      <c r="D69" s="2115" t="s">
        <v>2126</v>
      </c>
      <c r="E69" s="2112"/>
      <c r="F69" s="2120"/>
      <c r="G69" s="2117"/>
      <c r="H69" s="2117"/>
      <c r="I69" s="2118"/>
      <c r="J69" s="1191"/>
      <c r="K69" s="2121"/>
    </row>
    <row r="70" spans="1:21" s="1439" customFormat="1" ht="13.5" customHeight="1">
      <c r="A70" s="2081">
        <v>19</v>
      </c>
      <c r="B70" s="2089">
        <v>742</v>
      </c>
      <c r="C70" s="2082" t="s">
        <v>2137</v>
      </c>
      <c r="D70" s="2111" t="s">
        <v>1954</v>
      </c>
      <c r="E70" s="2112" t="s">
        <v>49</v>
      </c>
      <c r="F70" s="2083">
        <f>ROUND(SUM(F71),3)</f>
        <v>1</v>
      </c>
      <c r="G70" s="2079"/>
      <c r="H70" s="2084">
        <f t="shared" ref="H70" si="16">ROUND(F70*G70,2)</f>
        <v>0</v>
      </c>
      <c r="I70" s="2085" t="s">
        <v>111</v>
      </c>
      <c r="J70" s="1191"/>
      <c r="K70" s="2113"/>
      <c r="L70" s="1191"/>
      <c r="Q70" s="1441"/>
      <c r="R70" s="1441"/>
      <c r="S70" s="1441"/>
      <c r="T70" s="1441"/>
      <c r="U70" s="1441"/>
    </row>
    <row r="71" spans="1:21" s="1439" customFormat="1" ht="27" customHeight="1">
      <c r="A71" s="2114"/>
      <c r="B71" s="2112"/>
      <c r="C71" s="2112"/>
      <c r="D71" s="2115" t="s">
        <v>2128</v>
      </c>
      <c r="E71" s="2112"/>
      <c r="F71" s="2116">
        <v>1</v>
      </c>
      <c r="G71" s="2117"/>
      <c r="H71" s="2117"/>
      <c r="I71" s="2118"/>
      <c r="J71" s="1191"/>
      <c r="K71" s="2113"/>
      <c r="Q71" s="1441"/>
      <c r="R71" s="1441"/>
      <c r="S71" s="1441"/>
      <c r="T71" s="1441"/>
      <c r="U71" s="1441"/>
    </row>
    <row r="72" spans="1:21" s="1439" customFormat="1" ht="40.5" customHeight="1">
      <c r="A72" s="2114"/>
      <c r="B72" s="2112"/>
      <c r="C72" s="2112"/>
      <c r="D72" s="2115" t="s">
        <v>1952</v>
      </c>
      <c r="E72" s="2112"/>
      <c r="F72" s="2120"/>
      <c r="G72" s="2117"/>
      <c r="H72" s="2117"/>
      <c r="I72" s="2118"/>
      <c r="J72" s="1191"/>
      <c r="K72" s="2121"/>
    </row>
    <row r="73" spans="1:21" s="1191" customFormat="1" ht="13.5" customHeight="1">
      <c r="A73" s="2081">
        <v>20</v>
      </c>
      <c r="B73" s="2089">
        <v>742</v>
      </c>
      <c r="C73" s="2082" t="s">
        <v>2998</v>
      </c>
      <c r="D73" s="2082" t="s">
        <v>1966</v>
      </c>
      <c r="E73" s="2122" t="s">
        <v>49</v>
      </c>
      <c r="F73" s="2083">
        <v>1</v>
      </c>
      <c r="G73" s="2079"/>
      <c r="H73" s="2107">
        <f>ROUND(F73*G73,2)</f>
        <v>0</v>
      </c>
      <c r="I73" s="2085" t="s">
        <v>111</v>
      </c>
    </row>
    <row r="74" spans="1:21" s="2127" customFormat="1" ht="13.5" customHeight="1">
      <c r="A74" s="2081">
        <v>21</v>
      </c>
      <c r="B74" s="2123">
        <v>742</v>
      </c>
      <c r="C74" s="2103">
        <v>998742312</v>
      </c>
      <c r="D74" s="2124" t="s">
        <v>2974</v>
      </c>
      <c r="E74" s="2124" t="s">
        <v>10</v>
      </c>
      <c r="F74" s="2125">
        <v>0.89</v>
      </c>
      <c r="G74" s="2107"/>
      <c r="H74" s="2084">
        <f t="shared" ref="H74:H75" si="17">ROUND(F74*G74,2)</f>
        <v>0</v>
      </c>
      <c r="I74" s="2126" t="s">
        <v>138</v>
      </c>
      <c r="J74" s="1428"/>
      <c r="K74" s="1427"/>
      <c r="L74" s="1427"/>
      <c r="M74" s="1428"/>
      <c r="N74" s="1432"/>
      <c r="O74" s="1447"/>
      <c r="Q74" s="1428"/>
    </row>
    <row r="75" spans="1:21" s="2095" customFormat="1" ht="13.5" customHeight="1">
      <c r="A75" s="2081">
        <v>22</v>
      </c>
      <c r="B75" s="2082" t="s">
        <v>369</v>
      </c>
      <c r="C75" s="2082" t="s">
        <v>1928</v>
      </c>
      <c r="D75" s="2082" t="s">
        <v>1929</v>
      </c>
      <c r="E75" s="2097" t="s">
        <v>69</v>
      </c>
      <c r="F75" s="2083">
        <f>ROUND(SUM(F76),3)</f>
        <v>30</v>
      </c>
      <c r="G75" s="2091"/>
      <c r="H75" s="2084">
        <f t="shared" si="17"/>
        <v>0</v>
      </c>
      <c r="I75" s="2177" t="s">
        <v>138</v>
      </c>
      <c r="J75" s="2178"/>
      <c r="K75" s="2179"/>
      <c r="L75" s="2180"/>
      <c r="M75" s="2181"/>
      <c r="N75" s="2181"/>
      <c r="O75" s="2181"/>
    </row>
    <row r="76" spans="1:21" s="2095" customFormat="1" ht="13.5" customHeight="1">
      <c r="A76" s="2096"/>
      <c r="B76" s="2097"/>
      <c r="C76" s="2098"/>
      <c r="D76" s="2182" t="s">
        <v>2129</v>
      </c>
      <c r="E76" s="2183"/>
      <c r="F76" s="2184">
        <v>30</v>
      </c>
      <c r="G76" s="2185"/>
      <c r="H76" s="2185"/>
      <c r="I76" s="2186"/>
      <c r="J76" s="2187"/>
      <c r="K76" s="2188"/>
      <c r="L76" s="1191"/>
      <c r="M76" s="2189"/>
      <c r="N76" s="2190"/>
      <c r="O76" s="1234"/>
      <c r="P76" s="1234"/>
      <c r="Q76" s="1234"/>
      <c r="R76" s="1234"/>
      <c r="S76" s="1234"/>
    </row>
    <row r="77" spans="1:21" s="2095" customFormat="1" ht="13.5" customHeight="1">
      <c r="A77" s="2096"/>
      <c r="B77" s="2097"/>
      <c r="C77" s="2098"/>
      <c r="D77" s="2182" t="s">
        <v>2130</v>
      </c>
      <c r="E77" s="2183"/>
      <c r="F77" s="2184"/>
      <c r="G77" s="2185"/>
      <c r="H77" s="2185"/>
      <c r="I77" s="2186"/>
      <c r="J77" s="2088"/>
      <c r="K77" s="1191"/>
      <c r="L77" s="1191"/>
      <c r="M77" s="1191"/>
      <c r="N77" s="1191"/>
      <c r="O77" s="1191"/>
      <c r="P77" s="2135"/>
      <c r="Q77" s="1191"/>
      <c r="R77" s="1191"/>
      <c r="S77" s="1191"/>
    </row>
    <row r="78" spans="1:21" s="2109" customFormat="1" ht="13.5" customHeight="1">
      <c r="A78" s="2102"/>
      <c r="B78" s="2103"/>
      <c r="C78" s="2191">
        <v>742</v>
      </c>
      <c r="D78" s="2191" t="s">
        <v>2999</v>
      </c>
      <c r="E78" s="2191"/>
      <c r="F78" s="2192"/>
      <c r="G78" s="2193"/>
      <c r="H78" s="2193">
        <f>SUM(H79:H117)</f>
        <v>0</v>
      </c>
      <c r="I78" s="2108"/>
    </row>
    <row r="79" spans="1:21" s="1234" customFormat="1" ht="13.5" customHeight="1">
      <c r="A79" s="2081">
        <v>23</v>
      </c>
      <c r="B79" s="2082" t="s">
        <v>2958</v>
      </c>
      <c r="C79" s="2082" t="s">
        <v>2139</v>
      </c>
      <c r="D79" s="2082" t="s">
        <v>3000</v>
      </c>
      <c r="E79" s="2090" t="s">
        <v>210</v>
      </c>
      <c r="F79" s="2083">
        <f>ROUND(SUM(F81),3)</f>
        <v>1</v>
      </c>
      <c r="G79" s="2091"/>
      <c r="H79" s="2084">
        <f t="shared" ref="H79" si="18">ROUND(F79*G79,2)</f>
        <v>0</v>
      </c>
      <c r="I79" s="2085" t="s">
        <v>111</v>
      </c>
      <c r="J79" s="2092"/>
      <c r="K79" s="2093"/>
      <c r="M79" s="2141"/>
      <c r="P79" s="1489"/>
    </row>
    <row r="80" spans="1:21" s="1234" customFormat="1" ht="13.5" customHeight="1">
      <c r="A80" s="2137"/>
      <c r="B80" s="2082"/>
      <c r="C80" s="2082"/>
      <c r="D80" s="2077" t="s">
        <v>3001</v>
      </c>
      <c r="E80" s="2090"/>
      <c r="F80" s="2078"/>
      <c r="G80" s="2091"/>
      <c r="H80" s="2079"/>
      <c r="I80" s="2085"/>
      <c r="J80" s="2092"/>
      <c r="K80" s="2093"/>
      <c r="M80" s="2141"/>
      <c r="P80" s="1489"/>
    </row>
    <row r="81" spans="1:16" s="1234" customFormat="1" ht="13.5" customHeight="1">
      <c r="A81" s="2143"/>
      <c r="B81" s="2082"/>
      <c r="C81" s="2082"/>
      <c r="D81" s="2077" t="s">
        <v>1071</v>
      </c>
      <c r="E81" s="2082"/>
      <c r="F81" s="2078">
        <v>1</v>
      </c>
      <c r="G81" s="2091"/>
      <c r="H81" s="2079"/>
      <c r="I81" s="2085"/>
      <c r="K81" s="1567"/>
      <c r="M81" s="2141"/>
    </row>
    <row r="82" spans="1:16" s="1234" customFormat="1" ht="27" customHeight="1">
      <c r="A82" s="2143"/>
      <c r="B82" s="2082"/>
      <c r="C82" s="2082"/>
      <c r="D82" s="2077" t="s">
        <v>3002</v>
      </c>
      <c r="E82" s="2082"/>
      <c r="F82" s="2078"/>
      <c r="G82" s="2091"/>
      <c r="H82" s="2079"/>
      <c r="I82" s="2085"/>
      <c r="K82" s="1567"/>
      <c r="M82" s="2141"/>
    </row>
    <row r="83" spans="1:16" s="1234" customFormat="1" ht="13.5" customHeight="1">
      <c r="A83" s="2081">
        <v>24</v>
      </c>
      <c r="B83" s="2082" t="s">
        <v>2958</v>
      </c>
      <c r="C83" s="2082" t="s">
        <v>3003</v>
      </c>
      <c r="D83" s="2082" t="s">
        <v>3004</v>
      </c>
      <c r="E83" s="2090" t="s">
        <v>210</v>
      </c>
      <c r="F83" s="2172">
        <f>SUM(F85:F85)</f>
        <v>2</v>
      </c>
      <c r="G83" s="2091"/>
      <c r="H83" s="2084">
        <f t="shared" ref="H83" si="19">ROUND(F83*G83,2)</f>
        <v>0</v>
      </c>
      <c r="I83" s="2085" t="s">
        <v>111</v>
      </c>
      <c r="J83" s="2092"/>
      <c r="K83" s="2093"/>
      <c r="M83" s="2141"/>
      <c r="P83" s="1489"/>
    </row>
    <row r="84" spans="1:16" s="1234" customFormat="1" ht="13.5" customHeight="1">
      <c r="A84" s="2137"/>
      <c r="B84" s="2082"/>
      <c r="C84" s="2082"/>
      <c r="D84" s="2077" t="s">
        <v>3005</v>
      </c>
      <c r="E84" s="2090"/>
      <c r="F84" s="2078"/>
      <c r="G84" s="2091"/>
      <c r="H84" s="2079"/>
      <c r="I84" s="2085"/>
      <c r="J84" s="2092"/>
      <c r="K84" s="2093"/>
      <c r="M84" s="2141"/>
      <c r="P84" s="1489"/>
    </row>
    <row r="85" spans="1:16" s="1234" customFormat="1" ht="13.5" customHeight="1">
      <c r="A85" s="2143"/>
      <c r="B85" s="2082"/>
      <c r="C85" s="2082"/>
      <c r="D85" s="2077" t="s">
        <v>1040</v>
      </c>
      <c r="E85" s="2082"/>
      <c r="F85" s="2078">
        <v>2</v>
      </c>
      <c r="G85" s="2091"/>
      <c r="H85" s="2079"/>
      <c r="I85" s="2085"/>
      <c r="K85" s="1567"/>
      <c r="M85" s="2141"/>
    </row>
    <row r="86" spans="1:16" s="1234" customFormat="1" ht="13.5" customHeight="1">
      <c r="A86" s="2143"/>
      <c r="B86" s="2082"/>
      <c r="C86" s="2082"/>
      <c r="D86" s="2077" t="s">
        <v>3006</v>
      </c>
      <c r="E86" s="2082"/>
      <c r="F86" s="2078"/>
      <c r="G86" s="2091"/>
      <c r="H86" s="2079"/>
      <c r="I86" s="2085"/>
      <c r="K86" s="1567"/>
      <c r="M86" s="2141"/>
    </row>
    <row r="87" spans="1:16" s="1234" customFormat="1" ht="13.5" customHeight="1">
      <c r="A87" s="2081">
        <v>25</v>
      </c>
      <c r="B87" s="2082" t="s">
        <v>2958</v>
      </c>
      <c r="C87" s="2082" t="s">
        <v>3007</v>
      </c>
      <c r="D87" s="2082" t="s">
        <v>3008</v>
      </c>
      <c r="E87" s="2090" t="s">
        <v>210</v>
      </c>
      <c r="F87" s="2172">
        <f>SUM(F89:F91)</f>
        <v>72</v>
      </c>
      <c r="G87" s="2091"/>
      <c r="H87" s="2084">
        <f t="shared" ref="H87" si="20">ROUND(F87*G87,2)</f>
        <v>0</v>
      </c>
      <c r="I87" s="2085" t="s">
        <v>111</v>
      </c>
      <c r="J87" s="2092"/>
      <c r="K87" s="2093"/>
      <c r="M87" s="2141"/>
      <c r="P87" s="1489"/>
    </row>
    <row r="88" spans="1:16" s="1234" customFormat="1" ht="13.5" customHeight="1">
      <c r="A88" s="2137"/>
      <c r="B88" s="2082"/>
      <c r="C88" s="2082"/>
      <c r="D88" s="2077" t="s">
        <v>3009</v>
      </c>
      <c r="E88" s="2090"/>
      <c r="F88" s="2078"/>
      <c r="G88" s="2091"/>
      <c r="H88" s="2079"/>
      <c r="I88" s="2085"/>
      <c r="J88" s="2092"/>
      <c r="K88" s="2093"/>
      <c r="M88" s="2141"/>
      <c r="P88" s="1489"/>
    </row>
    <row r="89" spans="1:16" s="1234" customFormat="1" ht="13.5" customHeight="1">
      <c r="A89" s="2143"/>
      <c r="B89" s="2082"/>
      <c r="C89" s="2082"/>
      <c r="D89" s="2077" t="s">
        <v>1032</v>
      </c>
      <c r="E89" s="2082"/>
      <c r="F89" s="2078">
        <v>9</v>
      </c>
      <c r="G89" s="2091"/>
      <c r="H89" s="2079"/>
      <c r="I89" s="2085"/>
      <c r="K89" s="1567"/>
      <c r="M89" s="2141"/>
    </row>
    <row r="90" spans="1:16" s="1234" customFormat="1" ht="13.5" customHeight="1">
      <c r="A90" s="2143"/>
      <c r="B90" s="2082"/>
      <c r="C90" s="2082"/>
      <c r="D90" s="2077" t="s">
        <v>1040</v>
      </c>
      <c r="E90" s="2082"/>
      <c r="F90" s="2078">
        <v>38</v>
      </c>
      <c r="G90" s="2091"/>
      <c r="H90" s="2079"/>
      <c r="I90" s="2085"/>
      <c r="K90" s="1567"/>
      <c r="M90" s="2141"/>
    </row>
    <row r="91" spans="1:16" s="1234" customFormat="1" ht="13.5" customHeight="1">
      <c r="A91" s="2143"/>
      <c r="B91" s="2082"/>
      <c r="C91" s="2082"/>
      <c r="D91" s="2077" t="s">
        <v>1235</v>
      </c>
      <c r="E91" s="2082"/>
      <c r="F91" s="2078">
        <v>25</v>
      </c>
      <c r="G91" s="2091"/>
      <c r="H91" s="2079"/>
      <c r="I91" s="2085"/>
      <c r="K91" s="1567"/>
      <c r="M91" s="2141"/>
    </row>
    <row r="92" spans="1:16" s="1234" customFormat="1" ht="13.5" customHeight="1">
      <c r="A92" s="2143"/>
      <c r="B92" s="2082"/>
      <c r="C92" s="2082"/>
      <c r="D92" s="2077" t="s">
        <v>3006</v>
      </c>
      <c r="E92" s="2082"/>
      <c r="F92" s="2078"/>
      <c r="G92" s="2091"/>
      <c r="H92" s="2079"/>
      <c r="I92" s="2085"/>
      <c r="K92" s="1567"/>
      <c r="M92" s="2141"/>
    </row>
    <row r="93" spans="1:16" s="1234" customFormat="1" ht="13.5" customHeight="1">
      <c r="A93" s="2081">
        <v>26</v>
      </c>
      <c r="B93" s="2082" t="s">
        <v>2958</v>
      </c>
      <c r="C93" s="2082" t="s">
        <v>3010</v>
      </c>
      <c r="D93" s="2082" t="s">
        <v>3011</v>
      </c>
      <c r="E93" s="2090" t="s">
        <v>210</v>
      </c>
      <c r="F93" s="2172">
        <f>SUM(F95:F95)</f>
        <v>39</v>
      </c>
      <c r="G93" s="2091"/>
      <c r="H93" s="2084">
        <f t="shared" ref="H93" si="21">ROUND(F93*G93,2)</f>
        <v>0</v>
      </c>
      <c r="I93" s="2085" t="s">
        <v>111</v>
      </c>
      <c r="J93" s="2092"/>
      <c r="K93" s="2093"/>
      <c r="M93" s="2141"/>
      <c r="P93" s="1489"/>
    </row>
    <row r="94" spans="1:16" s="1234" customFormat="1" ht="13.5" customHeight="1">
      <c r="A94" s="2137"/>
      <c r="B94" s="2082"/>
      <c r="C94" s="2082"/>
      <c r="D94" s="2077" t="s">
        <v>3012</v>
      </c>
      <c r="E94" s="2090"/>
      <c r="F94" s="2078"/>
      <c r="G94" s="2091"/>
      <c r="H94" s="2079"/>
      <c r="I94" s="2085"/>
      <c r="J94" s="2092"/>
      <c r="K94" s="2093"/>
      <c r="M94" s="2141"/>
      <c r="P94" s="1489"/>
    </row>
    <row r="95" spans="1:16" s="1234" customFormat="1" ht="13.5" customHeight="1">
      <c r="A95" s="2143"/>
      <c r="B95" s="2082"/>
      <c r="C95" s="2082"/>
      <c r="D95" s="2077" t="s">
        <v>1040</v>
      </c>
      <c r="E95" s="2082"/>
      <c r="F95" s="2078">
        <v>39</v>
      </c>
      <c r="G95" s="2091"/>
      <c r="H95" s="2079"/>
      <c r="I95" s="2085"/>
      <c r="K95" s="1567"/>
      <c r="M95" s="2141"/>
    </row>
    <row r="96" spans="1:16" s="1234" customFormat="1" ht="13.5" customHeight="1">
      <c r="A96" s="2143"/>
      <c r="B96" s="2082"/>
      <c r="C96" s="2082"/>
      <c r="D96" s="2077" t="s">
        <v>3006</v>
      </c>
      <c r="E96" s="2082"/>
      <c r="F96" s="2078"/>
      <c r="G96" s="2091"/>
      <c r="H96" s="2079"/>
      <c r="I96" s="2085"/>
      <c r="K96" s="1567"/>
      <c r="M96" s="2141"/>
    </row>
    <row r="97" spans="1:256" s="1234" customFormat="1" ht="13.5" customHeight="1">
      <c r="A97" s="2081">
        <v>27</v>
      </c>
      <c r="B97" s="2082" t="s">
        <v>2958</v>
      </c>
      <c r="C97" s="2082" t="s">
        <v>3013</v>
      </c>
      <c r="D97" s="2082" t="s">
        <v>3014</v>
      </c>
      <c r="E97" s="2090" t="s">
        <v>210</v>
      </c>
      <c r="F97" s="2172">
        <f>SUM(F99:F99)</f>
        <v>22</v>
      </c>
      <c r="G97" s="2091"/>
      <c r="H97" s="2084">
        <f t="shared" ref="H97" si="22">ROUND(F97*G97,2)</f>
        <v>0</v>
      </c>
      <c r="I97" s="2085" t="s">
        <v>111</v>
      </c>
      <c r="J97" s="2092"/>
      <c r="K97" s="2093"/>
      <c r="M97" s="2141"/>
      <c r="P97" s="1489"/>
    </row>
    <row r="98" spans="1:256" s="1234" customFormat="1" ht="13.5" customHeight="1">
      <c r="A98" s="2137"/>
      <c r="B98" s="2082"/>
      <c r="C98" s="2082"/>
      <c r="D98" s="2077" t="s">
        <v>3015</v>
      </c>
      <c r="E98" s="2090"/>
      <c r="F98" s="2078"/>
      <c r="G98" s="2091"/>
      <c r="H98" s="2079"/>
      <c r="I98" s="2085"/>
      <c r="J98" s="2092"/>
      <c r="K98" s="2093"/>
      <c r="M98" s="2141"/>
      <c r="P98" s="1489"/>
    </row>
    <row r="99" spans="1:256" s="1234" customFormat="1" ht="13.5" customHeight="1">
      <c r="A99" s="2143"/>
      <c r="B99" s="2082"/>
      <c r="C99" s="2082"/>
      <c r="D99" s="2077" t="s">
        <v>1040</v>
      </c>
      <c r="E99" s="2082"/>
      <c r="F99" s="2078">
        <v>22</v>
      </c>
      <c r="G99" s="2091"/>
      <c r="H99" s="2079"/>
      <c r="I99" s="2085"/>
      <c r="J99" s="2092"/>
      <c r="K99" s="2093"/>
      <c r="M99" s="2141"/>
      <c r="P99" s="1489"/>
      <c r="Q99" s="1566"/>
    </row>
    <row r="100" spans="1:256" s="1234" customFormat="1" ht="13.5" customHeight="1">
      <c r="A100" s="2143"/>
      <c r="B100" s="2082"/>
      <c r="C100" s="2082"/>
      <c r="D100" s="2077" t="s">
        <v>3006</v>
      </c>
      <c r="E100" s="2082"/>
      <c r="F100" s="2078"/>
      <c r="G100" s="2091"/>
      <c r="H100" s="2079"/>
      <c r="I100" s="2085"/>
      <c r="K100" s="1567"/>
      <c r="M100" s="2141"/>
    </row>
    <row r="101" spans="1:256" s="1191" customFormat="1" ht="13.5" customHeight="1">
      <c r="A101" s="2081">
        <v>28</v>
      </c>
      <c r="B101" s="2082" t="s">
        <v>2958</v>
      </c>
      <c r="C101" s="2082" t="s">
        <v>3016</v>
      </c>
      <c r="D101" s="2131" t="s">
        <v>3017</v>
      </c>
      <c r="E101" s="2131" t="s">
        <v>49</v>
      </c>
      <c r="F101" s="2083">
        <f>ROUND(SUM(F102),3)</f>
        <v>1</v>
      </c>
      <c r="G101" s="2132"/>
      <c r="H101" s="2084">
        <f t="shared" ref="H101" si="23">ROUND(F101*G101,2)</f>
        <v>0</v>
      </c>
      <c r="I101" s="2085" t="s">
        <v>111</v>
      </c>
    </row>
    <row r="102" spans="1:256" s="1191" customFormat="1" ht="27" customHeight="1">
      <c r="A102" s="2194"/>
      <c r="B102" s="2194"/>
      <c r="C102" s="2194"/>
      <c r="D102" s="2104" t="s">
        <v>3018</v>
      </c>
      <c r="E102" s="2131"/>
      <c r="F102" s="2078">
        <v>1</v>
      </c>
      <c r="G102" s="2195"/>
      <c r="H102" s="2195"/>
      <c r="I102" s="2131"/>
    </row>
    <row r="103" spans="1:256" s="1849" customFormat="1" ht="40.5" customHeight="1">
      <c r="A103" s="2196"/>
      <c r="B103" s="2197"/>
      <c r="C103" s="2198"/>
      <c r="D103" s="2199" t="s">
        <v>3019</v>
      </c>
      <c r="E103" s="2200"/>
      <c r="F103" s="2201"/>
      <c r="G103" s="2202"/>
      <c r="H103" s="2202"/>
      <c r="I103" s="2203"/>
      <c r="L103" s="1850"/>
      <c r="M103" s="1850"/>
      <c r="N103" s="1850"/>
      <c r="O103" s="1850"/>
      <c r="P103" s="1850"/>
      <c r="Q103" s="1850"/>
      <c r="R103" s="1850"/>
      <c r="S103" s="1850"/>
      <c r="T103" s="1850"/>
      <c r="U103" s="1850"/>
      <c r="V103" s="1850"/>
      <c r="W103" s="1850"/>
      <c r="X103" s="1850"/>
      <c r="Y103" s="1850"/>
      <c r="Z103" s="1850"/>
      <c r="AA103" s="1850"/>
      <c r="AB103" s="1850"/>
      <c r="AC103" s="1850"/>
      <c r="AD103" s="1850"/>
      <c r="AE103" s="1850"/>
      <c r="AF103" s="1850"/>
      <c r="AG103" s="1850"/>
      <c r="AH103" s="1850"/>
      <c r="AI103" s="1850"/>
      <c r="AJ103" s="1850"/>
      <c r="AK103" s="1850"/>
      <c r="AL103" s="1850"/>
      <c r="AM103" s="1850"/>
      <c r="AN103" s="1850"/>
      <c r="AO103" s="1850"/>
      <c r="AP103" s="1850"/>
      <c r="AQ103" s="1850"/>
      <c r="AR103" s="1850"/>
      <c r="AS103" s="1850"/>
      <c r="AT103" s="1850"/>
      <c r="AU103" s="1850"/>
      <c r="AV103" s="1850"/>
      <c r="AW103" s="1850"/>
      <c r="AX103" s="1850"/>
      <c r="AY103" s="1850"/>
      <c r="AZ103" s="1850"/>
      <c r="BA103" s="1850"/>
      <c r="BB103" s="1850"/>
      <c r="BC103" s="1850"/>
      <c r="BD103" s="1850"/>
      <c r="BE103" s="1850"/>
      <c r="BF103" s="1850"/>
      <c r="BG103" s="1850"/>
      <c r="BH103" s="1850"/>
      <c r="BI103" s="1850"/>
      <c r="BJ103" s="1850"/>
      <c r="BK103" s="1850"/>
      <c r="BL103" s="1850"/>
      <c r="BM103" s="1850"/>
      <c r="BN103" s="1850"/>
      <c r="BO103" s="1850"/>
      <c r="BP103" s="1850"/>
      <c r="BQ103" s="1850"/>
      <c r="BR103" s="1850"/>
      <c r="BS103" s="1850"/>
      <c r="BT103" s="1850"/>
      <c r="BU103" s="1850"/>
      <c r="BV103" s="1850"/>
      <c r="BW103" s="1850"/>
      <c r="BX103" s="1850"/>
      <c r="BY103" s="1850"/>
      <c r="BZ103" s="1850"/>
      <c r="CA103" s="1850"/>
      <c r="CB103" s="1850"/>
      <c r="CC103" s="1850"/>
      <c r="CD103" s="1850"/>
      <c r="CE103" s="1850"/>
      <c r="CF103" s="1850"/>
      <c r="CG103" s="1850"/>
      <c r="CH103" s="1850"/>
      <c r="CI103" s="1850"/>
      <c r="CJ103" s="1850"/>
      <c r="CK103" s="1850"/>
      <c r="CL103" s="1850"/>
      <c r="CM103" s="1850"/>
      <c r="CN103" s="1850"/>
      <c r="CO103" s="1850"/>
      <c r="CP103" s="1850"/>
      <c r="CQ103" s="1850"/>
      <c r="CR103" s="1850"/>
      <c r="CS103" s="1850"/>
      <c r="CT103" s="1850"/>
      <c r="CU103" s="1850"/>
      <c r="CV103" s="1850"/>
      <c r="CW103" s="1850"/>
      <c r="CX103" s="1850"/>
      <c r="CY103" s="1850"/>
      <c r="CZ103" s="1850"/>
      <c r="DA103" s="1850"/>
      <c r="DB103" s="1850"/>
      <c r="DC103" s="1850"/>
      <c r="DD103" s="1850"/>
      <c r="DE103" s="1850"/>
      <c r="DF103" s="1850"/>
      <c r="DG103" s="1850"/>
      <c r="DH103" s="1850"/>
      <c r="DI103" s="1850"/>
      <c r="DJ103" s="1850"/>
      <c r="DK103" s="1850"/>
      <c r="DL103" s="1850"/>
      <c r="DM103" s="1850"/>
      <c r="DN103" s="1850"/>
      <c r="DO103" s="1850"/>
      <c r="DP103" s="1850"/>
      <c r="DQ103" s="1850"/>
      <c r="DR103" s="1850"/>
      <c r="DS103" s="1850"/>
      <c r="DT103" s="1850"/>
      <c r="DU103" s="1850"/>
      <c r="DV103" s="1850"/>
      <c r="DW103" s="1850"/>
      <c r="DX103" s="1850"/>
      <c r="DY103" s="1850"/>
      <c r="DZ103" s="1850"/>
      <c r="EA103" s="1850"/>
      <c r="EB103" s="1850"/>
      <c r="EC103" s="1850"/>
      <c r="ED103" s="1850"/>
      <c r="EE103" s="1850"/>
      <c r="EF103" s="1850"/>
      <c r="EG103" s="1850"/>
      <c r="EH103" s="1850"/>
      <c r="EI103" s="1850"/>
      <c r="EJ103" s="1850"/>
      <c r="EK103" s="1850"/>
      <c r="EL103" s="1850"/>
      <c r="EM103" s="1850"/>
      <c r="EN103" s="1850"/>
      <c r="EO103" s="1850"/>
      <c r="EP103" s="1850"/>
      <c r="EQ103" s="1850"/>
      <c r="ER103" s="1850"/>
      <c r="ES103" s="1850"/>
      <c r="ET103" s="1850"/>
      <c r="EU103" s="1850"/>
      <c r="EV103" s="1850"/>
      <c r="EW103" s="1850"/>
      <c r="EX103" s="1850"/>
      <c r="EY103" s="1850"/>
      <c r="EZ103" s="1850"/>
      <c r="FA103" s="1850"/>
      <c r="FB103" s="1850"/>
      <c r="FC103" s="1850"/>
      <c r="FD103" s="1850"/>
      <c r="FE103" s="1850"/>
      <c r="FF103" s="1850"/>
      <c r="FG103" s="1850"/>
      <c r="FH103" s="1850"/>
      <c r="FI103" s="1850"/>
      <c r="FJ103" s="1850"/>
      <c r="FK103" s="1850"/>
      <c r="FL103" s="1850"/>
      <c r="FM103" s="1850"/>
      <c r="FN103" s="1850"/>
      <c r="FO103" s="1850"/>
      <c r="FP103" s="1850"/>
      <c r="FQ103" s="1850"/>
      <c r="FR103" s="1850"/>
      <c r="FS103" s="1850"/>
      <c r="FT103" s="1850"/>
      <c r="FU103" s="1850"/>
      <c r="FV103" s="1850"/>
      <c r="FW103" s="1850"/>
      <c r="FX103" s="1850"/>
      <c r="FY103" s="1850"/>
      <c r="FZ103" s="1850"/>
      <c r="GA103" s="1850"/>
      <c r="GB103" s="1850"/>
      <c r="GC103" s="1850"/>
      <c r="GD103" s="1850"/>
      <c r="GE103" s="1850"/>
      <c r="GF103" s="1850"/>
      <c r="GG103" s="1850"/>
      <c r="GH103" s="1850"/>
      <c r="GI103" s="1850"/>
      <c r="GJ103" s="1850"/>
      <c r="GK103" s="1850"/>
      <c r="GL103" s="1850"/>
      <c r="GM103" s="1850"/>
      <c r="GN103" s="1850"/>
      <c r="GO103" s="1850"/>
      <c r="GP103" s="1850"/>
      <c r="GQ103" s="1850"/>
      <c r="GR103" s="1850"/>
      <c r="GS103" s="1850"/>
      <c r="GT103" s="1850"/>
      <c r="GU103" s="1850"/>
      <c r="GV103" s="1850"/>
      <c r="GW103" s="1850"/>
      <c r="GX103" s="1850"/>
      <c r="GY103" s="1850"/>
      <c r="GZ103" s="1850"/>
      <c r="HA103" s="1850"/>
      <c r="HB103" s="1850"/>
      <c r="HC103" s="1850"/>
      <c r="HD103" s="1850"/>
      <c r="HE103" s="1850"/>
      <c r="HF103" s="1850"/>
      <c r="HG103" s="1850"/>
      <c r="HH103" s="1850"/>
      <c r="HI103" s="1850"/>
      <c r="HJ103" s="1850"/>
      <c r="HK103" s="1850"/>
      <c r="HL103" s="1850"/>
      <c r="HM103" s="1850"/>
      <c r="HN103" s="1850"/>
      <c r="HO103" s="1850"/>
      <c r="HP103" s="1850"/>
      <c r="HQ103" s="1850"/>
      <c r="HR103" s="1850"/>
      <c r="HS103" s="1850"/>
      <c r="HT103" s="1850"/>
      <c r="HU103" s="1850"/>
      <c r="HV103" s="1850"/>
      <c r="HW103" s="1850"/>
      <c r="HX103" s="1850"/>
      <c r="HY103" s="1850"/>
      <c r="HZ103" s="1850"/>
      <c r="IA103" s="1850"/>
      <c r="IB103" s="1850"/>
      <c r="IC103" s="1850"/>
      <c r="ID103" s="1850"/>
      <c r="IE103" s="1850"/>
      <c r="IF103" s="1850"/>
      <c r="IG103" s="1850"/>
      <c r="IH103" s="1850"/>
      <c r="II103" s="1850"/>
      <c r="IJ103" s="1850"/>
      <c r="IK103" s="1850"/>
      <c r="IL103" s="1850"/>
      <c r="IM103" s="1850"/>
      <c r="IN103" s="1850"/>
      <c r="IO103" s="1850"/>
      <c r="IP103" s="1850"/>
      <c r="IQ103" s="1850"/>
      <c r="IR103" s="1850"/>
      <c r="IS103" s="1850"/>
      <c r="IT103" s="1850"/>
      <c r="IU103" s="1850"/>
      <c r="IV103" s="1850"/>
    </row>
    <row r="104" spans="1:256" s="1259" customFormat="1" ht="27" customHeight="1">
      <c r="A104" s="2100">
        <v>29</v>
      </c>
      <c r="B104" s="2089">
        <v>742</v>
      </c>
      <c r="C104" s="2082" t="s">
        <v>2146</v>
      </c>
      <c r="D104" s="2082" t="s">
        <v>2147</v>
      </c>
      <c r="E104" s="2082" t="s">
        <v>49</v>
      </c>
      <c r="F104" s="2101">
        <f>ROUND(SUM(F105),3)</f>
        <v>1</v>
      </c>
      <c r="G104" s="2091"/>
      <c r="H104" s="2084">
        <f t="shared" ref="H104" si="24">ROUND(F104*G104,2)</f>
        <v>0</v>
      </c>
      <c r="I104" s="2085" t="s">
        <v>111</v>
      </c>
      <c r="J104" s="1428"/>
      <c r="K104" s="1427"/>
      <c r="L104" s="1427"/>
      <c r="M104" s="1428"/>
      <c r="N104" s="1432"/>
      <c r="O104" s="1433"/>
      <c r="P104" s="1191"/>
      <c r="Q104" s="1433"/>
      <c r="R104" s="1192"/>
      <c r="S104" s="1192"/>
    </row>
    <row r="105" spans="1:256" s="2109" customFormat="1" ht="13.5" customHeight="1">
      <c r="A105" s="2102"/>
      <c r="B105" s="2103"/>
      <c r="C105" s="2098"/>
      <c r="D105" s="2104" t="s">
        <v>2148</v>
      </c>
      <c r="E105" s="2105"/>
      <c r="F105" s="2106">
        <v>1</v>
      </c>
      <c r="G105" s="2107"/>
      <c r="H105" s="2107"/>
      <c r="I105" s="2108"/>
      <c r="J105" s="1428"/>
      <c r="K105" s="1427"/>
      <c r="L105" s="1427"/>
      <c r="M105" s="1428"/>
      <c r="N105" s="1432"/>
      <c r="O105" s="174"/>
      <c r="Q105" s="1428"/>
    </row>
    <row r="106" spans="1:256" s="2109" customFormat="1" ht="27" customHeight="1">
      <c r="A106" s="2102"/>
      <c r="B106" s="2103"/>
      <c r="C106" s="2098"/>
      <c r="D106" s="2104" t="s">
        <v>2123</v>
      </c>
      <c r="E106" s="2105"/>
      <c r="F106" s="2110"/>
      <c r="G106" s="2107"/>
      <c r="H106" s="2107"/>
      <c r="I106" s="2108"/>
      <c r="J106" s="1428"/>
      <c r="K106" s="1427"/>
      <c r="L106" s="1427"/>
      <c r="M106" s="1428"/>
      <c r="N106" s="1432"/>
      <c r="O106" s="1191"/>
      <c r="P106" s="1429"/>
      <c r="Q106" s="1428"/>
    </row>
    <row r="107" spans="1:256" s="1439" customFormat="1" ht="13.5" customHeight="1">
      <c r="A107" s="2081">
        <v>30</v>
      </c>
      <c r="B107" s="2089">
        <v>742</v>
      </c>
      <c r="C107" s="2082" t="s">
        <v>2143</v>
      </c>
      <c r="D107" s="2111" t="s">
        <v>1950</v>
      </c>
      <c r="E107" s="2112" t="s">
        <v>49</v>
      </c>
      <c r="F107" s="2083">
        <f>ROUND(SUM(F108),3)</f>
        <v>1</v>
      </c>
      <c r="G107" s="2079"/>
      <c r="H107" s="2084">
        <f t="shared" ref="H107" si="25">ROUND(F107*G107,2)</f>
        <v>0</v>
      </c>
      <c r="I107" s="2085" t="s">
        <v>111</v>
      </c>
      <c r="J107" s="1191"/>
      <c r="K107" s="2113"/>
      <c r="L107" s="1191"/>
      <c r="Q107" s="1441"/>
      <c r="R107" s="1441"/>
      <c r="S107" s="1441"/>
      <c r="T107" s="1441"/>
      <c r="U107" s="1441"/>
    </row>
    <row r="108" spans="1:256" s="1439" customFormat="1" ht="13.5" customHeight="1">
      <c r="A108" s="2114"/>
      <c r="B108" s="2112"/>
      <c r="C108" s="2112"/>
      <c r="D108" s="2115" t="s">
        <v>2125</v>
      </c>
      <c r="E108" s="2112"/>
      <c r="F108" s="2116">
        <v>1</v>
      </c>
      <c r="G108" s="2117"/>
      <c r="H108" s="2117"/>
      <c r="I108" s="2118"/>
      <c r="J108" s="1191"/>
      <c r="K108" s="2119"/>
      <c r="Q108" s="1441"/>
      <c r="R108" s="1441"/>
      <c r="S108" s="1441"/>
      <c r="T108" s="1441"/>
      <c r="U108" s="1441"/>
    </row>
    <row r="109" spans="1:256" s="1439" customFormat="1" ht="40.5" customHeight="1">
      <c r="A109" s="2114"/>
      <c r="B109" s="2112"/>
      <c r="C109" s="2112"/>
      <c r="D109" s="2115" t="s">
        <v>2126</v>
      </c>
      <c r="E109" s="2112"/>
      <c r="F109" s="2120"/>
      <c r="G109" s="2117"/>
      <c r="H109" s="2117"/>
      <c r="I109" s="2118"/>
      <c r="J109" s="1191"/>
      <c r="K109" s="2121"/>
    </row>
    <row r="110" spans="1:256" s="1439" customFormat="1" ht="13.5" customHeight="1">
      <c r="A110" s="2081">
        <v>31</v>
      </c>
      <c r="B110" s="2089">
        <v>742</v>
      </c>
      <c r="C110" s="2082" t="s">
        <v>2144</v>
      </c>
      <c r="D110" s="2111" t="s">
        <v>1954</v>
      </c>
      <c r="E110" s="2112" t="s">
        <v>49</v>
      </c>
      <c r="F110" s="2083">
        <f>ROUND(SUM(F111),3)</f>
        <v>1</v>
      </c>
      <c r="G110" s="2079"/>
      <c r="H110" s="2084">
        <f t="shared" ref="H110" si="26">ROUND(F110*G110,2)</f>
        <v>0</v>
      </c>
      <c r="I110" s="2085" t="s">
        <v>111</v>
      </c>
      <c r="J110" s="1191"/>
      <c r="K110" s="2113"/>
      <c r="L110" s="1191"/>
      <c r="Q110" s="1441"/>
      <c r="R110" s="1441"/>
      <c r="S110" s="1441"/>
      <c r="T110" s="1441"/>
      <c r="U110" s="1441"/>
    </row>
    <row r="111" spans="1:256" s="1439" customFormat="1" ht="27" customHeight="1">
      <c r="A111" s="2114"/>
      <c r="B111" s="2112"/>
      <c r="C111" s="2112"/>
      <c r="D111" s="2115" t="s">
        <v>2128</v>
      </c>
      <c r="E111" s="2112"/>
      <c r="F111" s="2116">
        <v>1</v>
      </c>
      <c r="G111" s="2117"/>
      <c r="H111" s="2117"/>
      <c r="I111" s="2118"/>
      <c r="J111" s="1191"/>
      <c r="K111" s="2113"/>
      <c r="Q111" s="1441"/>
      <c r="R111" s="1441"/>
      <c r="S111" s="1441"/>
      <c r="T111" s="1441"/>
      <c r="U111" s="1441"/>
    </row>
    <row r="112" spans="1:256" s="1439" customFormat="1" ht="40.5" customHeight="1">
      <c r="A112" s="2114"/>
      <c r="B112" s="2112"/>
      <c r="C112" s="2112"/>
      <c r="D112" s="2115" t="s">
        <v>1952</v>
      </c>
      <c r="E112" s="2112"/>
      <c r="F112" s="2120"/>
      <c r="G112" s="2117"/>
      <c r="H112" s="2117"/>
      <c r="I112" s="2118"/>
      <c r="J112" s="1191"/>
      <c r="K112" s="2121"/>
    </row>
    <row r="113" spans="1:34" s="1191" customFormat="1" ht="13.5" customHeight="1">
      <c r="A113" s="2081">
        <v>32</v>
      </c>
      <c r="B113" s="2089">
        <v>742</v>
      </c>
      <c r="C113" s="2082" t="s">
        <v>3020</v>
      </c>
      <c r="D113" s="2082" t="s">
        <v>1966</v>
      </c>
      <c r="E113" s="2122" t="s">
        <v>49</v>
      </c>
      <c r="F113" s="2083">
        <v>1</v>
      </c>
      <c r="G113" s="2079"/>
      <c r="H113" s="2107">
        <f>ROUND(F113*G113,2)</f>
        <v>0</v>
      </c>
      <c r="I113" s="2085" t="s">
        <v>111</v>
      </c>
    </row>
    <row r="114" spans="1:34" s="2127" customFormat="1" ht="13.5" customHeight="1">
      <c r="A114" s="2081">
        <v>33</v>
      </c>
      <c r="B114" s="2123">
        <v>742</v>
      </c>
      <c r="C114" s="2103">
        <v>998742312</v>
      </c>
      <c r="D114" s="2124" t="s">
        <v>2974</v>
      </c>
      <c r="E114" s="2124" t="s">
        <v>10</v>
      </c>
      <c r="F114" s="2125">
        <v>0.89</v>
      </c>
      <c r="G114" s="2107"/>
      <c r="H114" s="2084">
        <f t="shared" ref="H114:H115" si="27">ROUND(F114*G114,2)</f>
        <v>0</v>
      </c>
      <c r="I114" s="2126" t="s">
        <v>138</v>
      </c>
      <c r="J114" s="1428"/>
      <c r="K114" s="1427"/>
      <c r="L114" s="1427"/>
      <c r="M114" s="1428"/>
      <c r="N114" s="1432"/>
      <c r="O114" s="1447"/>
      <c r="Q114" s="1428"/>
    </row>
    <row r="115" spans="1:34" s="2109" customFormat="1" ht="13.5" customHeight="1">
      <c r="A115" s="2081">
        <v>34</v>
      </c>
      <c r="B115" s="2103" t="s">
        <v>369</v>
      </c>
      <c r="C115" s="2103" t="s">
        <v>2257</v>
      </c>
      <c r="D115" s="2103" t="s">
        <v>1929</v>
      </c>
      <c r="E115" s="2103" t="s">
        <v>69</v>
      </c>
      <c r="F115" s="2083">
        <f>ROUND(SUM(F116),3)</f>
        <v>10</v>
      </c>
      <c r="G115" s="2091"/>
      <c r="H115" s="2084">
        <f t="shared" si="27"/>
        <v>0</v>
      </c>
      <c r="I115" s="2126" t="s">
        <v>138</v>
      </c>
    </row>
    <row r="116" spans="1:34" s="2109" customFormat="1" ht="13.5" customHeight="1">
      <c r="A116" s="2102"/>
      <c r="B116" s="2103"/>
      <c r="C116" s="2098"/>
      <c r="D116" s="2104" t="s">
        <v>2129</v>
      </c>
      <c r="E116" s="2105"/>
      <c r="F116" s="2106">
        <v>10</v>
      </c>
      <c r="G116" s="2107"/>
      <c r="H116" s="2107"/>
      <c r="I116" s="2108"/>
    </row>
    <row r="117" spans="1:34" s="2109" customFormat="1" ht="13.5" customHeight="1">
      <c r="A117" s="2102"/>
      <c r="B117" s="2103"/>
      <c r="C117" s="2098"/>
      <c r="D117" s="2104" t="s">
        <v>2130</v>
      </c>
      <c r="E117" s="2105"/>
      <c r="F117" s="2106"/>
      <c r="G117" s="2107"/>
      <c r="H117" s="2107"/>
      <c r="I117" s="2108"/>
    </row>
    <row r="118" spans="1:34" s="1234" customFormat="1" ht="13.5" customHeight="1">
      <c r="A118" s="2074"/>
      <c r="B118" s="2076"/>
      <c r="C118" s="2076">
        <v>742</v>
      </c>
      <c r="D118" s="2076" t="s">
        <v>2138</v>
      </c>
      <c r="E118" s="2076"/>
      <c r="F118" s="2128"/>
      <c r="G118" s="2129"/>
      <c r="H118" s="2130">
        <f>SUM(H119:H143)</f>
        <v>0</v>
      </c>
      <c r="I118" s="2080"/>
      <c r="K118" s="1238"/>
      <c r="L118" s="1238"/>
      <c r="M118" s="1238"/>
      <c r="N118" s="1238"/>
      <c r="O118" s="1238"/>
      <c r="P118" s="1238"/>
    </row>
    <row r="119" spans="1:34" s="1234" customFormat="1" ht="13.5" customHeight="1">
      <c r="A119" s="2081">
        <v>35</v>
      </c>
      <c r="B119" s="2089">
        <v>742</v>
      </c>
      <c r="C119" s="2082" t="s">
        <v>2145</v>
      </c>
      <c r="D119" s="2082" t="s">
        <v>3021</v>
      </c>
      <c r="E119" s="2204" t="s">
        <v>210</v>
      </c>
      <c r="F119" s="2205">
        <f>SUM(F121:F122)</f>
        <v>12</v>
      </c>
      <c r="G119" s="2132"/>
      <c r="H119" s="2084">
        <f t="shared" ref="H119" si="28">ROUND(F119*G119,2)</f>
        <v>0</v>
      </c>
      <c r="I119" s="2085" t="s">
        <v>111</v>
      </c>
      <c r="J119" s="2092"/>
      <c r="K119" s="2133"/>
      <c r="L119" s="1259"/>
      <c r="M119" s="1259"/>
      <c r="N119" s="2135"/>
      <c r="P119" s="1238"/>
      <c r="S119" s="1489"/>
    </row>
    <row r="120" spans="1:34" s="1191" customFormat="1" ht="13.5" customHeight="1">
      <c r="A120" s="2074"/>
      <c r="B120" s="2075"/>
      <c r="C120" s="2076"/>
      <c r="D120" s="2077" t="s">
        <v>3022</v>
      </c>
      <c r="E120" s="2076"/>
      <c r="F120" s="2078"/>
      <c r="G120" s="2079"/>
      <c r="H120" s="2079"/>
      <c r="I120" s="2080"/>
      <c r="J120" s="2092"/>
      <c r="R120" s="2092"/>
      <c r="S120" s="1489"/>
      <c r="T120" s="1259"/>
      <c r="U120" s="1259"/>
      <c r="V120" s="2135"/>
      <c r="W120" s="1234"/>
      <c r="X120" s="1489"/>
      <c r="AC120" s="1234"/>
      <c r="AD120" s="1234"/>
      <c r="AE120" s="1234"/>
      <c r="AF120" s="1234"/>
      <c r="AG120" s="1234"/>
      <c r="AH120" s="1234"/>
    </row>
    <row r="121" spans="1:34" s="1191" customFormat="1" ht="13.5" customHeight="1">
      <c r="A121" s="2074"/>
      <c r="B121" s="2075"/>
      <c r="C121" s="2076"/>
      <c r="D121" s="2077" t="s">
        <v>1182</v>
      </c>
      <c r="E121" s="2076"/>
      <c r="F121" s="2078">
        <v>8</v>
      </c>
      <c r="G121" s="2079"/>
      <c r="H121" s="2079"/>
      <c r="I121" s="2080"/>
      <c r="J121" s="2092"/>
      <c r="K121" s="2206"/>
      <c r="L121" s="1234"/>
      <c r="M121" s="1234"/>
      <c r="N121" s="1234"/>
      <c r="O121" s="1234"/>
      <c r="P121" s="1489"/>
      <c r="R121" s="2088"/>
      <c r="Z121" s="2135"/>
      <c r="AA121" s="1578"/>
    </row>
    <row r="122" spans="1:34" s="1191" customFormat="1" ht="13.5" customHeight="1">
      <c r="A122" s="2074"/>
      <c r="B122" s="2075"/>
      <c r="C122" s="2076"/>
      <c r="D122" s="2077" t="s">
        <v>1235</v>
      </c>
      <c r="E122" s="2076"/>
      <c r="F122" s="2078">
        <v>4</v>
      </c>
      <c r="G122" s="2079"/>
      <c r="H122" s="2079"/>
      <c r="I122" s="2080"/>
      <c r="J122" s="2088"/>
      <c r="P122" s="2135"/>
      <c r="R122" s="1234"/>
      <c r="S122" s="1234"/>
      <c r="T122" s="1234"/>
      <c r="U122" s="1234"/>
      <c r="V122" s="1234"/>
      <c r="W122" s="1234"/>
      <c r="X122" s="1234"/>
      <c r="Y122" s="1234"/>
      <c r="Z122" s="1234"/>
      <c r="AA122" s="1234"/>
      <c r="AB122" s="1234"/>
    </row>
    <row r="123" spans="1:34" s="1234" customFormat="1" ht="13.5" customHeight="1">
      <c r="A123" s="2081"/>
      <c r="B123" s="2194"/>
      <c r="C123" s="2194"/>
      <c r="D123" s="2182" t="s">
        <v>3023</v>
      </c>
      <c r="E123" s="2131"/>
      <c r="F123" s="2078"/>
      <c r="G123" s="2132"/>
      <c r="H123" s="2195"/>
      <c r="I123" s="2131"/>
    </row>
    <row r="124" spans="1:34" s="1234" customFormat="1" ht="13.5" customHeight="1">
      <c r="A124" s="2081">
        <v>36</v>
      </c>
      <c r="B124" s="2089">
        <v>742</v>
      </c>
      <c r="C124" s="2082" t="s">
        <v>3024</v>
      </c>
      <c r="D124" s="2082" t="s">
        <v>3025</v>
      </c>
      <c r="E124" s="2204" t="s">
        <v>210</v>
      </c>
      <c r="F124" s="2205">
        <f>SUM(F126:F126)</f>
        <v>9</v>
      </c>
      <c r="G124" s="2132"/>
      <c r="H124" s="2084">
        <f t="shared" ref="H124" si="29">ROUND(F124*G124,2)</f>
        <v>0</v>
      </c>
      <c r="I124" s="2085" t="s">
        <v>111</v>
      </c>
      <c r="J124" s="2092"/>
      <c r="K124" s="2133"/>
      <c r="L124" s="1259"/>
      <c r="M124" s="1259"/>
      <c r="N124" s="2135"/>
      <c r="P124" s="2135"/>
    </row>
    <row r="125" spans="1:34" s="1191" customFormat="1" ht="13.5" customHeight="1">
      <c r="A125" s="2074"/>
      <c r="B125" s="2075"/>
      <c r="C125" s="2076"/>
      <c r="D125" s="2077" t="s">
        <v>3026</v>
      </c>
      <c r="E125" s="2076"/>
      <c r="F125" s="2078"/>
      <c r="G125" s="2079"/>
      <c r="H125" s="2079"/>
      <c r="I125" s="2080"/>
      <c r="J125" s="2092"/>
      <c r="K125" s="2133"/>
      <c r="L125" s="1259"/>
      <c r="M125" s="1259"/>
      <c r="N125" s="2135"/>
      <c r="O125" s="1234"/>
      <c r="P125" s="2135"/>
      <c r="Q125" s="1234"/>
      <c r="S125" s="1234"/>
      <c r="U125" s="1489"/>
    </row>
    <row r="126" spans="1:34" s="1191" customFormat="1" ht="13.5" customHeight="1">
      <c r="A126" s="2074"/>
      <c r="B126" s="2075"/>
      <c r="C126" s="2076"/>
      <c r="D126" s="2077" t="s">
        <v>1235</v>
      </c>
      <c r="E126" s="2076"/>
      <c r="F126" s="2078">
        <v>9</v>
      </c>
      <c r="G126" s="2079"/>
      <c r="H126" s="2079"/>
      <c r="I126" s="2080"/>
      <c r="J126" s="2092"/>
      <c r="K126" s="2133"/>
      <c r="L126" s="1259"/>
      <c r="M126" s="1259"/>
      <c r="N126" s="2135"/>
      <c r="O126" s="1234"/>
      <c r="P126" s="2135"/>
      <c r="R126" s="2207"/>
      <c r="S126" s="1234"/>
    </row>
    <row r="127" spans="1:34" s="1234" customFormat="1" ht="13.5" customHeight="1">
      <c r="A127" s="2081"/>
      <c r="B127" s="2194"/>
      <c r="C127" s="2194"/>
      <c r="D127" s="2182" t="s">
        <v>3023</v>
      </c>
      <c r="E127" s="2131"/>
      <c r="F127" s="2078"/>
      <c r="G127" s="2195"/>
      <c r="H127" s="2195"/>
      <c r="I127" s="2131"/>
      <c r="J127" s="2092"/>
      <c r="K127" s="2133"/>
      <c r="L127" s="1259"/>
      <c r="M127" s="1259"/>
      <c r="N127" s="2135"/>
      <c r="P127" s="2135"/>
      <c r="Q127" s="1191"/>
      <c r="R127" s="1191"/>
      <c r="S127" s="2135"/>
    </row>
    <row r="128" spans="1:34" s="1234" customFormat="1" ht="13.5" customHeight="1">
      <c r="A128" s="2081">
        <v>37</v>
      </c>
      <c r="B128" s="2089">
        <v>742</v>
      </c>
      <c r="C128" s="2082" t="s">
        <v>3027</v>
      </c>
      <c r="D128" s="2082" t="s">
        <v>3028</v>
      </c>
      <c r="E128" s="2082" t="s">
        <v>210</v>
      </c>
      <c r="F128" s="2083">
        <f>F129</f>
        <v>1</v>
      </c>
      <c r="G128" s="2079"/>
      <c r="H128" s="2084">
        <f t="shared" ref="H128" si="30">ROUND(F128*G128,2)</f>
        <v>0</v>
      </c>
      <c r="I128" s="2085" t="s">
        <v>111</v>
      </c>
      <c r="J128" s="1191"/>
      <c r="L128" s="1191"/>
    </row>
    <row r="129" spans="1:21" s="1234" customFormat="1" ht="13.5" customHeight="1">
      <c r="A129" s="2100"/>
      <c r="B129" s="2089"/>
      <c r="C129" s="2082"/>
      <c r="D129" s="2077" t="s">
        <v>3029</v>
      </c>
      <c r="E129" s="2208"/>
      <c r="F129" s="2078">
        <v>1</v>
      </c>
      <c r="G129" s="2209"/>
      <c r="H129" s="2210"/>
      <c r="I129" s="2080"/>
      <c r="J129" s="1566"/>
      <c r="L129" s="1191"/>
    </row>
    <row r="130" spans="1:21" s="1259" customFormat="1" ht="13.5" customHeight="1">
      <c r="A130" s="2100">
        <v>38</v>
      </c>
      <c r="B130" s="2089">
        <v>742</v>
      </c>
      <c r="C130" s="2082" t="s">
        <v>2140</v>
      </c>
      <c r="D130" s="2082" t="s">
        <v>2141</v>
      </c>
      <c r="E130" s="2082" t="s">
        <v>49</v>
      </c>
      <c r="F130" s="2101">
        <f>ROUND(SUM(F131),3)</f>
        <v>1</v>
      </c>
      <c r="G130" s="2091"/>
      <c r="H130" s="2084">
        <f t="shared" ref="H130" si="31">ROUND(F130*G130,2)</f>
        <v>0</v>
      </c>
      <c r="I130" s="2085" t="s">
        <v>111</v>
      </c>
      <c r="J130" s="1428"/>
      <c r="K130" s="1427"/>
      <c r="L130" s="1427"/>
      <c r="M130" s="1428"/>
      <c r="N130" s="1432"/>
      <c r="O130" s="1433"/>
      <c r="P130" s="1191"/>
      <c r="Q130" s="1433"/>
      <c r="R130" s="1192"/>
      <c r="S130" s="1192"/>
    </row>
    <row r="131" spans="1:21" s="2109" customFormat="1" ht="13.5" customHeight="1">
      <c r="A131" s="2102"/>
      <c r="B131" s="2103"/>
      <c r="C131" s="2098"/>
      <c r="D131" s="2104" t="s">
        <v>2142</v>
      </c>
      <c r="E131" s="2105"/>
      <c r="F131" s="2106">
        <v>1</v>
      </c>
      <c r="G131" s="2107"/>
      <c r="H131" s="2107"/>
      <c r="I131" s="2108"/>
      <c r="J131" s="1428"/>
      <c r="K131" s="1427"/>
      <c r="L131" s="1427"/>
      <c r="M131" s="1428"/>
      <c r="N131" s="1432"/>
      <c r="O131" s="1191"/>
      <c r="Q131" s="1428"/>
    </row>
    <row r="132" spans="1:21" s="2109" customFormat="1" ht="27" customHeight="1">
      <c r="A132" s="2102"/>
      <c r="B132" s="2103"/>
      <c r="C132" s="2098"/>
      <c r="D132" s="2104" t="s">
        <v>2123</v>
      </c>
      <c r="E132" s="2105"/>
      <c r="F132" s="2110"/>
      <c r="G132" s="2107"/>
      <c r="H132" s="2107"/>
      <c r="I132" s="2108"/>
      <c r="J132" s="1428"/>
      <c r="K132" s="1427"/>
      <c r="L132" s="1427"/>
      <c r="M132" s="1428"/>
      <c r="N132" s="1432"/>
      <c r="O132" s="1191"/>
      <c r="P132" s="1429"/>
      <c r="Q132" s="1428"/>
    </row>
    <row r="133" spans="1:21" s="1439" customFormat="1" ht="13.5" customHeight="1">
      <c r="A133" s="2081">
        <v>39</v>
      </c>
      <c r="B133" s="2089">
        <v>742</v>
      </c>
      <c r="C133" s="2082" t="s">
        <v>2149</v>
      </c>
      <c r="D133" s="2111" t="s">
        <v>1950</v>
      </c>
      <c r="E133" s="2112" t="s">
        <v>49</v>
      </c>
      <c r="F133" s="2083">
        <f>ROUND(SUM(F134),3)</f>
        <v>1</v>
      </c>
      <c r="G133" s="2079"/>
      <c r="H133" s="2084">
        <f t="shared" ref="H133" si="32">ROUND(F133*G133,2)</f>
        <v>0</v>
      </c>
      <c r="I133" s="2085" t="s">
        <v>111</v>
      </c>
      <c r="J133" s="1191"/>
      <c r="K133" s="2113"/>
      <c r="L133" s="1191"/>
      <c r="Q133" s="1441"/>
      <c r="R133" s="1441"/>
      <c r="S133" s="1441"/>
      <c r="T133" s="1441"/>
      <c r="U133" s="1441"/>
    </row>
    <row r="134" spans="1:21" s="1439" customFormat="1" ht="13.5" customHeight="1">
      <c r="A134" s="2114"/>
      <c r="B134" s="2112"/>
      <c r="C134" s="2112"/>
      <c r="D134" s="2115" t="s">
        <v>2125</v>
      </c>
      <c r="E134" s="2112"/>
      <c r="F134" s="2116">
        <v>1</v>
      </c>
      <c r="G134" s="2117"/>
      <c r="H134" s="2117"/>
      <c r="I134" s="2118"/>
      <c r="J134" s="1191"/>
      <c r="K134" s="2119"/>
      <c r="Q134" s="1441"/>
      <c r="R134" s="1441"/>
      <c r="S134" s="1441"/>
      <c r="T134" s="1441"/>
      <c r="U134" s="1441"/>
    </row>
    <row r="135" spans="1:21" s="1439" customFormat="1" ht="40.5" customHeight="1">
      <c r="A135" s="2114"/>
      <c r="B135" s="2112"/>
      <c r="C135" s="2112"/>
      <c r="D135" s="2115" t="s">
        <v>2126</v>
      </c>
      <c r="E135" s="2112"/>
      <c r="F135" s="2120"/>
      <c r="G135" s="2117"/>
      <c r="H135" s="2117"/>
      <c r="I135" s="2118"/>
      <c r="J135" s="1191"/>
      <c r="K135" s="2121"/>
    </row>
    <row r="136" spans="1:21" s="1439" customFormat="1" ht="13.5" customHeight="1">
      <c r="A136" s="2081">
        <v>40</v>
      </c>
      <c r="B136" s="2089">
        <v>742</v>
      </c>
      <c r="C136" s="2082" t="s">
        <v>2150</v>
      </c>
      <c r="D136" s="2111" t="s">
        <v>1954</v>
      </c>
      <c r="E136" s="2112" t="s">
        <v>49</v>
      </c>
      <c r="F136" s="2083">
        <f>ROUND(SUM(F137),3)</f>
        <v>1</v>
      </c>
      <c r="G136" s="2079"/>
      <c r="H136" s="2084">
        <f t="shared" ref="H136" si="33">ROUND(F136*G136,2)</f>
        <v>0</v>
      </c>
      <c r="I136" s="2085" t="s">
        <v>111</v>
      </c>
      <c r="J136" s="1191"/>
      <c r="K136" s="2113"/>
      <c r="L136" s="1191"/>
      <c r="Q136" s="1441"/>
      <c r="R136" s="1441"/>
      <c r="S136" s="1441"/>
      <c r="T136" s="1441"/>
      <c r="U136" s="1441"/>
    </row>
    <row r="137" spans="1:21" s="1439" customFormat="1" ht="27" customHeight="1">
      <c r="A137" s="2114"/>
      <c r="B137" s="2112"/>
      <c r="C137" s="2112"/>
      <c r="D137" s="2115" t="s">
        <v>2128</v>
      </c>
      <c r="E137" s="2112"/>
      <c r="F137" s="2116">
        <v>1</v>
      </c>
      <c r="G137" s="2117"/>
      <c r="H137" s="2117"/>
      <c r="I137" s="2118"/>
      <c r="J137" s="1191"/>
      <c r="K137" s="2113"/>
      <c r="Q137" s="1441"/>
      <c r="R137" s="1441"/>
      <c r="S137" s="1441"/>
      <c r="T137" s="1441"/>
      <c r="U137" s="1441"/>
    </row>
    <row r="138" spans="1:21" s="1439" customFormat="1" ht="40.5" customHeight="1">
      <c r="A138" s="2114"/>
      <c r="B138" s="2112"/>
      <c r="C138" s="2112"/>
      <c r="D138" s="2115" t="s">
        <v>1952</v>
      </c>
      <c r="E138" s="2112"/>
      <c r="F138" s="2120"/>
      <c r="G138" s="2117"/>
      <c r="H138" s="2117"/>
      <c r="I138" s="2118"/>
      <c r="J138" s="1191"/>
      <c r="K138" s="2121"/>
    </row>
    <row r="139" spans="1:21" s="1191" customFormat="1" ht="13.5" customHeight="1">
      <c r="A139" s="2081">
        <v>41</v>
      </c>
      <c r="B139" s="2089">
        <v>742</v>
      </c>
      <c r="C139" s="2082" t="s">
        <v>3030</v>
      </c>
      <c r="D139" s="2082" t="s">
        <v>1966</v>
      </c>
      <c r="E139" s="2122" t="s">
        <v>49</v>
      </c>
      <c r="F139" s="2083">
        <v>1</v>
      </c>
      <c r="G139" s="2079"/>
      <c r="H139" s="2107">
        <f>ROUND(F139*G139,2)</f>
        <v>0</v>
      </c>
      <c r="I139" s="2085" t="s">
        <v>111</v>
      </c>
    </row>
    <row r="140" spans="1:21" s="2094" customFormat="1" ht="13.5" customHeight="1">
      <c r="A140" s="2081">
        <v>42</v>
      </c>
      <c r="B140" s="2123">
        <v>742</v>
      </c>
      <c r="C140" s="2103">
        <v>998742312</v>
      </c>
      <c r="D140" s="2124" t="s">
        <v>2974</v>
      </c>
      <c r="E140" s="2124" t="s">
        <v>10</v>
      </c>
      <c r="F140" s="2125">
        <v>0.89</v>
      </c>
      <c r="G140" s="2107"/>
      <c r="H140" s="2084">
        <f t="shared" ref="H140:H141" si="34">ROUND(F140*G140,2)</f>
        <v>0</v>
      </c>
      <c r="I140" s="2177" t="s">
        <v>138</v>
      </c>
      <c r="J140" s="2211"/>
      <c r="K140" s="2212"/>
    </row>
    <row r="141" spans="1:21" s="2095" customFormat="1" ht="13.5" customHeight="1">
      <c r="A141" s="2081">
        <v>43</v>
      </c>
      <c r="B141" s="2082" t="s">
        <v>369</v>
      </c>
      <c r="C141" s="2082" t="s">
        <v>1928</v>
      </c>
      <c r="D141" s="2082" t="s">
        <v>1929</v>
      </c>
      <c r="E141" s="2097" t="s">
        <v>69</v>
      </c>
      <c r="F141" s="2213">
        <f>F142</f>
        <v>30</v>
      </c>
      <c r="G141" s="2091"/>
      <c r="H141" s="2084">
        <f t="shared" si="34"/>
        <v>0</v>
      </c>
      <c r="I141" s="2177" t="s">
        <v>138</v>
      </c>
      <c r="J141" s="2178"/>
      <c r="K141" s="2179"/>
      <c r="L141" s="2180"/>
      <c r="M141" s="2181"/>
      <c r="N141" s="2181"/>
      <c r="O141" s="2181"/>
    </row>
    <row r="142" spans="1:21" s="2095" customFormat="1" ht="13.5" customHeight="1">
      <c r="A142" s="2096"/>
      <c r="B142" s="2097"/>
      <c r="C142" s="2098"/>
      <c r="D142" s="2182" t="s">
        <v>2129</v>
      </c>
      <c r="E142" s="2183"/>
      <c r="F142" s="2184">
        <v>30</v>
      </c>
      <c r="G142" s="2185"/>
      <c r="H142" s="2185"/>
      <c r="I142" s="2186"/>
      <c r="J142" s="1375"/>
      <c r="K142" s="2045"/>
      <c r="L142" s="2094"/>
      <c r="M142" s="2094"/>
      <c r="N142" s="2094"/>
      <c r="O142" s="2094"/>
    </row>
    <row r="143" spans="1:21" s="2095" customFormat="1" ht="13.5" customHeight="1">
      <c r="A143" s="2096"/>
      <c r="B143" s="2097"/>
      <c r="C143" s="2098"/>
      <c r="D143" s="2182" t="s">
        <v>2130</v>
      </c>
      <c r="E143" s="2183"/>
      <c r="F143" s="2184"/>
      <c r="G143" s="2185"/>
      <c r="H143" s="2185"/>
      <c r="I143" s="2186"/>
      <c r="J143" s="2214"/>
      <c r="K143" s="1990"/>
    </row>
    <row r="144" spans="1:21" s="1234" customFormat="1" ht="13.5" customHeight="1">
      <c r="A144" s="2074"/>
      <c r="B144" s="2076"/>
      <c r="C144" s="2076">
        <v>742</v>
      </c>
      <c r="D144" s="2191" t="s">
        <v>3031</v>
      </c>
      <c r="E144" s="2076"/>
      <c r="F144" s="2128"/>
      <c r="G144" s="2129"/>
      <c r="H144" s="2130">
        <f>SUM(H145:H170)</f>
        <v>0</v>
      </c>
      <c r="I144" s="2080"/>
      <c r="K144" s="1238"/>
      <c r="L144" s="1238"/>
      <c r="M144" s="1238"/>
      <c r="N144" s="1238"/>
      <c r="O144" s="1238"/>
      <c r="P144" s="1238"/>
    </row>
    <row r="145" spans="1:26" s="1191" customFormat="1" ht="13.5" customHeight="1">
      <c r="A145" s="2081">
        <v>44</v>
      </c>
      <c r="B145" s="2089">
        <v>742</v>
      </c>
      <c r="C145" s="2082" t="s">
        <v>3032</v>
      </c>
      <c r="D145" s="2090" t="s">
        <v>3033</v>
      </c>
      <c r="E145" s="2090" t="s">
        <v>210</v>
      </c>
      <c r="F145" s="2172">
        <f>SUM(F147:F147)</f>
        <v>1</v>
      </c>
      <c r="G145" s="2107"/>
      <c r="H145" s="2215">
        <f>F145*G145</f>
        <v>0</v>
      </c>
      <c r="I145" s="2085" t="s">
        <v>111</v>
      </c>
      <c r="Q145" s="2135"/>
      <c r="S145" s="1488"/>
      <c r="Z145" s="2135"/>
    </row>
    <row r="146" spans="1:26" s="1191" customFormat="1" ht="13.5" customHeight="1">
      <c r="A146" s="2081"/>
      <c r="B146" s="2216"/>
      <c r="C146" s="2082"/>
      <c r="D146" s="2099" t="s">
        <v>3034</v>
      </c>
      <c r="E146" s="2090"/>
      <c r="F146" s="2172"/>
      <c r="G146" s="2215"/>
      <c r="H146" s="2215"/>
      <c r="I146" s="2091"/>
      <c r="J146" s="2217"/>
      <c r="Q146" s="2135"/>
    </row>
    <row r="147" spans="1:26" s="1191" customFormat="1" ht="13.5" customHeight="1">
      <c r="A147" s="2074"/>
      <c r="B147" s="2082"/>
      <c r="C147" s="2082"/>
      <c r="D147" s="2099" t="s">
        <v>1182</v>
      </c>
      <c r="E147" s="2090"/>
      <c r="F147" s="2175">
        <v>1</v>
      </c>
      <c r="G147" s="2079"/>
      <c r="H147" s="2079"/>
      <c r="I147" s="2091"/>
      <c r="J147" s="2217"/>
      <c r="Q147" s="2135"/>
    </row>
    <row r="148" spans="1:26" s="1191" customFormat="1" ht="13.5" customHeight="1">
      <c r="A148" s="2218"/>
      <c r="B148" s="2076"/>
      <c r="C148" s="2191"/>
      <c r="D148" s="2099" t="s">
        <v>3035</v>
      </c>
      <c r="E148" s="2090"/>
      <c r="F148" s="2078"/>
      <c r="G148" s="2215"/>
      <c r="H148" s="2193"/>
      <c r="I148" s="2080"/>
      <c r="Q148" s="2135"/>
    </row>
    <row r="149" spans="1:26" s="1191" customFormat="1" ht="13.5" customHeight="1">
      <c r="A149" s="2081">
        <v>45</v>
      </c>
      <c r="B149" s="2089">
        <v>742</v>
      </c>
      <c r="C149" s="2082" t="s">
        <v>3036</v>
      </c>
      <c r="D149" s="2090" t="s">
        <v>3037</v>
      </c>
      <c r="E149" s="2090" t="s">
        <v>210</v>
      </c>
      <c r="F149" s="2219">
        <f>ROUND(SUM(F151:F152),3)</f>
        <v>9</v>
      </c>
      <c r="G149" s="2107"/>
      <c r="H149" s="2107">
        <f>ROUND(F149*G149,2)</f>
        <v>0</v>
      </c>
      <c r="I149" s="2085" t="s">
        <v>111</v>
      </c>
      <c r="J149" s="2092"/>
      <c r="K149" s="2133"/>
      <c r="L149" s="1259"/>
      <c r="M149" s="1259"/>
      <c r="N149" s="1259"/>
      <c r="O149" s="1259"/>
      <c r="P149" s="1259"/>
      <c r="R149" s="1259"/>
      <c r="U149" s="2135"/>
    </row>
    <row r="150" spans="1:26" s="1191" customFormat="1" ht="13.5" customHeight="1">
      <c r="A150" s="2081"/>
      <c r="B150" s="2216"/>
      <c r="C150" s="2082"/>
      <c r="D150" s="2099" t="s">
        <v>3038</v>
      </c>
      <c r="E150" s="2090"/>
      <c r="F150" s="2172"/>
      <c r="G150" s="2215"/>
      <c r="H150" s="2215"/>
      <c r="I150" s="2085"/>
      <c r="J150" s="2092"/>
      <c r="K150" s="2133"/>
      <c r="U150" s="2135"/>
    </row>
    <row r="151" spans="1:26" s="1191" customFormat="1" ht="13.5" customHeight="1">
      <c r="A151" s="2218"/>
      <c r="B151" s="2076"/>
      <c r="C151" s="2191"/>
      <c r="D151" s="2099" t="s">
        <v>1182</v>
      </c>
      <c r="E151" s="2090"/>
      <c r="F151" s="2175">
        <v>2</v>
      </c>
      <c r="G151" s="2215"/>
      <c r="H151" s="2080"/>
      <c r="I151" s="2085"/>
      <c r="R151" s="2220"/>
    </row>
    <row r="152" spans="1:26" s="1191" customFormat="1" ht="13.5" customHeight="1">
      <c r="A152" s="2218"/>
      <c r="B152" s="2076"/>
      <c r="C152" s="2191"/>
      <c r="D152" s="2099" t="s">
        <v>1235</v>
      </c>
      <c r="E152" s="2090"/>
      <c r="F152" s="2175">
        <v>7</v>
      </c>
      <c r="G152" s="2215"/>
      <c r="H152" s="2080"/>
      <c r="I152" s="2080"/>
    </row>
    <row r="153" spans="1:26" s="1191" customFormat="1" ht="13.5" customHeight="1">
      <c r="A153" s="2218"/>
      <c r="B153" s="2076"/>
      <c r="C153" s="2191"/>
      <c r="D153" s="2077" t="s">
        <v>3039</v>
      </c>
      <c r="E153" s="2090"/>
      <c r="F153" s="2078"/>
      <c r="G153" s="2215"/>
      <c r="H153" s="2193"/>
      <c r="I153" s="2080"/>
    </row>
    <row r="154" spans="1:26" s="1259" customFormat="1" ht="13.5" customHeight="1">
      <c r="A154" s="2100">
        <v>46</v>
      </c>
      <c r="B154" s="2089">
        <v>742</v>
      </c>
      <c r="C154" s="2082" t="s">
        <v>3040</v>
      </c>
      <c r="D154" s="2082" t="s">
        <v>3041</v>
      </c>
      <c r="E154" s="2082" t="s">
        <v>49</v>
      </c>
      <c r="F154" s="2101">
        <f>ROUND(SUM(F155),3)</f>
        <v>1</v>
      </c>
      <c r="G154" s="2091"/>
      <c r="H154" s="2084">
        <f t="shared" ref="H154" si="35">ROUND(F154*G154,2)</f>
        <v>0</v>
      </c>
      <c r="I154" s="2085" t="s">
        <v>111</v>
      </c>
      <c r="J154" s="1428"/>
      <c r="K154" s="1427"/>
      <c r="L154" s="1427"/>
      <c r="M154" s="1428"/>
      <c r="N154" s="1432"/>
      <c r="O154" s="1433"/>
      <c r="P154" s="1191"/>
      <c r="Q154" s="1433"/>
      <c r="R154" s="1192"/>
      <c r="S154" s="1192"/>
    </row>
    <row r="155" spans="1:26" s="2109" customFormat="1" ht="13.5" customHeight="1">
      <c r="A155" s="2102"/>
      <c r="B155" s="2103"/>
      <c r="C155" s="2098"/>
      <c r="D155" s="2104" t="s">
        <v>3042</v>
      </c>
      <c r="E155" s="2105"/>
      <c r="F155" s="2106">
        <v>1</v>
      </c>
      <c r="G155" s="2107"/>
      <c r="H155" s="2107"/>
      <c r="I155" s="2108"/>
      <c r="J155" s="1428"/>
      <c r="K155" s="1427"/>
      <c r="L155" s="1427"/>
      <c r="M155" s="1428"/>
      <c r="N155" s="1432"/>
      <c r="O155" s="1191"/>
      <c r="Q155" s="1428"/>
    </row>
    <row r="156" spans="1:26" s="2109" customFormat="1" ht="27" customHeight="1">
      <c r="A156" s="2102"/>
      <c r="B156" s="2103"/>
      <c r="C156" s="2098"/>
      <c r="D156" s="2104" t="s">
        <v>2123</v>
      </c>
      <c r="E156" s="2105"/>
      <c r="F156" s="2110"/>
      <c r="G156" s="2107"/>
      <c r="H156" s="2107"/>
      <c r="I156" s="2108"/>
      <c r="J156" s="1428"/>
      <c r="K156" s="1427"/>
      <c r="L156" s="1427"/>
      <c r="M156" s="1428"/>
      <c r="N156" s="1432"/>
      <c r="O156" s="1191"/>
      <c r="P156" s="1429"/>
      <c r="Q156" s="1428"/>
    </row>
    <row r="157" spans="1:26" s="1259" customFormat="1" ht="13.5" customHeight="1">
      <c r="A157" s="2100">
        <v>47</v>
      </c>
      <c r="B157" s="2089">
        <v>742</v>
      </c>
      <c r="C157" s="2082" t="s">
        <v>3040</v>
      </c>
      <c r="D157" s="2082" t="s">
        <v>3043</v>
      </c>
      <c r="E157" s="2082" t="s">
        <v>49</v>
      </c>
      <c r="F157" s="2101">
        <f>ROUND(SUM(F158),3)</f>
        <v>1</v>
      </c>
      <c r="G157" s="2091"/>
      <c r="H157" s="2084">
        <f t="shared" ref="H157" si="36">ROUND(F157*G157,2)</f>
        <v>0</v>
      </c>
      <c r="I157" s="2085" t="s">
        <v>111</v>
      </c>
      <c r="J157" s="1428"/>
      <c r="K157" s="1427"/>
      <c r="L157" s="1427"/>
      <c r="M157" s="1428"/>
      <c r="N157" s="1432"/>
      <c r="O157" s="1433"/>
      <c r="P157" s="1191"/>
      <c r="Q157" s="1433"/>
      <c r="R157" s="1192"/>
      <c r="S157" s="1192"/>
    </row>
    <row r="158" spans="1:26" s="2109" customFormat="1" ht="13.5" customHeight="1">
      <c r="A158" s="2102"/>
      <c r="B158" s="2103"/>
      <c r="C158" s="2098"/>
      <c r="D158" s="2104" t="s">
        <v>3044</v>
      </c>
      <c r="E158" s="2105"/>
      <c r="F158" s="2106">
        <v>1</v>
      </c>
      <c r="G158" s="2107"/>
      <c r="H158" s="2107"/>
      <c r="I158" s="2108"/>
      <c r="J158" s="1428"/>
      <c r="K158" s="1427"/>
      <c r="L158" s="1427"/>
      <c r="M158" s="1428"/>
      <c r="N158" s="1432"/>
      <c r="O158" s="1191"/>
      <c r="Q158" s="1428"/>
    </row>
    <row r="159" spans="1:26" s="2109" customFormat="1" ht="27" customHeight="1">
      <c r="A159" s="2102"/>
      <c r="B159" s="2103"/>
      <c r="C159" s="2098"/>
      <c r="D159" s="2104" t="s">
        <v>3045</v>
      </c>
      <c r="E159" s="2105"/>
      <c r="F159" s="2110"/>
      <c r="G159" s="2107"/>
      <c r="H159" s="2107"/>
      <c r="I159" s="2108"/>
      <c r="J159" s="1428"/>
      <c r="K159" s="1427"/>
      <c r="L159" s="1427"/>
      <c r="M159" s="1428"/>
      <c r="N159" s="1432"/>
      <c r="O159" s="1191"/>
      <c r="P159" s="1429"/>
      <c r="Q159" s="1428"/>
    </row>
    <row r="160" spans="1:26" s="1439" customFormat="1" ht="13.5" customHeight="1">
      <c r="A160" s="2081">
        <v>48</v>
      </c>
      <c r="B160" s="2089">
        <v>742</v>
      </c>
      <c r="C160" s="2082" t="s">
        <v>2162</v>
      </c>
      <c r="D160" s="2111" t="s">
        <v>1950</v>
      </c>
      <c r="E160" s="2112" t="s">
        <v>49</v>
      </c>
      <c r="F160" s="2083">
        <f>ROUND(SUM(F161),3)</f>
        <v>1</v>
      </c>
      <c r="G160" s="2079"/>
      <c r="H160" s="2084">
        <f t="shared" ref="H160" si="37">ROUND(F160*G160,2)</f>
        <v>0</v>
      </c>
      <c r="I160" s="2085" t="s">
        <v>111</v>
      </c>
      <c r="J160" s="1191"/>
      <c r="K160" s="2113"/>
      <c r="L160" s="1191"/>
      <c r="Q160" s="1441"/>
      <c r="R160" s="1441"/>
      <c r="S160" s="1441"/>
      <c r="T160" s="1441"/>
      <c r="U160" s="1441"/>
    </row>
    <row r="161" spans="1:21" s="1439" customFormat="1" ht="13.5" customHeight="1">
      <c r="A161" s="2114"/>
      <c r="B161" s="2112"/>
      <c r="C161" s="2112"/>
      <c r="D161" s="2115" t="s">
        <v>2125</v>
      </c>
      <c r="E161" s="2112"/>
      <c r="F161" s="2116">
        <v>1</v>
      </c>
      <c r="G161" s="2117"/>
      <c r="H161" s="2117"/>
      <c r="I161" s="2118"/>
      <c r="J161" s="1191"/>
      <c r="K161" s="2119"/>
      <c r="Q161" s="1441"/>
      <c r="R161" s="1441"/>
      <c r="S161" s="1441"/>
      <c r="T161" s="1441"/>
      <c r="U161" s="1441"/>
    </row>
    <row r="162" spans="1:21" s="1439" customFormat="1" ht="40.5" customHeight="1">
      <c r="A162" s="2114"/>
      <c r="B162" s="2112"/>
      <c r="C162" s="2112"/>
      <c r="D162" s="2115" t="s">
        <v>2126</v>
      </c>
      <c r="E162" s="2112"/>
      <c r="F162" s="2120"/>
      <c r="G162" s="2117"/>
      <c r="H162" s="2117"/>
      <c r="I162" s="2118"/>
      <c r="J162" s="1191"/>
      <c r="K162" s="2121"/>
    </row>
    <row r="163" spans="1:21" s="1439" customFormat="1" ht="13.5" customHeight="1">
      <c r="A163" s="2081">
        <v>49</v>
      </c>
      <c r="B163" s="2089">
        <v>742</v>
      </c>
      <c r="C163" s="2082" t="s">
        <v>3046</v>
      </c>
      <c r="D163" s="2111" t="s">
        <v>1954</v>
      </c>
      <c r="E163" s="2112" t="s">
        <v>49</v>
      </c>
      <c r="F163" s="2083">
        <f>ROUND(SUM(F164),3)</f>
        <v>1</v>
      </c>
      <c r="G163" s="2079"/>
      <c r="H163" s="2084">
        <f t="shared" ref="H163" si="38">ROUND(F163*G163,2)</f>
        <v>0</v>
      </c>
      <c r="I163" s="2085" t="s">
        <v>111</v>
      </c>
      <c r="J163" s="1191"/>
      <c r="K163" s="2113"/>
      <c r="L163" s="1191"/>
      <c r="Q163" s="1441"/>
      <c r="R163" s="1441"/>
      <c r="S163" s="1441"/>
      <c r="T163" s="1441"/>
      <c r="U163" s="1441"/>
    </row>
    <row r="164" spans="1:21" s="1439" customFormat="1" ht="27" customHeight="1">
      <c r="A164" s="2114"/>
      <c r="B164" s="2112"/>
      <c r="C164" s="2112"/>
      <c r="D164" s="2115" t="s">
        <v>2128</v>
      </c>
      <c r="E164" s="2112"/>
      <c r="F164" s="2116">
        <v>1</v>
      </c>
      <c r="G164" s="2117"/>
      <c r="H164" s="2117"/>
      <c r="I164" s="2118"/>
      <c r="J164" s="1191"/>
      <c r="K164" s="2113"/>
      <c r="Q164" s="1441"/>
      <c r="R164" s="1441"/>
      <c r="S164" s="1441"/>
      <c r="T164" s="1441"/>
      <c r="U164" s="1441"/>
    </row>
    <row r="165" spans="1:21" s="1439" customFormat="1" ht="40.5" customHeight="1">
      <c r="A165" s="2114"/>
      <c r="B165" s="2112"/>
      <c r="C165" s="2112"/>
      <c r="D165" s="2115" t="s">
        <v>1952</v>
      </c>
      <c r="E165" s="2112"/>
      <c r="F165" s="2120"/>
      <c r="G165" s="2117"/>
      <c r="H165" s="2117"/>
      <c r="I165" s="2118"/>
      <c r="J165" s="1191"/>
      <c r="K165" s="2121"/>
    </row>
    <row r="166" spans="1:21" s="1191" customFormat="1" ht="13.5" customHeight="1">
      <c r="A166" s="2081">
        <v>50</v>
      </c>
      <c r="B166" s="2089">
        <v>742</v>
      </c>
      <c r="C166" s="2082" t="s">
        <v>3047</v>
      </c>
      <c r="D166" s="2082" t="s">
        <v>1966</v>
      </c>
      <c r="E166" s="2122" t="s">
        <v>49</v>
      </c>
      <c r="F166" s="2083">
        <v>1</v>
      </c>
      <c r="G166" s="2079"/>
      <c r="H166" s="2107">
        <f>ROUND(F166*G166,2)</f>
        <v>0</v>
      </c>
      <c r="I166" s="2085" t="s">
        <v>111</v>
      </c>
    </row>
    <row r="167" spans="1:21" s="2127" customFormat="1" ht="13.5" customHeight="1">
      <c r="A167" s="2081">
        <v>51</v>
      </c>
      <c r="B167" s="2123">
        <v>742</v>
      </c>
      <c r="C167" s="2103">
        <v>998742312</v>
      </c>
      <c r="D167" s="2124" t="s">
        <v>2974</v>
      </c>
      <c r="E167" s="2124" t="s">
        <v>10</v>
      </c>
      <c r="F167" s="2125">
        <v>0.89</v>
      </c>
      <c r="G167" s="2107"/>
      <c r="H167" s="2107">
        <f>ROUND(F167*G167,2)</f>
        <v>0</v>
      </c>
      <c r="I167" s="2126" t="s">
        <v>138</v>
      </c>
      <c r="J167" s="2221"/>
      <c r="K167" s="2222"/>
    </row>
    <row r="168" spans="1:21" s="2109" customFormat="1" ht="13.5" customHeight="1">
      <c r="A168" s="2081">
        <v>52</v>
      </c>
      <c r="B168" s="2082" t="s">
        <v>369</v>
      </c>
      <c r="C168" s="2082" t="s">
        <v>1928</v>
      </c>
      <c r="D168" s="2082" t="s">
        <v>1929</v>
      </c>
      <c r="E168" s="2103" t="s">
        <v>69</v>
      </c>
      <c r="F168" s="2219">
        <f>ROUND(SUM(F169),3)</f>
        <v>15</v>
      </c>
      <c r="G168" s="2091"/>
      <c r="H168" s="2107">
        <f>ROUND(F168*G168,2)</f>
        <v>0</v>
      </c>
      <c r="I168" s="2126" t="s">
        <v>138</v>
      </c>
      <c r="J168" s="2223"/>
      <c r="K168" s="2224"/>
      <c r="L168" s="2225"/>
      <c r="M168" s="2226"/>
      <c r="N168" s="2226"/>
      <c r="O168" s="2226"/>
    </row>
    <row r="169" spans="1:21" s="2109" customFormat="1" ht="13.5" customHeight="1">
      <c r="A169" s="2102"/>
      <c r="B169" s="2103"/>
      <c r="C169" s="2098"/>
      <c r="D169" s="2104" t="s">
        <v>2129</v>
      </c>
      <c r="E169" s="2105"/>
      <c r="F169" s="2106">
        <v>15</v>
      </c>
      <c r="G169" s="2107"/>
      <c r="H169" s="2107"/>
      <c r="I169" s="2108"/>
      <c r="J169" s="1375"/>
      <c r="K169" s="2045"/>
      <c r="L169" s="2127"/>
      <c r="M169" s="2127"/>
      <c r="N169" s="2127"/>
      <c r="O169" s="2127"/>
    </row>
    <row r="170" spans="1:21" s="2109" customFormat="1" ht="13.5" customHeight="1">
      <c r="A170" s="2102"/>
      <c r="B170" s="2103"/>
      <c r="C170" s="2098"/>
      <c r="D170" s="2104" t="s">
        <v>2130</v>
      </c>
      <c r="E170" s="2105"/>
      <c r="F170" s="2106"/>
      <c r="G170" s="2107"/>
      <c r="H170" s="2107"/>
      <c r="I170" s="2108"/>
      <c r="J170" s="2227"/>
      <c r="K170" s="1990"/>
    </row>
    <row r="171" spans="1:21" s="1234" customFormat="1" ht="13.5" customHeight="1">
      <c r="A171" s="2074"/>
      <c r="B171" s="2076"/>
      <c r="C171" s="2076">
        <v>742</v>
      </c>
      <c r="D171" s="2191" t="s">
        <v>3048</v>
      </c>
      <c r="E171" s="2076"/>
      <c r="F171" s="2128"/>
      <c r="G171" s="2129"/>
      <c r="H171" s="2130">
        <f>SUM(H172:H193)</f>
        <v>0</v>
      </c>
      <c r="I171" s="2080"/>
      <c r="J171" s="1421"/>
      <c r="K171" s="1427"/>
      <c r="L171" s="1427"/>
      <c r="M171" s="1428"/>
      <c r="N171" s="2228"/>
      <c r="O171" s="1191"/>
      <c r="P171" s="1429"/>
      <c r="Q171" s="1428"/>
    </row>
    <row r="172" spans="1:21" s="1259" customFormat="1" ht="13.5" customHeight="1">
      <c r="A172" s="2081">
        <v>53</v>
      </c>
      <c r="B172" s="2216">
        <v>742</v>
      </c>
      <c r="C172" s="2082" t="s">
        <v>3049</v>
      </c>
      <c r="D172" s="2131" t="s">
        <v>3050</v>
      </c>
      <c r="E172" s="2131" t="s">
        <v>210</v>
      </c>
      <c r="F172" s="2083">
        <f>ROUND(SUM(F174:F174),3)</f>
        <v>1</v>
      </c>
      <c r="G172" s="2195"/>
      <c r="H172" s="2195">
        <f>F172*G172</f>
        <v>0</v>
      </c>
      <c r="I172" s="2085" t="s">
        <v>111</v>
      </c>
      <c r="J172" s="2092"/>
      <c r="K172" s="2133"/>
      <c r="N172" s="2135"/>
    </row>
    <row r="173" spans="1:21" s="1259" customFormat="1" ht="13.5" customHeight="1">
      <c r="A173" s="2081"/>
      <c r="B173" s="2216"/>
      <c r="C173" s="2082"/>
      <c r="D173" s="2099" t="s">
        <v>3051</v>
      </c>
      <c r="E173" s="2131"/>
      <c r="F173" s="2083"/>
      <c r="G173" s="2195"/>
      <c r="H173" s="2195"/>
      <c r="I173" s="2085"/>
      <c r="J173" s="2229"/>
      <c r="K173" s="2045"/>
      <c r="L173" s="2127"/>
      <c r="M173" s="2127"/>
      <c r="N173" s="2127"/>
      <c r="O173" s="2127"/>
      <c r="P173" s="2109"/>
      <c r="Q173" s="2135"/>
    </row>
    <row r="174" spans="1:21" s="2109" customFormat="1" ht="13.5" customHeight="1">
      <c r="A174" s="2102"/>
      <c r="B174" s="2103"/>
      <c r="C174" s="2098"/>
      <c r="D174" s="2099" t="s">
        <v>1040</v>
      </c>
      <c r="E174" s="2105"/>
      <c r="F174" s="2078">
        <v>1</v>
      </c>
      <c r="G174" s="2107"/>
      <c r="H174" s="2107"/>
      <c r="I174" s="2085"/>
      <c r="T174" s="2135"/>
    </row>
    <row r="175" spans="1:21" s="2109" customFormat="1" ht="13.5" customHeight="1">
      <c r="A175" s="2102"/>
      <c r="B175" s="2103"/>
      <c r="C175" s="2098"/>
      <c r="D175" s="2099" t="s">
        <v>3035</v>
      </c>
      <c r="E175" s="2105"/>
      <c r="F175" s="2083"/>
      <c r="G175" s="2107"/>
      <c r="H175" s="2107"/>
      <c r="I175" s="2108"/>
      <c r="J175" s="2229"/>
      <c r="K175" s="2045"/>
      <c r="L175" s="2127"/>
      <c r="M175" s="2127"/>
      <c r="N175" s="2127"/>
      <c r="O175" s="2127"/>
      <c r="T175" s="2135"/>
    </row>
    <row r="176" spans="1:21" s="1259" customFormat="1" ht="13.5" customHeight="1">
      <c r="A176" s="2081">
        <v>54</v>
      </c>
      <c r="B176" s="2216">
        <v>742</v>
      </c>
      <c r="C176" s="2082" t="s">
        <v>3052</v>
      </c>
      <c r="D176" s="2131" t="s">
        <v>3053</v>
      </c>
      <c r="E176" s="2131" t="s">
        <v>210</v>
      </c>
      <c r="F176" s="2083">
        <f>ROUND(SUM(F178:F178),3)</f>
        <v>1</v>
      </c>
      <c r="G176" s="2195"/>
      <c r="H176" s="2195">
        <f>F176*G176</f>
        <v>0</v>
      </c>
      <c r="I176" s="2085" t="s">
        <v>111</v>
      </c>
      <c r="J176" s="2092"/>
      <c r="K176" s="2133"/>
      <c r="P176" s="2135"/>
    </row>
    <row r="177" spans="1:21" s="1259" customFormat="1" ht="13.5" customHeight="1">
      <c r="A177" s="2081"/>
      <c r="B177" s="2216"/>
      <c r="C177" s="2082"/>
      <c r="D177" s="2099" t="s">
        <v>3054</v>
      </c>
      <c r="E177" s="2131"/>
      <c r="F177" s="2083"/>
      <c r="G177" s="2195"/>
      <c r="H177" s="2195"/>
      <c r="I177" s="2085"/>
      <c r="J177" s="2229"/>
      <c r="K177" s="2045"/>
      <c r="L177" s="2127"/>
      <c r="M177" s="2127"/>
      <c r="N177" s="2127"/>
      <c r="O177" s="2127"/>
      <c r="P177" s="2109"/>
      <c r="Q177" s="2230"/>
    </row>
    <row r="178" spans="1:21" s="2109" customFormat="1" ht="13.5" customHeight="1">
      <c r="A178" s="2102"/>
      <c r="B178" s="2103"/>
      <c r="C178" s="2098"/>
      <c r="D178" s="2099" t="s">
        <v>1040</v>
      </c>
      <c r="E178" s="2105"/>
      <c r="F178" s="2078">
        <v>1</v>
      </c>
      <c r="G178" s="2107"/>
      <c r="H178" s="2107"/>
      <c r="I178" s="2085"/>
      <c r="Q178" s="2135"/>
      <c r="T178" s="2135"/>
    </row>
    <row r="179" spans="1:21" s="2109" customFormat="1" ht="13.5" customHeight="1">
      <c r="A179" s="2102"/>
      <c r="B179" s="2103"/>
      <c r="C179" s="2098"/>
      <c r="D179" s="2099" t="s">
        <v>3055</v>
      </c>
      <c r="E179" s="2105"/>
      <c r="F179" s="2083"/>
      <c r="G179" s="2107"/>
      <c r="H179" s="2107"/>
      <c r="I179" s="2108"/>
      <c r="J179" s="2229"/>
      <c r="K179" s="2045"/>
      <c r="L179" s="2127"/>
      <c r="M179" s="2127"/>
      <c r="N179" s="2127"/>
      <c r="O179" s="2127"/>
      <c r="T179" s="2135"/>
    </row>
    <row r="180" spans="1:21" s="1259" customFormat="1" ht="13.5" customHeight="1">
      <c r="A180" s="2100">
        <v>55</v>
      </c>
      <c r="B180" s="2089">
        <v>742</v>
      </c>
      <c r="C180" s="2082" t="s">
        <v>3056</v>
      </c>
      <c r="D180" s="2082" t="s">
        <v>3057</v>
      </c>
      <c r="E180" s="2082" t="s">
        <v>49</v>
      </c>
      <c r="F180" s="2101">
        <f>ROUND(SUM(F181),3)</f>
        <v>1</v>
      </c>
      <c r="G180" s="2091"/>
      <c r="H180" s="2084">
        <f t="shared" ref="H180" si="39">ROUND(F180*G180,2)</f>
        <v>0</v>
      </c>
      <c r="I180" s="2085" t="s">
        <v>111</v>
      </c>
      <c r="J180" s="1428"/>
      <c r="K180" s="1427"/>
      <c r="L180" s="1427"/>
      <c r="M180" s="1428"/>
      <c r="N180" s="1432"/>
      <c r="O180" s="1433"/>
      <c r="P180" s="1191"/>
      <c r="Q180" s="1433"/>
      <c r="R180" s="1192"/>
      <c r="S180" s="1192"/>
    </row>
    <row r="181" spans="1:21" s="2109" customFormat="1" ht="13.5" customHeight="1">
      <c r="A181" s="2102"/>
      <c r="B181" s="2103"/>
      <c r="C181" s="2098"/>
      <c r="D181" s="2104" t="s">
        <v>3058</v>
      </c>
      <c r="E181" s="2105"/>
      <c r="F181" s="2106">
        <v>1</v>
      </c>
      <c r="G181" s="2107"/>
      <c r="H181" s="2107"/>
      <c r="I181" s="2108"/>
      <c r="J181" s="1428"/>
      <c r="K181" s="1427"/>
      <c r="L181" s="1427"/>
      <c r="M181" s="1428"/>
      <c r="N181" s="1432"/>
      <c r="O181" s="1191"/>
      <c r="Q181" s="1428"/>
    </row>
    <row r="182" spans="1:21" s="2109" customFormat="1" ht="27" customHeight="1">
      <c r="A182" s="2102"/>
      <c r="B182" s="2103"/>
      <c r="C182" s="2098"/>
      <c r="D182" s="2104" t="s">
        <v>2123</v>
      </c>
      <c r="E182" s="2105"/>
      <c r="F182" s="2110"/>
      <c r="G182" s="2107"/>
      <c r="H182" s="2107"/>
      <c r="I182" s="2108"/>
      <c r="J182" s="1428"/>
      <c r="K182" s="1427"/>
      <c r="L182" s="1427"/>
      <c r="M182" s="1428"/>
      <c r="N182" s="1432"/>
      <c r="O182" s="1191"/>
      <c r="P182" s="1429"/>
      <c r="Q182" s="1428"/>
    </row>
    <row r="183" spans="1:21" s="1439" customFormat="1" ht="13.5" customHeight="1">
      <c r="A183" s="2081">
        <v>56</v>
      </c>
      <c r="B183" s="2089">
        <v>742</v>
      </c>
      <c r="C183" s="2082" t="s">
        <v>3059</v>
      </c>
      <c r="D183" s="2111" t="s">
        <v>1950</v>
      </c>
      <c r="E183" s="2112" t="s">
        <v>49</v>
      </c>
      <c r="F183" s="2083">
        <f>ROUND(SUM(F184),3)</f>
        <v>1</v>
      </c>
      <c r="G183" s="2079"/>
      <c r="H183" s="2084">
        <f t="shared" ref="H183" si="40">ROUND(F183*G183,2)</f>
        <v>0</v>
      </c>
      <c r="I183" s="2085" t="s">
        <v>111</v>
      </c>
      <c r="J183" s="1191"/>
      <c r="K183" s="2113"/>
      <c r="L183" s="1191"/>
      <c r="Q183" s="1441"/>
      <c r="R183" s="1441"/>
      <c r="S183" s="1441"/>
      <c r="T183" s="1441"/>
      <c r="U183" s="1441"/>
    </row>
    <row r="184" spans="1:21" s="1439" customFormat="1" ht="13.5" customHeight="1">
      <c r="A184" s="2114"/>
      <c r="B184" s="2112"/>
      <c r="C184" s="2112"/>
      <c r="D184" s="2115" t="s">
        <v>2125</v>
      </c>
      <c r="E184" s="2112"/>
      <c r="F184" s="2116">
        <v>1</v>
      </c>
      <c r="G184" s="2117"/>
      <c r="H184" s="2117"/>
      <c r="I184" s="2118"/>
      <c r="J184" s="1191"/>
      <c r="K184" s="2119"/>
      <c r="Q184" s="1441"/>
      <c r="R184" s="1441"/>
      <c r="S184" s="1441"/>
      <c r="T184" s="1441"/>
      <c r="U184" s="1441"/>
    </row>
    <row r="185" spans="1:21" s="1439" customFormat="1" ht="40.5" customHeight="1">
      <c r="A185" s="2114"/>
      <c r="B185" s="2112"/>
      <c r="C185" s="2112"/>
      <c r="D185" s="2115" t="s">
        <v>2126</v>
      </c>
      <c r="E185" s="2112"/>
      <c r="F185" s="2120"/>
      <c r="G185" s="2117"/>
      <c r="H185" s="2117"/>
      <c r="I185" s="2118"/>
      <c r="J185" s="1191"/>
      <c r="K185" s="2121"/>
    </row>
    <row r="186" spans="1:21" s="1439" customFormat="1" ht="13.5" customHeight="1">
      <c r="A186" s="2081">
        <v>57</v>
      </c>
      <c r="B186" s="2089">
        <v>742</v>
      </c>
      <c r="C186" s="2082" t="s">
        <v>3060</v>
      </c>
      <c r="D186" s="2111" t="s">
        <v>1954</v>
      </c>
      <c r="E186" s="2112" t="s">
        <v>49</v>
      </c>
      <c r="F186" s="2083">
        <f>ROUND(SUM(F187),3)</f>
        <v>1</v>
      </c>
      <c r="G186" s="2079"/>
      <c r="H186" s="2084">
        <f t="shared" ref="H186" si="41">ROUND(F186*G186,2)</f>
        <v>0</v>
      </c>
      <c r="I186" s="2085" t="s">
        <v>111</v>
      </c>
      <c r="J186" s="1191"/>
      <c r="K186" s="2113"/>
      <c r="L186" s="1191"/>
      <c r="Q186" s="1441"/>
      <c r="R186" s="1441"/>
      <c r="S186" s="1441"/>
      <c r="T186" s="1441"/>
      <c r="U186" s="1441"/>
    </row>
    <row r="187" spans="1:21" s="1439" customFormat="1" ht="27" customHeight="1">
      <c r="A187" s="2114"/>
      <c r="B187" s="2112"/>
      <c r="C187" s="2112"/>
      <c r="D187" s="2115" t="s">
        <v>2128</v>
      </c>
      <c r="E187" s="2112"/>
      <c r="F187" s="2116">
        <v>1</v>
      </c>
      <c r="G187" s="2117"/>
      <c r="H187" s="2117"/>
      <c r="I187" s="2118"/>
      <c r="J187" s="1191"/>
      <c r="K187" s="2113"/>
      <c r="Q187" s="1441"/>
      <c r="R187" s="1441"/>
      <c r="S187" s="1441"/>
      <c r="T187" s="1441"/>
      <c r="U187" s="1441"/>
    </row>
    <row r="188" spans="1:21" s="1439" customFormat="1" ht="40.5" customHeight="1">
      <c r="A188" s="2114"/>
      <c r="B188" s="2112"/>
      <c r="C188" s="2112"/>
      <c r="D188" s="2115" t="s">
        <v>1952</v>
      </c>
      <c r="E188" s="2112"/>
      <c r="F188" s="2120"/>
      <c r="G188" s="2117"/>
      <c r="H188" s="2117"/>
      <c r="I188" s="2118"/>
      <c r="J188" s="1191"/>
      <c r="K188" s="2121"/>
    </row>
    <row r="189" spans="1:21" s="1191" customFormat="1" ht="13.5" customHeight="1">
      <c r="A189" s="2081">
        <v>58</v>
      </c>
      <c r="B189" s="2089">
        <v>742</v>
      </c>
      <c r="C189" s="2082" t="s">
        <v>3061</v>
      </c>
      <c r="D189" s="2082" t="s">
        <v>1966</v>
      </c>
      <c r="E189" s="2122" t="s">
        <v>49</v>
      </c>
      <c r="F189" s="2083">
        <v>1</v>
      </c>
      <c r="G189" s="2079"/>
      <c r="H189" s="2107">
        <f>ROUND(F189*G189,2)</f>
        <v>0</v>
      </c>
      <c r="I189" s="2085" t="s">
        <v>111</v>
      </c>
    </row>
    <row r="190" spans="1:21" s="2127" customFormat="1" ht="13.5" customHeight="1">
      <c r="A190" s="2081">
        <v>59</v>
      </c>
      <c r="B190" s="2123">
        <v>742</v>
      </c>
      <c r="C190" s="2103">
        <v>998742312</v>
      </c>
      <c r="D190" s="2124" t="s">
        <v>2974</v>
      </c>
      <c r="E190" s="2124" t="s">
        <v>10</v>
      </c>
      <c r="F190" s="2125">
        <v>0.89</v>
      </c>
      <c r="G190" s="2107"/>
      <c r="H190" s="2107">
        <f>ROUND(F190*G190,2)</f>
        <v>0</v>
      </c>
      <c r="I190" s="2126" t="s">
        <v>138</v>
      </c>
      <c r="J190" s="2221"/>
      <c r="K190" s="2222"/>
    </row>
    <row r="191" spans="1:21" s="2109" customFormat="1" ht="13.5" customHeight="1">
      <c r="A191" s="2081">
        <v>60</v>
      </c>
      <c r="B191" s="2082" t="s">
        <v>369</v>
      </c>
      <c r="C191" s="2082" t="s">
        <v>1928</v>
      </c>
      <c r="D191" s="2082" t="s">
        <v>1929</v>
      </c>
      <c r="E191" s="2103" t="s">
        <v>69</v>
      </c>
      <c r="F191" s="2219">
        <f>ROUND(SUM(F192),3)</f>
        <v>3</v>
      </c>
      <c r="G191" s="2091"/>
      <c r="H191" s="2107">
        <f>ROUND(F191*G191,2)</f>
        <v>0</v>
      </c>
      <c r="I191" s="2126" t="s">
        <v>138</v>
      </c>
      <c r="J191" s="2223"/>
      <c r="K191" s="2224"/>
      <c r="L191" s="2225"/>
      <c r="M191" s="2226"/>
      <c r="N191" s="2226"/>
      <c r="O191" s="2226"/>
    </row>
    <row r="192" spans="1:21" s="2109" customFormat="1" ht="13.5" customHeight="1">
      <c r="A192" s="2102"/>
      <c r="B192" s="2103"/>
      <c r="C192" s="2098"/>
      <c r="D192" s="2104" t="s">
        <v>2129</v>
      </c>
      <c r="E192" s="2105"/>
      <c r="F192" s="2106">
        <v>3</v>
      </c>
      <c r="G192" s="2107"/>
      <c r="H192" s="2107"/>
      <c r="I192" s="2108"/>
      <c r="J192" s="1375"/>
      <c r="K192" s="2045"/>
      <c r="L192" s="2127"/>
      <c r="M192" s="2127"/>
      <c r="N192" s="2127"/>
      <c r="O192" s="2127"/>
    </row>
    <row r="193" spans="1:21" s="2109" customFormat="1" ht="13.5" customHeight="1">
      <c r="A193" s="2102"/>
      <c r="B193" s="2103"/>
      <c r="C193" s="2098"/>
      <c r="D193" s="2104" t="s">
        <v>2130</v>
      </c>
      <c r="E193" s="2105"/>
      <c r="F193" s="2106"/>
      <c r="G193" s="2107"/>
      <c r="H193" s="2107"/>
      <c r="I193" s="2108"/>
      <c r="J193" s="2227"/>
      <c r="K193" s="1990"/>
    </row>
    <row r="194" spans="1:21" s="1234" customFormat="1" ht="13.5" customHeight="1">
      <c r="A194" s="2074"/>
      <c r="B194" s="2076"/>
      <c r="C194" s="2076">
        <v>742</v>
      </c>
      <c r="D194" s="2191" t="s">
        <v>2151</v>
      </c>
      <c r="E194" s="2076"/>
      <c r="F194" s="2128"/>
      <c r="G194" s="2129"/>
      <c r="H194" s="2130">
        <f>SUM(H195:H217)</f>
        <v>0</v>
      </c>
      <c r="I194" s="2080"/>
      <c r="J194" s="1428"/>
      <c r="K194" s="1427"/>
      <c r="L194" s="1427"/>
      <c r="M194" s="1428"/>
      <c r="N194" s="1432"/>
      <c r="O194" s="1191"/>
      <c r="P194" s="1429"/>
      <c r="Q194" s="1428"/>
    </row>
    <row r="195" spans="1:21" s="1191" customFormat="1" ht="13.5" customHeight="1">
      <c r="A195" s="2081">
        <v>61</v>
      </c>
      <c r="B195" s="2089">
        <v>742</v>
      </c>
      <c r="C195" s="2082" t="s">
        <v>2152</v>
      </c>
      <c r="D195" s="2090" t="s">
        <v>3037</v>
      </c>
      <c r="E195" s="2090" t="s">
        <v>210</v>
      </c>
      <c r="F195" s="2219">
        <f>ROUND(SUM(F197:F198),3)</f>
        <v>12</v>
      </c>
      <c r="G195" s="2107"/>
      <c r="H195" s="2107">
        <f>ROUND(F195*G195,2)</f>
        <v>0</v>
      </c>
      <c r="I195" s="2085" t="s">
        <v>111</v>
      </c>
      <c r="J195" s="2092"/>
      <c r="K195" s="2133"/>
      <c r="L195" s="1259"/>
      <c r="M195" s="1259"/>
      <c r="N195" s="1259"/>
      <c r="O195" s="1259"/>
      <c r="P195" s="1259"/>
      <c r="R195" s="1259"/>
      <c r="U195" s="2135"/>
    </row>
    <row r="196" spans="1:21" s="1191" customFormat="1" ht="13.5" customHeight="1">
      <c r="A196" s="2081"/>
      <c r="B196" s="2216"/>
      <c r="C196" s="2082"/>
      <c r="D196" s="2099" t="s">
        <v>3038</v>
      </c>
      <c r="E196" s="2090"/>
      <c r="F196" s="2172"/>
      <c r="G196" s="2215"/>
      <c r="H196" s="2215"/>
      <c r="I196" s="2085"/>
      <c r="J196" s="2092"/>
      <c r="K196" s="2133"/>
      <c r="U196" s="2135"/>
    </row>
    <row r="197" spans="1:21" s="1191" customFormat="1" ht="13.5" customHeight="1">
      <c r="A197" s="2218"/>
      <c r="B197" s="2076"/>
      <c r="C197" s="2191"/>
      <c r="D197" s="2099" t="s">
        <v>1182</v>
      </c>
      <c r="E197" s="2090"/>
      <c r="F197" s="2175">
        <v>4</v>
      </c>
      <c r="G197" s="2215"/>
      <c r="H197" s="2080"/>
      <c r="I197" s="2085"/>
      <c r="R197" s="2220"/>
    </row>
    <row r="198" spans="1:21" s="1191" customFormat="1" ht="13.5" customHeight="1">
      <c r="A198" s="2218"/>
      <c r="B198" s="2076"/>
      <c r="C198" s="2191"/>
      <c r="D198" s="2099" t="s">
        <v>1235</v>
      </c>
      <c r="E198" s="2090"/>
      <c r="F198" s="2175">
        <v>8</v>
      </c>
      <c r="G198" s="2215"/>
      <c r="H198" s="2080"/>
      <c r="I198" s="2080"/>
    </row>
    <row r="199" spans="1:21" s="1191" customFormat="1" ht="13.5" customHeight="1">
      <c r="A199" s="2218"/>
      <c r="B199" s="2076"/>
      <c r="C199" s="2191"/>
      <c r="D199" s="2077" t="s">
        <v>3039</v>
      </c>
      <c r="E199" s="2090"/>
      <c r="F199" s="2078"/>
      <c r="G199" s="2215"/>
      <c r="H199" s="2193"/>
      <c r="I199" s="2080"/>
    </row>
    <row r="200" spans="1:21" s="2164" customFormat="1" ht="13.5" customHeight="1">
      <c r="A200" s="2231">
        <v>62</v>
      </c>
      <c r="B200" s="2169">
        <v>742</v>
      </c>
      <c r="C200" s="2082" t="s">
        <v>3062</v>
      </c>
      <c r="D200" s="2232" t="s">
        <v>3063</v>
      </c>
      <c r="E200" s="2163" t="s">
        <v>49</v>
      </c>
      <c r="F200" s="2101">
        <f>F201</f>
        <v>1</v>
      </c>
      <c r="G200" s="2233"/>
      <c r="H200" s="2233">
        <f>F200*G200</f>
        <v>0</v>
      </c>
      <c r="I200" s="2085" t="s">
        <v>111</v>
      </c>
      <c r="J200" s="2234"/>
    </row>
    <row r="201" spans="1:21" s="1191" customFormat="1" ht="13.5" customHeight="1">
      <c r="A201" s="2218"/>
      <c r="B201" s="2076"/>
      <c r="C201" s="2191"/>
      <c r="D201" s="2099" t="s">
        <v>3064</v>
      </c>
      <c r="E201" s="2090"/>
      <c r="F201" s="2175">
        <v>1</v>
      </c>
      <c r="G201" s="2215"/>
      <c r="H201" s="2080"/>
      <c r="I201" s="2080"/>
    </row>
    <row r="202" spans="1:21" s="2164" customFormat="1" ht="108" customHeight="1">
      <c r="A202" s="2235"/>
      <c r="B202" s="2169"/>
      <c r="C202" s="2236"/>
      <c r="D202" s="2237" t="s">
        <v>3065</v>
      </c>
      <c r="E202" s="2163"/>
      <c r="F202" s="2233"/>
      <c r="G202" s="2233"/>
      <c r="H202" s="2233"/>
      <c r="I202" s="2168"/>
      <c r="J202" s="2234"/>
    </row>
    <row r="203" spans="1:21" s="1191" customFormat="1" ht="13.5" customHeight="1">
      <c r="A203" s="2218"/>
      <c r="B203" s="2076"/>
      <c r="C203" s="2191"/>
      <c r="D203" s="2099" t="s">
        <v>3066</v>
      </c>
      <c r="E203" s="2090"/>
      <c r="F203" s="2175"/>
      <c r="G203" s="2215"/>
      <c r="H203" s="2080"/>
      <c r="I203" s="2080"/>
    </row>
    <row r="204" spans="1:21" s="1259" customFormat="1" ht="13.5" customHeight="1">
      <c r="A204" s="2100">
        <v>63</v>
      </c>
      <c r="B204" s="2089">
        <v>742</v>
      </c>
      <c r="C204" s="2082" t="s">
        <v>3056</v>
      </c>
      <c r="D204" s="2082" t="s">
        <v>2153</v>
      </c>
      <c r="E204" s="2082" t="s">
        <v>49</v>
      </c>
      <c r="F204" s="2101">
        <f>ROUND(SUM(F205),3)</f>
        <v>1</v>
      </c>
      <c r="G204" s="2091"/>
      <c r="H204" s="2084">
        <f t="shared" ref="H204" si="42">ROUND(F204*G204,2)</f>
        <v>0</v>
      </c>
      <c r="I204" s="2085" t="s">
        <v>111</v>
      </c>
      <c r="J204" s="1428"/>
      <c r="K204" s="1427"/>
      <c r="L204" s="1427"/>
      <c r="M204" s="1428"/>
      <c r="N204" s="1432"/>
      <c r="O204" s="1433"/>
      <c r="P204" s="1191"/>
      <c r="Q204" s="1433"/>
      <c r="R204" s="1192"/>
      <c r="S204" s="1192"/>
    </row>
    <row r="205" spans="1:21" s="2109" customFormat="1" ht="13.5" customHeight="1">
      <c r="A205" s="2102"/>
      <c r="B205" s="2103"/>
      <c r="C205" s="2098"/>
      <c r="D205" s="2104" t="s">
        <v>2154</v>
      </c>
      <c r="E205" s="2105"/>
      <c r="F205" s="2106">
        <v>1</v>
      </c>
      <c r="G205" s="2107"/>
      <c r="H205" s="2107"/>
      <c r="I205" s="2108"/>
      <c r="J205" s="1428"/>
      <c r="K205" s="1427"/>
      <c r="L205" s="1427"/>
      <c r="M205" s="1428"/>
      <c r="N205" s="1432"/>
      <c r="O205" s="1191"/>
      <c r="Q205" s="1428"/>
    </row>
    <row r="206" spans="1:21" s="2109" customFormat="1" ht="27" customHeight="1">
      <c r="A206" s="2102"/>
      <c r="B206" s="2103"/>
      <c r="C206" s="2098"/>
      <c r="D206" s="2104" t="s">
        <v>2123</v>
      </c>
      <c r="E206" s="2105"/>
      <c r="F206" s="2110"/>
      <c r="G206" s="2107"/>
      <c r="H206" s="2107"/>
      <c r="I206" s="2108"/>
      <c r="J206" s="1428"/>
      <c r="K206" s="1427"/>
      <c r="L206" s="1427"/>
      <c r="M206" s="1428"/>
      <c r="N206" s="1432"/>
      <c r="O206" s="1191"/>
      <c r="P206" s="1429"/>
      <c r="Q206" s="1428"/>
    </row>
    <row r="207" spans="1:21" s="1439" customFormat="1" ht="13.5" customHeight="1">
      <c r="A207" s="2100">
        <v>64</v>
      </c>
      <c r="B207" s="2089">
        <v>742</v>
      </c>
      <c r="C207" s="2082" t="s">
        <v>2155</v>
      </c>
      <c r="D207" s="2111" t="s">
        <v>1950</v>
      </c>
      <c r="E207" s="2112" t="s">
        <v>49</v>
      </c>
      <c r="F207" s="2101">
        <f>ROUND(SUM(F208),3)</f>
        <v>1</v>
      </c>
      <c r="G207" s="2079"/>
      <c r="H207" s="2117">
        <f>F207*G207</f>
        <v>0</v>
      </c>
      <c r="I207" s="2085" t="s">
        <v>111</v>
      </c>
      <c r="J207" s="1191"/>
      <c r="K207" s="1191"/>
      <c r="N207" s="1440"/>
      <c r="O207" s="1433"/>
      <c r="P207" s="1191"/>
      <c r="Q207" s="1433"/>
      <c r="R207" s="1441"/>
      <c r="S207" s="1441"/>
      <c r="T207" s="1441"/>
      <c r="U207" s="1441"/>
    </row>
    <row r="208" spans="1:21" s="1439" customFormat="1" ht="13.5" customHeight="1">
      <c r="A208" s="2114"/>
      <c r="B208" s="2112"/>
      <c r="C208" s="2112"/>
      <c r="D208" s="2115" t="s">
        <v>2125</v>
      </c>
      <c r="E208" s="2112"/>
      <c r="F208" s="2116">
        <v>1</v>
      </c>
      <c r="G208" s="2117"/>
      <c r="H208" s="2117"/>
      <c r="I208" s="2118"/>
      <c r="J208" s="1191"/>
      <c r="K208" s="1191"/>
      <c r="N208" s="1440"/>
      <c r="Q208" s="1441"/>
      <c r="R208" s="1441"/>
      <c r="S208" s="1441"/>
      <c r="T208" s="1441"/>
      <c r="U208" s="1441"/>
    </row>
    <row r="209" spans="1:26" s="1439" customFormat="1" ht="40.5" customHeight="1">
      <c r="A209" s="2114"/>
      <c r="B209" s="2112"/>
      <c r="C209" s="2112"/>
      <c r="D209" s="2115" t="s">
        <v>2126</v>
      </c>
      <c r="E209" s="2112"/>
      <c r="F209" s="2120"/>
      <c r="G209" s="2117"/>
      <c r="H209" s="2117"/>
      <c r="I209" s="2118"/>
      <c r="J209" s="1191"/>
      <c r="K209" s="1191"/>
      <c r="N209" s="1440"/>
      <c r="O209" s="1191"/>
      <c r="P209" s="1429"/>
      <c r="Q209" s="1428"/>
    </row>
    <row r="210" spans="1:26" s="1439" customFormat="1" ht="13.5" customHeight="1">
      <c r="A210" s="2100">
        <v>65</v>
      </c>
      <c r="B210" s="2089">
        <v>742</v>
      </c>
      <c r="C210" s="2082" t="s">
        <v>2156</v>
      </c>
      <c r="D210" s="2111" t="s">
        <v>1954</v>
      </c>
      <c r="E210" s="2112" t="s">
        <v>49</v>
      </c>
      <c r="F210" s="2101">
        <f>ROUND(SUM(F211),3)</f>
        <v>1</v>
      </c>
      <c r="G210" s="2079"/>
      <c r="H210" s="2117">
        <f>F210*G210</f>
        <v>0</v>
      </c>
      <c r="I210" s="2085" t="s">
        <v>111</v>
      </c>
      <c r="J210" s="1191"/>
      <c r="K210" s="1191"/>
      <c r="N210" s="1440"/>
      <c r="O210" s="1433"/>
      <c r="P210" s="1191"/>
      <c r="Q210" s="1433"/>
      <c r="R210" s="1441"/>
      <c r="S210" s="1441"/>
      <c r="T210" s="1441"/>
      <c r="U210" s="1441"/>
    </row>
    <row r="211" spans="1:26" s="1439" customFormat="1" ht="27" customHeight="1">
      <c r="A211" s="2114"/>
      <c r="B211" s="2112"/>
      <c r="C211" s="2112"/>
      <c r="D211" s="2115" t="s">
        <v>2128</v>
      </c>
      <c r="E211" s="2112"/>
      <c r="F211" s="2116">
        <v>1</v>
      </c>
      <c r="G211" s="2117"/>
      <c r="H211" s="2117"/>
      <c r="I211" s="2118"/>
      <c r="J211" s="1191"/>
      <c r="K211" s="1191"/>
      <c r="N211" s="1440"/>
      <c r="Q211" s="1441"/>
      <c r="R211" s="1441"/>
      <c r="S211" s="1441"/>
      <c r="T211" s="1441"/>
      <c r="U211" s="1441"/>
    </row>
    <row r="212" spans="1:26" s="1439" customFormat="1" ht="40.5" customHeight="1">
      <c r="A212" s="2114"/>
      <c r="B212" s="2112"/>
      <c r="C212" s="2112"/>
      <c r="D212" s="2115" t="s">
        <v>1952</v>
      </c>
      <c r="E212" s="2112"/>
      <c r="F212" s="2120"/>
      <c r="G212" s="2117"/>
      <c r="H212" s="2117"/>
      <c r="I212" s="2118"/>
      <c r="J212" s="1191"/>
      <c r="K212" s="1191"/>
      <c r="N212" s="1440"/>
    </row>
    <row r="213" spans="1:26" s="1191" customFormat="1" ht="13.5" customHeight="1">
      <c r="A213" s="2100">
        <v>66</v>
      </c>
      <c r="B213" s="2089">
        <v>742</v>
      </c>
      <c r="C213" s="2082" t="s">
        <v>2157</v>
      </c>
      <c r="D213" s="2082" t="s">
        <v>1966</v>
      </c>
      <c r="E213" s="2122" t="s">
        <v>49</v>
      </c>
      <c r="F213" s="2083">
        <v>1</v>
      </c>
      <c r="G213" s="2079"/>
      <c r="H213" s="2091">
        <f>F213*G213</f>
        <v>0</v>
      </c>
      <c r="I213" s="2085" t="s">
        <v>111</v>
      </c>
      <c r="N213" s="1446"/>
    </row>
    <row r="214" spans="1:26" s="2127" customFormat="1" ht="13.5" customHeight="1">
      <c r="A214" s="2238">
        <v>67</v>
      </c>
      <c r="B214" s="2123">
        <v>742</v>
      </c>
      <c r="C214" s="2103">
        <v>998742312</v>
      </c>
      <c r="D214" s="2124" t="s">
        <v>2974</v>
      </c>
      <c r="E214" s="2124" t="s">
        <v>10</v>
      </c>
      <c r="F214" s="2125">
        <v>0.89</v>
      </c>
      <c r="G214" s="2107"/>
      <c r="H214" s="2084">
        <f t="shared" ref="H214:H215" si="43">ROUND(F214*G214,2)</f>
        <v>0</v>
      </c>
      <c r="I214" s="2126" t="s">
        <v>138</v>
      </c>
      <c r="J214" s="1428"/>
      <c r="K214" s="1427"/>
      <c r="L214" s="1427"/>
      <c r="M214" s="1428"/>
      <c r="N214" s="1432"/>
      <c r="O214" s="1449"/>
      <c r="Q214" s="1428"/>
    </row>
    <row r="215" spans="1:26" s="2109" customFormat="1" ht="13.5" customHeight="1">
      <c r="A215" s="2238">
        <v>68</v>
      </c>
      <c r="B215" s="2082" t="s">
        <v>369</v>
      </c>
      <c r="C215" s="2082" t="s">
        <v>1928</v>
      </c>
      <c r="D215" s="2082" t="s">
        <v>1929</v>
      </c>
      <c r="E215" s="2103" t="s">
        <v>69</v>
      </c>
      <c r="F215" s="2219">
        <f>ROUND(SUM(F216),3)</f>
        <v>10</v>
      </c>
      <c r="G215" s="2091"/>
      <c r="H215" s="2084">
        <f t="shared" si="43"/>
        <v>0</v>
      </c>
      <c r="I215" s="2126" t="s">
        <v>138</v>
      </c>
      <c r="J215" s="1428"/>
      <c r="K215" s="1427"/>
      <c r="L215" s="1427"/>
      <c r="M215" s="1428"/>
      <c r="N215" s="1432"/>
      <c r="O215" s="174"/>
      <c r="Q215" s="1428"/>
    </row>
    <row r="216" spans="1:26" s="2109" customFormat="1" ht="13.5" customHeight="1">
      <c r="A216" s="2102"/>
      <c r="B216" s="2103"/>
      <c r="C216" s="2098"/>
      <c r="D216" s="2104" t="s">
        <v>2129</v>
      </c>
      <c r="E216" s="2105"/>
      <c r="F216" s="2106">
        <v>10</v>
      </c>
      <c r="G216" s="2107"/>
      <c r="H216" s="2107"/>
      <c r="I216" s="2108"/>
      <c r="J216" s="1428"/>
      <c r="K216" s="1427"/>
      <c r="L216" s="1427"/>
      <c r="M216" s="1428"/>
      <c r="N216" s="1432"/>
      <c r="O216" s="174"/>
      <c r="Q216" s="1428"/>
    </row>
    <row r="217" spans="1:26" s="2109" customFormat="1" ht="13.5" customHeight="1">
      <c r="A217" s="2102"/>
      <c r="B217" s="2103"/>
      <c r="C217" s="2098"/>
      <c r="D217" s="2104" t="s">
        <v>2130</v>
      </c>
      <c r="E217" s="2105"/>
      <c r="F217" s="2106"/>
      <c r="G217" s="2107"/>
      <c r="H217" s="2107"/>
      <c r="I217" s="2108"/>
      <c r="J217" s="1428"/>
      <c r="K217" s="1427"/>
      <c r="L217" s="1427"/>
      <c r="M217" s="1428"/>
      <c r="N217" s="1432"/>
      <c r="O217" s="174"/>
      <c r="Q217" s="1428"/>
    </row>
    <row r="218" spans="1:26" s="1234" customFormat="1" ht="13.5" customHeight="1">
      <c r="A218" s="2074"/>
      <c r="B218" s="2076"/>
      <c r="C218" s="2076">
        <v>742</v>
      </c>
      <c r="D218" s="2191" t="s">
        <v>2158</v>
      </c>
      <c r="E218" s="2076"/>
      <c r="F218" s="2128"/>
      <c r="G218" s="2129"/>
      <c r="H218" s="2130">
        <f>SUM(H219:H244)</f>
        <v>0</v>
      </c>
      <c r="I218" s="2080"/>
      <c r="J218" s="1428"/>
      <c r="K218" s="1427"/>
      <c r="L218" s="1427"/>
      <c r="M218" s="1428"/>
      <c r="N218" s="1432"/>
      <c r="O218" s="195"/>
      <c r="P218" s="1238"/>
      <c r="Q218" s="1428"/>
    </row>
    <row r="219" spans="1:26" s="1191" customFormat="1" ht="13.5" customHeight="1">
      <c r="A219" s="2081">
        <v>69</v>
      </c>
      <c r="B219" s="2089">
        <v>742</v>
      </c>
      <c r="C219" s="2082" t="s">
        <v>3067</v>
      </c>
      <c r="D219" s="2090" t="s">
        <v>3068</v>
      </c>
      <c r="E219" s="2090" t="s">
        <v>210</v>
      </c>
      <c r="F219" s="2172">
        <f>SUM(F221:F222)</f>
        <v>11</v>
      </c>
      <c r="G219" s="2107"/>
      <c r="H219" s="2084">
        <f t="shared" ref="H219" si="44">ROUND(F219*G219,2)</f>
        <v>0</v>
      </c>
      <c r="I219" s="2085" t="s">
        <v>111</v>
      </c>
      <c r="J219" s="2092"/>
      <c r="K219" s="2133"/>
      <c r="L219" s="1259"/>
      <c r="M219" s="1259"/>
      <c r="N219" s="2135"/>
      <c r="O219" s="2135"/>
      <c r="P219" s="2133"/>
      <c r="Q219" s="1259"/>
      <c r="R219" s="1259"/>
      <c r="S219" s="2135"/>
      <c r="T219" s="1234"/>
      <c r="U219" s="2135"/>
      <c r="V219" s="2135"/>
      <c r="Z219" s="2135"/>
    </row>
    <row r="220" spans="1:26" s="1191" customFormat="1" ht="13.5" customHeight="1">
      <c r="A220" s="2081"/>
      <c r="B220" s="2216"/>
      <c r="C220" s="2082"/>
      <c r="D220" s="2099" t="s">
        <v>3069</v>
      </c>
      <c r="E220" s="2090"/>
      <c r="F220" s="2172"/>
      <c r="G220" s="2215"/>
      <c r="H220" s="2215"/>
      <c r="I220" s="2091"/>
      <c r="J220" s="2092"/>
      <c r="Q220" s="2135"/>
      <c r="T220" s="2135"/>
    </row>
    <row r="221" spans="1:26" s="1191" customFormat="1" ht="13.5" customHeight="1">
      <c r="A221" s="2074"/>
      <c r="B221" s="2082"/>
      <c r="C221" s="2082"/>
      <c r="D221" s="2099" t="s">
        <v>1182</v>
      </c>
      <c r="E221" s="2090"/>
      <c r="F221" s="2175">
        <v>4</v>
      </c>
      <c r="G221" s="2079"/>
      <c r="H221" s="2079"/>
      <c r="I221" s="2091"/>
      <c r="J221" s="2217"/>
      <c r="Q221" s="2135"/>
    </row>
    <row r="222" spans="1:26" s="1191" customFormat="1" ht="13.5" customHeight="1">
      <c r="A222" s="2074"/>
      <c r="B222" s="2082"/>
      <c r="C222" s="2082"/>
      <c r="D222" s="2099" t="s">
        <v>1235</v>
      </c>
      <c r="E222" s="2090"/>
      <c r="F222" s="2175">
        <v>7</v>
      </c>
      <c r="G222" s="2079"/>
      <c r="H222" s="2079"/>
      <c r="I222" s="2091"/>
      <c r="J222" s="2217"/>
      <c r="Q222" s="2135"/>
    </row>
    <row r="223" spans="1:26" s="1191" customFormat="1" ht="13.5" customHeight="1">
      <c r="A223" s="2218"/>
      <c r="B223" s="2076"/>
      <c r="C223" s="2191"/>
      <c r="D223" s="2099" t="s">
        <v>3035</v>
      </c>
      <c r="E223" s="2090"/>
      <c r="F223" s="2078"/>
      <c r="G223" s="2215"/>
      <c r="H223" s="2193"/>
      <c r="I223" s="2080"/>
      <c r="Q223" s="2135"/>
    </row>
    <row r="224" spans="1:26" s="1191" customFormat="1" ht="13.5" customHeight="1">
      <c r="A224" s="2081">
        <v>70</v>
      </c>
      <c r="B224" s="2089">
        <v>742</v>
      </c>
      <c r="C224" s="2082" t="s">
        <v>3070</v>
      </c>
      <c r="D224" s="2090" t="s">
        <v>3071</v>
      </c>
      <c r="E224" s="2090" t="s">
        <v>210</v>
      </c>
      <c r="F224" s="2172">
        <f>SUM(F226:F226)</f>
        <v>1</v>
      </c>
      <c r="G224" s="2107"/>
      <c r="H224" s="2084">
        <f t="shared" ref="H224" si="45">ROUND(F224*G224,2)</f>
        <v>0</v>
      </c>
      <c r="I224" s="2085" t="s">
        <v>111</v>
      </c>
      <c r="J224" s="2092"/>
      <c r="K224" s="2133"/>
      <c r="L224" s="1259"/>
      <c r="M224" s="1259"/>
      <c r="N224" s="2135"/>
      <c r="O224" s="2135"/>
      <c r="P224" s="2133"/>
      <c r="Q224" s="1259"/>
      <c r="R224" s="1259"/>
      <c r="S224" s="2135"/>
      <c r="T224" s="1234"/>
      <c r="U224" s="2135"/>
      <c r="V224" s="2135"/>
      <c r="Z224" s="2135"/>
    </row>
    <row r="225" spans="1:25" s="1191" customFormat="1" ht="13.5" customHeight="1">
      <c r="A225" s="2081"/>
      <c r="B225" s="2216"/>
      <c r="C225" s="2082"/>
      <c r="D225" s="2099" t="s">
        <v>3072</v>
      </c>
      <c r="E225" s="2090"/>
      <c r="F225" s="2172"/>
      <c r="G225" s="2215"/>
      <c r="H225" s="2215"/>
      <c r="I225" s="2091"/>
      <c r="J225" s="2092"/>
      <c r="O225" s="2135"/>
      <c r="Q225" s="2135"/>
    </row>
    <row r="226" spans="1:25" s="1191" customFormat="1" ht="13.5" customHeight="1">
      <c r="A226" s="2074"/>
      <c r="B226" s="2082"/>
      <c r="C226" s="2082"/>
      <c r="D226" s="2099" t="s">
        <v>1182</v>
      </c>
      <c r="E226" s="2090"/>
      <c r="F226" s="2175">
        <v>1</v>
      </c>
      <c r="G226" s="2079"/>
      <c r="H226" s="2079"/>
      <c r="I226" s="2091"/>
      <c r="J226" s="2217"/>
      <c r="Q226" s="2135"/>
    </row>
    <row r="227" spans="1:25" s="1191" customFormat="1" ht="13.5" customHeight="1">
      <c r="A227" s="2218"/>
      <c r="B227" s="2076"/>
      <c r="C227" s="2191"/>
      <c r="D227" s="2099" t="s">
        <v>3035</v>
      </c>
      <c r="E227" s="2090"/>
      <c r="F227" s="2078"/>
      <c r="G227" s="2215"/>
      <c r="H227" s="2193"/>
      <c r="I227" s="2080"/>
      <c r="Q227" s="2135"/>
    </row>
    <row r="228" spans="1:25" s="1234" customFormat="1" ht="13.5" customHeight="1">
      <c r="A228" s="2100">
        <v>71</v>
      </c>
      <c r="B228" s="2089">
        <v>742</v>
      </c>
      <c r="C228" s="2082" t="s">
        <v>2159</v>
      </c>
      <c r="D228" s="2122" t="s">
        <v>2160</v>
      </c>
      <c r="E228" s="2090" t="s">
        <v>49</v>
      </c>
      <c r="F228" s="2101">
        <f>ROUND(SUM(F229),3)</f>
        <v>1</v>
      </c>
      <c r="G228" s="2079"/>
      <c r="H228" s="2084">
        <f t="shared" ref="H228" si="46">ROUND(F228*G228,2)</f>
        <v>0</v>
      </c>
      <c r="I228" s="2085" t="s">
        <v>111</v>
      </c>
      <c r="J228" s="1421"/>
      <c r="K228" s="1427"/>
      <c r="L228" s="1427"/>
      <c r="M228" s="1428"/>
      <c r="N228" s="1432"/>
      <c r="O228" s="1433"/>
      <c r="P228" s="1191"/>
      <c r="Q228" s="1433"/>
      <c r="R228" s="1192"/>
      <c r="Y228" s="1235"/>
    </row>
    <row r="229" spans="1:25" s="158" customFormat="1" ht="27" customHeight="1">
      <c r="A229" s="2239"/>
      <c r="B229" s="2240"/>
      <c r="C229" s="2241"/>
      <c r="D229" s="2077" t="s">
        <v>3073</v>
      </c>
      <c r="E229" s="2169"/>
      <c r="F229" s="2242">
        <v>1</v>
      </c>
      <c r="G229" s="2243"/>
      <c r="H229" s="2244"/>
      <c r="I229" s="2245"/>
      <c r="J229" s="1428"/>
      <c r="K229" s="1427"/>
      <c r="L229" s="1427"/>
      <c r="M229" s="1428"/>
      <c r="N229" s="1432"/>
      <c r="O229" s="1252"/>
      <c r="Q229" s="1428"/>
    </row>
    <row r="230" spans="1:25" s="1234" customFormat="1" ht="13.5" customHeight="1">
      <c r="A230" s="2137"/>
      <c r="B230" s="2082"/>
      <c r="C230" s="2082"/>
      <c r="D230" s="2077" t="s">
        <v>2119</v>
      </c>
      <c r="E230" s="2090"/>
      <c r="F230" s="2078"/>
      <c r="G230" s="2079"/>
      <c r="H230" s="2079"/>
      <c r="I230" s="2085"/>
      <c r="J230" s="1428"/>
      <c r="K230" s="1427"/>
      <c r="L230" s="1427"/>
      <c r="M230" s="1428"/>
      <c r="N230" s="1432"/>
      <c r="O230" s="1191"/>
      <c r="P230" s="1429"/>
      <c r="Q230" s="1428"/>
    </row>
    <row r="231" spans="1:25" s="1259" customFormat="1" ht="13.5" customHeight="1">
      <c r="A231" s="2100">
        <v>72</v>
      </c>
      <c r="B231" s="2089">
        <v>742</v>
      </c>
      <c r="C231" s="2082" t="s">
        <v>2161</v>
      </c>
      <c r="D231" s="2082" t="s">
        <v>3074</v>
      </c>
      <c r="E231" s="2082" t="s">
        <v>49</v>
      </c>
      <c r="F231" s="2101">
        <f>ROUND(SUM(F232),3)</f>
        <v>1</v>
      </c>
      <c r="G231" s="2091"/>
      <c r="H231" s="2084">
        <f t="shared" ref="H231" si="47">ROUND(F231*G231,2)</f>
        <v>0</v>
      </c>
      <c r="I231" s="2085" t="s">
        <v>111</v>
      </c>
      <c r="J231" s="1428"/>
      <c r="K231" s="1427"/>
      <c r="L231" s="1427"/>
      <c r="M231" s="1428"/>
      <c r="N231" s="1432"/>
      <c r="O231" s="1433"/>
      <c r="P231" s="1191"/>
      <c r="Q231" s="1433"/>
      <c r="R231" s="1192"/>
      <c r="S231" s="1192"/>
    </row>
    <row r="232" spans="1:25" s="2109" customFormat="1" ht="13.5" customHeight="1">
      <c r="A232" s="2102"/>
      <c r="B232" s="2103"/>
      <c r="C232" s="2098"/>
      <c r="D232" s="2104" t="s">
        <v>3075</v>
      </c>
      <c r="E232" s="2105"/>
      <c r="F232" s="2106">
        <v>1</v>
      </c>
      <c r="G232" s="2107"/>
      <c r="H232" s="2107"/>
      <c r="I232" s="2108"/>
      <c r="J232" s="1428"/>
      <c r="K232" s="1427"/>
      <c r="L232" s="1427"/>
      <c r="M232" s="1428"/>
      <c r="N232" s="1432"/>
      <c r="O232" s="174"/>
      <c r="Q232" s="1428"/>
    </row>
    <row r="233" spans="1:25" s="2109" customFormat="1" ht="27" customHeight="1">
      <c r="A233" s="2102"/>
      <c r="B233" s="2103"/>
      <c r="C233" s="2098"/>
      <c r="D233" s="2104" t="s">
        <v>2123</v>
      </c>
      <c r="E233" s="2105"/>
      <c r="F233" s="2110"/>
      <c r="G233" s="2107"/>
      <c r="H233" s="2107"/>
      <c r="I233" s="2108"/>
      <c r="J233" s="1428"/>
      <c r="K233" s="1427"/>
      <c r="L233" s="1427"/>
      <c r="M233" s="1428"/>
      <c r="N233" s="1432"/>
      <c r="O233" s="1191"/>
      <c r="P233" s="1429"/>
      <c r="Q233" s="1428"/>
    </row>
    <row r="234" spans="1:25" s="1439" customFormat="1" ht="13.5" customHeight="1">
      <c r="A234" s="2100">
        <v>73</v>
      </c>
      <c r="B234" s="2089">
        <v>742</v>
      </c>
      <c r="C234" s="2082" t="s">
        <v>2162</v>
      </c>
      <c r="D234" s="2111" t="s">
        <v>1950</v>
      </c>
      <c r="E234" s="2112" t="s">
        <v>49</v>
      </c>
      <c r="F234" s="2101">
        <f>ROUND(SUM(F235),3)</f>
        <v>1</v>
      </c>
      <c r="G234" s="2079"/>
      <c r="H234" s="2084">
        <f t="shared" ref="H234" si="48">ROUND(F234*G234,2)</f>
        <v>0</v>
      </c>
      <c r="I234" s="2085" t="s">
        <v>111</v>
      </c>
      <c r="J234" s="1191"/>
      <c r="K234" s="1191"/>
      <c r="N234" s="1440"/>
      <c r="O234" s="1433"/>
      <c r="P234" s="1191"/>
      <c r="Q234" s="1433"/>
      <c r="R234" s="1441"/>
      <c r="S234" s="1441"/>
      <c r="T234" s="1441"/>
      <c r="U234" s="1441"/>
    </row>
    <row r="235" spans="1:25" s="1439" customFormat="1" ht="13.5" customHeight="1">
      <c r="A235" s="2114"/>
      <c r="B235" s="2112"/>
      <c r="C235" s="2112"/>
      <c r="D235" s="2115" t="s">
        <v>2125</v>
      </c>
      <c r="E235" s="2112"/>
      <c r="F235" s="2116">
        <v>1</v>
      </c>
      <c r="G235" s="2117"/>
      <c r="H235" s="2117"/>
      <c r="I235" s="2118"/>
      <c r="J235" s="1191"/>
      <c r="K235" s="1191"/>
      <c r="N235" s="1440"/>
      <c r="Q235" s="1441"/>
      <c r="R235" s="1441"/>
      <c r="S235" s="1441"/>
      <c r="T235" s="1441"/>
      <c r="U235" s="1441"/>
    </row>
    <row r="236" spans="1:25" s="1439" customFormat="1" ht="40.5" customHeight="1">
      <c r="A236" s="2114"/>
      <c r="B236" s="2112"/>
      <c r="C236" s="2112"/>
      <c r="D236" s="2115" t="s">
        <v>2126</v>
      </c>
      <c r="E236" s="2112"/>
      <c r="F236" s="2120"/>
      <c r="G236" s="2117"/>
      <c r="H236" s="2117"/>
      <c r="I236" s="2118"/>
      <c r="J236" s="1191"/>
      <c r="K236" s="1191"/>
      <c r="N236" s="1440"/>
      <c r="O236" s="1191"/>
      <c r="P236" s="1429"/>
      <c r="Q236" s="1428"/>
    </row>
    <row r="237" spans="1:25" s="1439" customFormat="1" ht="13.5" customHeight="1">
      <c r="A237" s="2100">
        <v>74</v>
      </c>
      <c r="B237" s="2089">
        <v>742</v>
      </c>
      <c r="C237" s="2082" t="s">
        <v>2163</v>
      </c>
      <c r="D237" s="2111" t="s">
        <v>1954</v>
      </c>
      <c r="E237" s="2112" t="s">
        <v>49</v>
      </c>
      <c r="F237" s="2101">
        <f>ROUND(SUM(F238),3)</f>
        <v>1</v>
      </c>
      <c r="G237" s="2079"/>
      <c r="H237" s="2084">
        <f t="shared" ref="H237" si="49">ROUND(F237*G237,2)</f>
        <v>0</v>
      </c>
      <c r="I237" s="2085" t="s">
        <v>111</v>
      </c>
      <c r="J237" s="1191"/>
      <c r="K237" s="1191"/>
      <c r="N237" s="1440"/>
      <c r="O237" s="1433"/>
      <c r="P237" s="1191"/>
      <c r="Q237" s="1433"/>
      <c r="R237" s="1441"/>
      <c r="S237" s="1441"/>
      <c r="T237" s="1441"/>
      <c r="U237" s="1441"/>
    </row>
    <row r="238" spans="1:25" s="1439" customFormat="1" ht="27" customHeight="1">
      <c r="A238" s="2114"/>
      <c r="B238" s="2112"/>
      <c r="C238" s="2112"/>
      <c r="D238" s="2115" t="s">
        <v>2128</v>
      </c>
      <c r="E238" s="2112"/>
      <c r="F238" s="2116">
        <v>1</v>
      </c>
      <c r="G238" s="2117"/>
      <c r="H238" s="2117"/>
      <c r="I238" s="2118"/>
      <c r="J238" s="1191"/>
      <c r="K238" s="1191"/>
      <c r="N238" s="1440"/>
      <c r="Q238" s="1441"/>
      <c r="R238" s="1441"/>
      <c r="S238" s="1441"/>
      <c r="T238" s="1441"/>
      <c r="U238" s="1441"/>
    </row>
    <row r="239" spans="1:25" s="1439" customFormat="1" ht="40.5" customHeight="1">
      <c r="A239" s="2114"/>
      <c r="B239" s="2112"/>
      <c r="C239" s="2112"/>
      <c r="D239" s="2115" t="s">
        <v>1952</v>
      </c>
      <c r="E239" s="2112"/>
      <c r="F239" s="2120"/>
      <c r="G239" s="2117"/>
      <c r="H239" s="2117"/>
      <c r="I239" s="2118"/>
      <c r="J239" s="1191"/>
      <c r="K239" s="1191"/>
      <c r="N239" s="1440"/>
    </row>
    <row r="240" spans="1:25" s="1191" customFormat="1" ht="13.5" customHeight="1">
      <c r="A240" s="2100">
        <v>75</v>
      </c>
      <c r="B240" s="2089">
        <v>742</v>
      </c>
      <c r="C240" s="2082" t="s">
        <v>2164</v>
      </c>
      <c r="D240" s="2082" t="s">
        <v>1966</v>
      </c>
      <c r="E240" s="2122" t="s">
        <v>49</v>
      </c>
      <c r="F240" s="2083">
        <v>1</v>
      </c>
      <c r="G240" s="2079"/>
      <c r="H240" s="2084">
        <f t="shared" ref="H240:H242" si="50">ROUND(F240*G240,2)</f>
        <v>0</v>
      </c>
      <c r="I240" s="2085" t="s">
        <v>111</v>
      </c>
      <c r="N240" s="1446"/>
    </row>
    <row r="241" spans="1:122" s="2127" customFormat="1" ht="13.5" customHeight="1">
      <c r="A241" s="2238">
        <v>76</v>
      </c>
      <c r="B241" s="2123">
        <v>742</v>
      </c>
      <c r="C241" s="2103">
        <v>998742312</v>
      </c>
      <c r="D241" s="2124" t="s">
        <v>2974</v>
      </c>
      <c r="E241" s="2124" t="s">
        <v>10</v>
      </c>
      <c r="F241" s="2125">
        <v>0.89</v>
      </c>
      <c r="G241" s="2107"/>
      <c r="H241" s="2084">
        <f t="shared" si="50"/>
        <v>0</v>
      </c>
      <c r="I241" s="2126" t="s">
        <v>138</v>
      </c>
      <c r="J241" s="2211"/>
      <c r="K241" s="1427"/>
      <c r="L241" s="1427"/>
      <c r="M241" s="1428"/>
      <c r="N241" s="1432"/>
      <c r="O241" s="174"/>
      <c r="Q241" s="1428"/>
    </row>
    <row r="242" spans="1:122" s="2109" customFormat="1" ht="13.5" customHeight="1">
      <c r="A242" s="2238">
        <v>77</v>
      </c>
      <c r="B242" s="2082" t="s">
        <v>369</v>
      </c>
      <c r="C242" s="2082" t="s">
        <v>1928</v>
      </c>
      <c r="D242" s="2082" t="s">
        <v>1929</v>
      </c>
      <c r="E242" s="2103" t="s">
        <v>69</v>
      </c>
      <c r="F242" s="2219">
        <f>ROUND(SUM(F243),3)</f>
        <v>10</v>
      </c>
      <c r="G242" s="2091"/>
      <c r="H242" s="2084">
        <f t="shared" si="50"/>
        <v>0</v>
      </c>
      <c r="I242" s="2126" t="s">
        <v>138</v>
      </c>
      <c r="J242" s="1428"/>
      <c r="K242" s="1427"/>
      <c r="L242" s="1427"/>
      <c r="M242" s="1428"/>
      <c r="N242" s="1432"/>
      <c r="O242" s="195"/>
      <c r="Q242" s="1428"/>
    </row>
    <row r="243" spans="1:122" s="2109" customFormat="1" ht="13.5" customHeight="1">
      <c r="A243" s="2102"/>
      <c r="B243" s="2103"/>
      <c r="C243" s="2098"/>
      <c r="D243" s="2104" t="s">
        <v>2129</v>
      </c>
      <c r="E243" s="2105"/>
      <c r="F243" s="2106">
        <v>10</v>
      </c>
      <c r="G243" s="2107"/>
      <c r="H243" s="2107"/>
      <c r="I243" s="2108"/>
      <c r="J243" s="1428"/>
      <c r="K243" s="1427"/>
      <c r="L243" s="1427"/>
      <c r="M243" s="1428"/>
      <c r="N243" s="1432"/>
      <c r="O243" s="195"/>
      <c r="Q243" s="1428"/>
    </row>
    <row r="244" spans="1:122" s="2109" customFormat="1" ht="13.5" customHeight="1">
      <c r="A244" s="2102"/>
      <c r="B244" s="2103"/>
      <c r="C244" s="2098"/>
      <c r="D244" s="2104" t="s">
        <v>2130</v>
      </c>
      <c r="E244" s="2105"/>
      <c r="F244" s="2106"/>
      <c r="G244" s="2107"/>
      <c r="H244" s="2107"/>
      <c r="I244" s="2108"/>
      <c r="J244" s="1428"/>
      <c r="K244" s="1427"/>
      <c r="L244" s="1427"/>
      <c r="M244" s="1428"/>
      <c r="N244" s="1432"/>
      <c r="O244" s="174"/>
      <c r="Q244" s="1428"/>
    </row>
    <row r="245" spans="1:122" s="1234" customFormat="1" ht="13.5" customHeight="1">
      <c r="A245" s="2074"/>
      <c r="B245" s="2076"/>
      <c r="C245" s="2076">
        <v>742</v>
      </c>
      <c r="D245" s="2246" t="s">
        <v>1948</v>
      </c>
      <c r="E245" s="2076"/>
      <c r="F245" s="2128"/>
      <c r="G245" s="2129"/>
      <c r="H245" s="2130">
        <f>SUM(H246:H260)</f>
        <v>0</v>
      </c>
      <c r="I245" s="2080"/>
      <c r="K245" s="1238"/>
      <c r="L245" s="1238"/>
      <c r="M245" s="1238"/>
      <c r="N245" s="1238"/>
      <c r="O245" s="1238"/>
      <c r="P245" s="1238"/>
    </row>
    <row r="246" spans="1:122" s="1234" customFormat="1" ht="13.5" customHeight="1">
      <c r="A246" s="2137">
        <v>78</v>
      </c>
      <c r="B246" s="2082" t="s">
        <v>2958</v>
      </c>
      <c r="C246" s="2082" t="s">
        <v>2165</v>
      </c>
      <c r="D246" s="2082" t="s">
        <v>3076</v>
      </c>
      <c r="E246" s="2090" t="s">
        <v>49</v>
      </c>
      <c r="F246" s="2247">
        <f>SUM(F247)</f>
        <v>1</v>
      </c>
      <c r="G246" s="2091"/>
      <c r="H246" s="2084">
        <f t="shared" ref="H246" si="51">ROUND(F246*G246,2)</f>
        <v>0</v>
      </c>
      <c r="I246" s="2085" t="s">
        <v>111</v>
      </c>
      <c r="M246" s="2141"/>
    </row>
    <row r="247" spans="1:122" s="1234" customFormat="1" ht="27" customHeight="1">
      <c r="A247" s="2137"/>
      <c r="B247" s="2082"/>
      <c r="C247" s="2082"/>
      <c r="D247" s="2077" t="s">
        <v>3077</v>
      </c>
      <c r="E247" s="2090"/>
      <c r="F247" s="2248">
        <v>1</v>
      </c>
      <c r="G247" s="2091"/>
      <c r="H247" s="2079"/>
      <c r="I247" s="2085"/>
      <c r="M247" s="2141"/>
    </row>
    <row r="248" spans="1:122" s="1234" customFormat="1" ht="13.5" customHeight="1">
      <c r="A248" s="2143"/>
      <c r="B248" s="2082"/>
      <c r="C248" s="2082"/>
      <c r="D248" s="2077" t="s">
        <v>3078</v>
      </c>
      <c r="E248" s="2082"/>
      <c r="F248" s="2142"/>
      <c r="G248" s="2091"/>
      <c r="H248" s="2079"/>
      <c r="I248" s="2085"/>
      <c r="K248" s="1567"/>
      <c r="M248" s="2141"/>
    </row>
    <row r="249" spans="1:122" s="1191" customFormat="1" ht="13.5" customHeight="1">
      <c r="A249" s="2100">
        <v>79</v>
      </c>
      <c r="B249" s="2089">
        <v>742</v>
      </c>
      <c r="C249" s="2082" t="s">
        <v>3079</v>
      </c>
      <c r="D249" s="2082" t="s">
        <v>3080</v>
      </c>
      <c r="E249" s="2082" t="s">
        <v>49</v>
      </c>
      <c r="F249" s="2083">
        <f>F251</f>
        <v>1</v>
      </c>
      <c r="G249" s="2079"/>
      <c r="H249" s="2084">
        <f t="shared" ref="H249" si="52">ROUND(F249*G249,2)</f>
        <v>0</v>
      </c>
      <c r="I249" s="2085" t="s">
        <v>111</v>
      </c>
      <c r="K249" s="2249"/>
      <c r="M249" s="1566"/>
    </row>
    <row r="250" spans="1:122" s="1227" customFormat="1" ht="27" customHeight="1">
      <c r="A250" s="2250"/>
      <c r="B250" s="2208"/>
      <c r="C250" s="2208"/>
      <c r="D250" s="2077" t="s">
        <v>3081</v>
      </c>
      <c r="E250" s="2251"/>
      <c r="F250" s="2252"/>
      <c r="G250" s="2253"/>
      <c r="H250" s="2253"/>
      <c r="I250" s="2080"/>
      <c r="J250" s="1191"/>
      <c r="K250" s="1226"/>
      <c r="L250" s="2254"/>
      <c r="M250"/>
      <c r="N250"/>
      <c r="O250"/>
      <c r="P250" s="1226"/>
      <c r="Q250" s="1226"/>
      <c r="R250" s="1226"/>
      <c r="S250" s="1226"/>
      <c r="T250" s="1226"/>
      <c r="U250" s="1226"/>
      <c r="V250" s="1226"/>
      <c r="W250" s="1226"/>
      <c r="X250" s="1226"/>
      <c r="Y250" s="1226"/>
      <c r="Z250" s="1226"/>
      <c r="AA250" s="1226"/>
      <c r="AB250" s="1226"/>
      <c r="AC250" s="1226"/>
      <c r="AD250" s="1226"/>
      <c r="AE250" s="1226"/>
      <c r="AF250" s="1226"/>
      <c r="AG250" s="1226"/>
      <c r="AH250" s="1226"/>
      <c r="AI250" s="1226"/>
      <c r="AJ250" s="1226"/>
      <c r="AK250" s="1226"/>
      <c r="AL250" s="1226"/>
      <c r="AM250" s="1226"/>
      <c r="AN250" s="1226"/>
      <c r="AO250" s="1226"/>
      <c r="AP250" s="1226"/>
      <c r="AQ250" s="1226"/>
      <c r="AR250" s="1226"/>
      <c r="AS250" s="1226"/>
      <c r="AT250" s="1226"/>
      <c r="AU250" s="1226"/>
      <c r="AV250" s="1226"/>
      <c r="AW250" s="1226"/>
      <c r="AX250" s="1226"/>
      <c r="AY250" s="1226"/>
      <c r="AZ250" s="1226"/>
      <c r="BA250" s="1226"/>
      <c r="BB250" s="1226"/>
      <c r="BC250" s="1226"/>
      <c r="BD250" s="1226"/>
      <c r="BE250" s="1226"/>
      <c r="BF250" s="1226"/>
      <c r="BG250" s="1226"/>
      <c r="BH250" s="1226"/>
      <c r="BI250" s="1226"/>
      <c r="BJ250" s="1226"/>
      <c r="BK250" s="1226"/>
      <c r="BL250" s="1226"/>
      <c r="BM250" s="1226"/>
      <c r="BN250" s="1226"/>
      <c r="BO250" s="1226"/>
      <c r="BP250" s="1226"/>
      <c r="BQ250" s="1226"/>
      <c r="BR250" s="1226"/>
      <c r="BS250" s="1226"/>
      <c r="BT250" s="1226"/>
      <c r="BU250" s="1226"/>
      <c r="BV250" s="1226"/>
      <c r="BW250" s="1226"/>
      <c r="BX250" s="1226"/>
      <c r="BY250" s="1226"/>
      <c r="BZ250" s="1226"/>
      <c r="CA250" s="1226"/>
      <c r="CB250" s="1226"/>
      <c r="CC250" s="1226"/>
      <c r="CD250" s="1226"/>
      <c r="CE250" s="1226"/>
      <c r="CF250" s="1226"/>
      <c r="CG250" s="1226"/>
      <c r="CH250" s="1226"/>
      <c r="CI250" s="1226"/>
      <c r="CJ250" s="1226"/>
      <c r="CK250" s="1226"/>
      <c r="CL250" s="1226"/>
      <c r="CM250" s="1226"/>
      <c r="CN250" s="1226"/>
      <c r="CO250" s="1226"/>
      <c r="CP250" s="1226"/>
      <c r="CQ250" s="1226"/>
      <c r="CR250" s="1226"/>
      <c r="CS250" s="1226"/>
      <c r="CT250" s="1226"/>
      <c r="CU250" s="1226"/>
      <c r="CV250" s="1226"/>
      <c r="CW250" s="1226"/>
      <c r="CX250" s="1226"/>
      <c r="CY250" s="1226"/>
      <c r="CZ250" s="1226"/>
      <c r="DA250" s="1226"/>
      <c r="DB250" s="1226"/>
      <c r="DC250" s="1226"/>
      <c r="DD250" s="1226"/>
      <c r="DE250" s="1226"/>
      <c r="DF250" s="1226"/>
      <c r="DG250" s="1226"/>
      <c r="DH250" s="1226"/>
      <c r="DI250" s="1226"/>
      <c r="DJ250" s="1226"/>
      <c r="DK250" s="1226"/>
      <c r="DL250" s="1226"/>
      <c r="DM250" s="1226"/>
      <c r="DN250" s="1226"/>
      <c r="DO250" s="1226"/>
      <c r="DP250" s="1226"/>
      <c r="DQ250" s="1226"/>
      <c r="DR250" s="1226"/>
    </row>
    <row r="251" spans="1:122" s="1227" customFormat="1" ht="13.5" customHeight="1">
      <c r="A251" s="2250"/>
      <c r="B251" s="2208"/>
      <c r="C251" s="2208"/>
      <c r="D251" s="2077" t="s">
        <v>1964</v>
      </c>
      <c r="E251" s="2208"/>
      <c r="F251" s="2078">
        <v>1</v>
      </c>
      <c r="G251" s="2255"/>
      <c r="H251" s="2091"/>
      <c r="I251" s="2080"/>
      <c r="J251" s="1191"/>
      <c r="K251" s="1226"/>
      <c r="L251" s="2256"/>
      <c r="M251"/>
      <c r="N251"/>
      <c r="O251"/>
      <c r="P251" s="1226"/>
      <c r="Q251" s="1226"/>
      <c r="R251" s="1226"/>
      <c r="S251" s="1226"/>
      <c r="T251" s="1226"/>
      <c r="U251" s="1226"/>
      <c r="V251" s="1226"/>
      <c r="W251" s="1226"/>
      <c r="X251" s="1226"/>
      <c r="Y251" s="1226"/>
      <c r="Z251" s="1226"/>
      <c r="AA251" s="1226"/>
      <c r="AB251" s="1226"/>
      <c r="AC251" s="1226"/>
      <c r="AD251" s="1226"/>
      <c r="AE251" s="1226"/>
      <c r="AF251" s="1226"/>
      <c r="AG251" s="1226"/>
      <c r="AH251" s="1226"/>
      <c r="AI251" s="1226"/>
      <c r="AJ251" s="1226"/>
      <c r="AK251" s="1226"/>
      <c r="AL251" s="1226"/>
      <c r="AM251" s="1226"/>
      <c r="AN251" s="1226"/>
      <c r="AO251" s="1226"/>
      <c r="AP251" s="1226"/>
      <c r="AQ251" s="1226"/>
      <c r="AR251" s="1226"/>
      <c r="AS251" s="1226"/>
      <c r="AT251" s="1226"/>
      <c r="AU251" s="1226"/>
      <c r="AV251" s="1226"/>
      <c r="AW251" s="1226"/>
      <c r="AX251" s="1226"/>
      <c r="AY251" s="1226"/>
      <c r="AZ251" s="1226"/>
      <c r="BA251" s="1226"/>
      <c r="BB251" s="1226"/>
      <c r="BC251" s="1226"/>
      <c r="BD251" s="1226"/>
      <c r="BE251" s="1226"/>
      <c r="BF251" s="1226"/>
      <c r="BG251" s="1226"/>
      <c r="BH251" s="1226"/>
      <c r="BI251" s="1226"/>
      <c r="BJ251" s="1226"/>
      <c r="BK251" s="1226"/>
      <c r="BL251" s="1226"/>
      <c r="BM251" s="1226"/>
      <c r="BN251" s="1226"/>
      <c r="BO251" s="1226"/>
      <c r="BP251" s="1226"/>
      <c r="BQ251" s="1226"/>
      <c r="BR251" s="1226"/>
      <c r="BS251" s="1226"/>
      <c r="BT251" s="1226"/>
      <c r="BU251" s="1226"/>
      <c r="BV251" s="1226"/>
      <c r="BW251" s="1226"/>
      <c r="BX251" s="1226"/>
      <c r="BY251" s="1226"/>
      <c r="BZ251" s="1226"/>
      <c r="CA251" s="1226"/>
      <c r="CB251" s="1226"/>
      <c r="CC251" s="1226"/>
      <c r="CD251" s="1226"/>
      <c r="CE251" s="1226"/>
      <c r="CF251" s="1226"/>
      <c r="CG251" s="1226"/>
      <c r="CH251" s="1226"/>
      <c r="CI251" s="1226"/>
      <c r="CJ251" s="1226"/>
      <c r="CK251" s="1226"/>
      <c r="CL251" s="1226"/>
      <c r="CM251" s="1226"/>
      <c r="CN251" s="1226"/>
      <c r="CO251" s="1226"/>
      <c r="CP251" s="1226"/>
      <c r="CQ251" s="1226"/>
      <c r="CR251" s="1226"/>
      <c r="CS251" s="1226"/>
      <c r="CT251" s="1226"/>
      <c r="CU251" s="1226"/>
      <c r="CV251" s="1226"/>
      <c r="CW251" s="1226"/>
      <c r="CX251" s="1226"/>
      <c r="CY251" s="1226"/>
      <c r="CZ251" s="1226"/>
      <c r="DA251" s="1226"/>
      <c r="DB251" s="1226"/>
      <c r="DC251" s="1226"/>
      <c r="DD251" s="1226"/>
      <c r="DE251" s="1226"/>
      <c r="DF251" s="1226"/>
      <c r="DG251" s="1226"/>
      <c r="DH251" s="1226"/>
      <c r="DI251" s="1226"/>
      <c r="DJ251" s="1226"/>
      <c r="DK251" s="1226"/>
      <c r="DL251" s="1226"/>
      <c r="DM251" s="1226"/>
      <c r="DN251" s="1226"/>
      <c r="DO251" s="1226"/>
      <c r="DP251" s="1226"/>
      <c r="DQ251" s="1226"/>
      <c r="DR251" s="1226"/>
    </row>
    <row r="252" spans="1:122" s="2164" customFormat="1" ht="27" customHeight="1">
      <c r="A252" s="2100">
        <v>80</v>
      </c>
      <c r="B252" s="2089">
        <v>742</v>
      </c>
      <c r="C252" s="2082" t="s">
        <v>3082</v>
      </c>
      <c r="D252" s="2257" t="s">
        <v>1958</v>
      </c>
      <c r="E252" s="2169" t="s">
        <v>49</v>
      </c>
      <c r="F252" s="2247">
        <f>SUM(F253)</f>
        <v>1</v>
      </c>
      <c r="G252" s="2079"/>
      <c r="H252" s="2084">
        <f t="shared" ref="H252" si="53">ROUND(F252*G252,2)</f>
        <v>0</v>
      </c>
      <c r="I252" s="2085" t="s">
        <v>111</v>
      </c>
      <c r="J252" s="2258"/>
      <c r="P252" s="2259"/>
      <c r="Q252" s="2259"/>
      <c r="R252" s="2259"/>
      <c r="S252" s="2259"/>
      <c r="T252" s="2259"/>
    </row>
    <row r="253" spans="1:122" s="2164" customFormat="1" ht="13.5" customHeight="1">
      <c r="A253" s="2235"/>
      <c r="B253" s="2169"/>
      <c r="C253" s="2169"/>
      <c r="D253" s="2170" t="s">
        <v>1959</v>
      </c>
      <c r="E253" s="2169"/>
      <c r="F253" s="2248">
        <v>1</v>
      </c>
      <c r="G253" s="2233"/>
      <c r="H253" s="2233"/>
      <c r="I253" s="2168"/>
      <c r="J253" s="2260"/>
      <c r="P253" s="2259"/>
      <c r="Q253" s="2259"/>
      <c r="R253" s="2259"/>
      <c r="S253" s="2259"/>
      <c r="T253" s="2259"/>
    </row>
    <row r="254" spans="1:122" s="2164" customFormat="1" ht="27" customHeight="1">
      <c r="A254" s="2235"/>
      <c r="B254" s="2169"/>
      <c r="C254" s="2169"/>
      <c r="D254" s="2170" t="s">
        <v>1960</v>
      </c>
      <c r="E254" s="2169"/>
      <c r="F254" s="2261"/>
      <c r="G254" s="2233"/>
      <c r="H254" s="2233"/>
      <c r="I254" s="2168"/>
      <c r="J254" s="2262"/>
    </row>
    <row r="255" spans="1:122" s="158" customFormat="1" ht="67.5" customHeight="1">
      <c r="A255" s="2239"/>
      <c r="B255" s="2240"/>
      <c r="C255" s="2241"/>
      <c r="D255" s="2199" t="s">
        <v>3083</v>
      </c>
      <c r="E255" s="2169"/>
      <c r="F255" s="2242"/>
      <c r="G255" s="2243"/>
      <c r="H255" s="2244"/>
      <c r="I255" s="2245"/>
      <c r="J255" s="2263"/>
      <c r="K255" s="1250"/>
      <c r="L255" s="159"/>
      <c r="M255" s="2264"/>
    </row>
    <row r="256" spans="1:122" s="2127" customFormat="1" ht="13.5" customHeight="1">
      <c r="A256" s="2238">
        <v>81</v>
      </c>
      <c r="B256" s="2123">
        <v>742</v>
      </c>
      <c r="C256" s="2082" t="s">
        <v>2168</v>
      </c>
      <c r="D256" s="2124" t="s">
        <v>2167</v>
      </c>
      <c r="E256" s="2124" t="s">
        <v>142</v>
      </c>
      <c r="F256" s="2125">
        <v>90</v>
      </c>
      <c r="G256" s="2107"/>
      <c r="H256" s="2084">
        <f t="shared" ref="H256:H258" si="54">ROUND(F256*G256,2)</f>
        <v>0</v>
      </c>
      <c r="I256" s="2126" t="s">
        <v>138</v>
      </c>
      <c r="J256" s="1428"/>
      <c r="K256" s="1427"/>
      <c r="L256" s="1427"/>
      <c r="M256" s="1428"/>
      <c r="N256" s="1432"/>
      <c r="O256" s="1456"/>
      <c r="Q256" s="1428"/>
    </row>
    <row r="257" spans="1:55" s="2094" customFormat="1" ht="13.5" customHeight="1">
      <c r="A257" s="2265">
        <v>82</v>
      </c>
      <c r="B257" s="2123">
        <v>742</v>
      </c>
      <c r="C257" s="2103">
        <v>998742312</v>
      </c>
      <c r="D257" s="2124" t="s">
        <v>2974</v>
      </c>
      <c r="E257" s="2124" t="s">
        <v>10</v>
      </c>
      <c r="F257" s="2125">
        <v>0.89</v>
      </c>
      <c r="G257" s="2107"/>
      <c r="H257" s="2084">
        <f t="shared" si="54"/>
        <v>0</v>
      </c>
      <c r="I257" s="2177" t="s">
        <v>138</v>
      </c>
      <c r="J257" s="2211"/>
      <c r="K257" s="2212"/>
    </row>
    <row r="258" spans="1:55" s="2095" customFormat="1" ht="13.5" customHeight="1">
      <c r="A258" s="2265">
        <v>83</v>
      </c>
      <c r="B258" s="2082" t="s">
        <v>369</v>
      </c>
      <c r="C258" s="2082" t="s">
        <v>1928</v>
      </c>
      <c r="D258" s="2082" t="s">
        <v>1929</v>
      </c>
      <c r="E258" s="2103" t="s">
        <v>69</v>
      </c>
      <c r="F258" s="2219">
        <f>ROUND(SUM(F259),3)</f>
        <v>10</v>
      </c>
      <c r="G258" s="2091"/>
      <c r="H258" s="2084">
        <f t="shared" si="54"/>
        <v>0</v>
      </c>
      <c r="I258" s="2177" t="s">
        <v>138</v>
      </c>
      <c r="J258" s="2178"/>
      <c r="K258" s="2179"/>
      <c r="L258" s="2180"/>
      <c r="M258" s="2181"/>
      <c r="N258" s="2181"/>
      <c r="O258" s="2181"/>
    </row>
    <row r="259" spans="1:55" s="2095" customFormat="1" ht="13.5" customHeight="1">
      <c r="A259" s="2096"/>
      <c r="B259" s="2097"/>
      <c r="C259" s="2098"/>
      <c r="D259" s="2182" t="s">
        <v>2129</v>
      </c>
      <c r="E259" s="2183"/>
      <c r="F259" s="2184">
        <v>10</v>
      </c>
      <c r="G259" s="2185"/>
      <c r="H259" s="2185"/>
      <c r="I259" s="2186"/>
      <c r="J259" s="1375"/>
      <c r="K259" s="2045"/>
      <c r="L259" s="2094"/>
      <c r="M259" s="2094"/>
      <c r="N259" s="2094"/>
      <c r="O259" s="2094"/>
    </row>
    <row r="260" spans="1:55" s="2095" customFormat="1" ht="13.5" customHeight="1">
      <c r="A260" s="2096"/>
      <c r="B260" s="2097"/>
      <c r="C260" s="2098"/>
      <c r="D260" s="2182" t="s">
        <v>2130</v>
      </c>
      <c r="E260" s="2183"/>
      <c r="F260" s="2184"/>
      <c r="G260" s="2185"/>
      <c r="H260" s="2185"/>
      <c r="I260" s="2186"/>
      <c r="J260" s="2214"/>
      <c r="K260" s="1990"/>
    </row>
    <row r="261" spans="1:55" s="1259" customFormat="1" ht="21" customHeight="1">
      <c r="A261" s="1254"/>
      <c r="B261" s="1255"/>
      <c r="C261" s="1255"/>
      <c r="D261" s="1255" t="s">
        <v>0</v>
      </c>
      <c r="E261" s="1255"/>
      <c r="F261" s="1458"/>
      <c r="G261" s="1459"/>
      <c r="H261" s="1459">
        <f>H8</f>
        <v>0</v>
      </c>
      <c r="I261" s="1225"/>
    </row>
    <row r="262" spans="1:55" s="1259" customFormat="1" ht="13.5" customHeight="1">
      <c r="A262" s="1254"/>
      <c r="B262" s="1255"/>
      <c r="C262" s="1255"/>
      <c r="D262" s="1255"/>
      <c r="E262" s="1255"/>
      <c r="F262" s="1458"/>
      <c r="G262" s="1459"/>
      <c r="H262" s="1459"/>
      <c r="I262" s="1225"/>
      <c r="J262" s="1460"/>
      <c r="L262" s="1460"/>
    </row>
    <row r="263" spans="1:55" s="1268" customFormat="1" ht="13.5" customHeight="1">
      <c r="A263" s="3076" t="s">
        <v>875</v>
      </c>
      <c r="B263" s="3077"/>
      <c r="C263" s="3078"/>
      <c r="D263" s="1261" t="s">
        <v>1425</v>
      </c>
      <c r="E263" s="1262"/>
      <c r="F263" s="1461"/>
      <c r="G263" s="1462"/>
      <c r="H263" s="1463">
        <f>H261</f>
        <v>0</v>
      </c>
      <c r="I263" s="1266"/>
      <c r="J263" s="1464"/>
      <c r="K263" s="1259"/>
      <c r="L263" s="1464"/>
      <c r="M263" s="1267"/>
      <c r="N263" s="1267"/>
      <c r="O263" s="1267"/>
      <c r="P263" s="1267"/>
      <c r="Q263" s="1267"/>
      <c r="R263" s="1267"/>
      <c r="S263" s="1267"/>
      <c r="T263" s="1267"/>
      <c r="U263" s="1267"/>
      <c r="V263" s="1267"/>
      <c r="W263" s="1267"/>
      <c r="X263" s="1267"/>
      <c r="Y263" s="1267"/>
      <c r="Z263" s="1267"/>
      <c r="AA263" s="1267"/>
      <c r="AB263" s="1267"/>
      <c r="AC263" s="1267"/>
      <c r="AD263" s="1267"/>
      <c r="AE263" s="1267"/>
      <c r="AF263" s="1267"/>
      <c r="AG263" s="1267"/>
      <c r="AH263" s="1267"/>
      <c r="AI263" s="1267"/>
      <c r="AJ263" s="1267"/>
      <c r="AK263" s="1267"/>
      <c r="AL263" s="1267"/>
      <c r="AM263" s="1267"/>
      <c r="AN263" s="1267"/>
      <c r="AO263" s="1267"/>
      <c r="AP263" s="1267"/>
      <c r="AQ263" s="1267"/>
      <c r="AR263" s="1267"/>
      <c r="AS263" s="1267"/>
      <c r="AT263" s="1267"/>
      <c r="AU263" s="1267"/>
      <c r="AV263" s="1267"/>
      <c r="AW263" s="1267"/>
      <c r="AX263" s="1267"/>
      <c r="AY263" s="1267"/>
      <c r="AZ263" s="1267"/>
      <c r="BA263" s="1267"/>
      <c r="BB263" s="1267"/>
      <c r="BC263" s="1267"/>
    </row>
    <row r="264" spans="1:55" s="1191" customFormat="1" ht="14.25" customHeight="1">
      <c r="A264" s="129"/>
      <c r="B264" s="130"/>
      <c r="C264" s="129"/>
      <c r="D264" s="129"/>
      <c r="E264" s="129"/>
      <c r="F264" s="793"/>
      <c r="G264" s="575"/>
      <c r="H264" s="1465"/>
      <c r="I264" s="507"/>
    </row>
    <row r="265" spans="1:55" s="1191" customFormat="1" ht="14.25" customHeight="1">
      <c r="A265" s="129" t="s">
        <v>1</v>
      </c>
      <c r="B265" s="130"/>
      <c r="C265" s="129"/>
      <c r="D265" s="129"/>
      <c r="E265" s="129"/>
      <c r="F265" s="793"/>
      <c r="G265" s="575"/>
      <c r="H265" s="575"/>
      <c r="I265" s="1271"/>
    </row>
    <row r="266" spans="1:55" s="1191" customFormat="1" ht="27" customHeight="1">
      <c r="A266" s="3018" t="s">
        <v>1969</v>
      </c>
      <c r="B266" s="3018"/>
      <c r="C266" s="3018"/>
      <c r="D266" s="3018"/>
      <c r="E266" s="3018"/>
      <c r="F266" s="3018"/>
      <c r="G266" s="3018"/>
      <c r="H266" s="575"/>
      <c r="I266" s="1270"/>
    </row>
    <row r="267" spans="1:55" s="1191" customFormat="1" ht="107.25" customHeight="1">
      <c r="A267" s="3018" t="s">
        <v>104</v>
      </c>
      <c r="B267" s="3018"/>
      <c r="C267" s="3018"/>
      <c r="D267" s="3018"/>
      <c r="E267" s="3018"/>
      <c r="F267" s="3018"/>
      <c r="G267" s="3018"/>
      <c r="H267" s="575"/>
      <c r="I267" s="129"/>
      <c r="L267" s="1418"/>
    </row>
    <row r="268" spans="1:55" s="1191" customFormat="1" ht="13.5" customHeight="1">
      <c r="A268" s="3018" t="s">
        <v>105</v>
      </c>
      <c r="B268" s="3018"/>
      <c r="C268" s="3018"/>
      <c r="D268" s="3018"/>
      <c r="E268" s="3018"/>
      <c r="F268" s="3018"/>
      <c r="G268" s="3018"/>
      <c r="H268" s="583"/>
      <c r="I268" s="507"/>
    </row>
    <row r="269" spans="1:55" s="1191" customFormat="1" ht="13.5" customHeight="1">
      <c r="A269" s="3018" t="s">
        <v>106</v>
      </c>
      <c r="B269" s="3018"/>
      <c r="C269" s="3018"/>
      <c r="D269" s="3018"/>
      <c r="E269" s="3018"/>
      <c r="F269" s="3018"/>
      <c r="G269" s="3018"/>
      <c r="H269" s="583"/>
      <c r="I269" s="507"/>
    </row>
    <row r="270" spans="1:55" s="1259" customFormat="1" ht="40.5" customHeight="1">
      <c r="A270" s="3057" t="s">
        <v>878</v>
      </c>
      <c r="B270" s="3057"/>
      <c r="C270" s="3057"/>
      <c r="D270" s="3057"/>
      <c r="E270" s="3057"/>
      <c r="F270" s="3057"/>
      <c r="G270" s="3057"/>
      <c r="I270" s="2266"/>
    </row>
    <row r="271" spans="1:55" s="1259" customFormat="1" ht="94.5" customHeight="1">
      <c r="A271" s="3057" t="s">
        <v>2166</v>
      </c>
      <c r="B271" s="3057"/>
      <c r="C271" s="3057"/>
      <c r="D271" s="3057"/>
      <c r="E271" s="3057"/>
      <c r="F271" s="3057"/>
      <c r="G271" s="3057"/>
      <c r="H271"/>
      <c r="I271" s="1466"/>
    </row>
    <row r="272" spans="1:55" s="1191" customFormat="1" ht="14.25" customHeight="1">
      <c r="A272" s="1272"/>
      <c r="B272" s="1273"/>
      <c r="C272" s="1273"/>
      <c r="D272" s="1277"/>
      <c r="E272" s="1275"/>
      <c r="F272" s="1467"/>
      <c r="G272" s="1418"/>
      <c r="H272" s="1418"/>
    </row>
    <row r="273" spans="1:9" s="1191" customFormat="1" ht="14.25" customHeight="1">
      <c r="A273"/>
      <c r="B273" s="1278"/>
      <c r="C273"/>
      <c r="D273"/>
      <c r="E273"/>
      <c r="F273" s="1468"/>
      <c r="G273" s="1422"/>
      <c r="H273" s="1422"/>
      <c r="I273"/>
    </row>
    <row r="274" spans="1:9" s="1191" customFormat="1" ht="14.25" customHeight="1">
      <c r="A274"/>
      <c r="B274" s="1278"/>
      <c r="C274"/>
      <c r="D274"/>
      <c r="E274"/>
      <c r="F274" s="1468"/>
      <c r="G274" s="1422"/>
      <c r="H274" s="1422"/>
      <c r="I274"/>
    </row>
    <row r="275" spans="1:9" s="1191" customFormat="1" ht="14.25" customHeight="1">
      <c r="A275"/>
      <c r="B275" s="1278"/>
      <c r="C275"/>
      <c r="D275"/>
      <c r="E275"/>
      <c r="F275" s="1468"/>
      <c r="G275" s="1422"/>
      <c r="H275" s="1422"/>
      <c r="I275"/>
    </row>
    <row r="276" spans="1:9" s="1191" customFormat="1" ht="15" customHeight="1">
      <c r="A276"/>
      <c r="B276" s="1278"/>
      <c r="C276"/>
      <c r="D276"/>
      <c r="E276"/>
      <c r="F276" s="1468"/>
      <c r="G276" s="1422"/>
      <c r="H276" s="1422"/>
      <c r="I276"/>
    </row>
    <row r="277" spans="1:9" s="1191" customFormat="1" ht="15" customHeight="1">
      <c r="A277"/>
      <c r="B277" s="1278"/>
      <c r="C277"/>
      <c r="D277"/>
      <c r="E277"/>
      <c r="F277" s="1468"/>
      <c r="G277" s="1422"/>
      <c r="H277" s="1422"/>
      <c r="I277"/>
    </row>
    <row r="278" spans="1:9" ht="13.5" customHeight="1"/>
    <row r="279" spans="1:9" s="1191" customFormat="1" ht="13.5" customHeight="1">
      <c r="A279"/>
      <c r="B279" s="1278"/>
      <c r="C279"/>
      <c r="D279"/>
      <c r="E279"/>
      <c r="F279" s="1468"/>
      <c r="G279" s="1422"/>
      <c r="H279" s="1422"/>
      <c r="I279"/>
    </row>
    <row r="280" spans="1:9" s="129" customFormat="1" ht="11.25">
      <c r="A280"/>
      <c r="B280" s="1278"/>
      <c r="C280"/>
      <c r="D280"/>
      <c r="E280"/>
      <c r="F280" s="1468"/>
      <c r="G280" s="1422"/>
      <c r="H280" s="1422"/>
      <c r="I280"/>
    </row>
    <row r="281" spans="1:9" s="129" customFormat="1" ht="12" customHeight="1">
      <c r="A281"/>
      <c r="B281" s="1278"/>
      <c r="C281"/>
      <c r="D281"/>
      <c r="E281"/>
      <c r="F281" s="1468"/>
      <c r="G281" s="1422"/>
      <c r="H281" s="1422"/>
      <c r="I281"/>
    </row>
    <row r="282" spans="1:9" s="129" customFormat="1" ht="15" customHeight="1">
      <c r="A282"/>
      <c r="B282" s="1278"/>
      <c r="C282"/>
      <c r="D282"/>
      <c r="E282"/>
      <c r="F282" s="1468"/>
      <c r="G282" s="1422"/>
      <c r="H282" s="1422"/>
      <c r="I282"/>
    </row>
    <row r="283" spans="1:9" s="1191" customFormat="1" ht="13.5" customHeight="1">
      <c r="A283"/>
      <c r="B283" s="1278"/>
      <c r="C283"/>
      <c r="D283"/>
      <c r="E283"/>
      <c r="F283" s="1468"/>
      <c r="G283" s="1422"/>
      <c r="H283" s="1422"/>
      <c r="I283"/>
    </row>
    <row r="284" spans="1:9" s="1191" customFormat="1" ht="13.5" customHeight="1">
      <c r="A284"/>
      <c r="B284" s="1278"/>
      <c r="C284"/>
      <c r="D284"/>
      <c r="E284"/>
      <c r="F284" s="1468"/>
      <c r="G284" s="1422"/>
      <c r="H284" s="1422"/>
      <c r="I284"/>
    </row>
    <row r="285" spans="1:9" s="1191" customFormat="1" ht="13.5" customHeight="1">
      <c r="A285"/>
      <c r="B285" s="1278"/>
      <c r="C285"/>
      <c r="D285"/>
      <c r="E285"/>
      <c r="F285" s="1468"/>
      <c r="G285" s="1422"/>
      <c r="H285" s="1422"/>
      <c r="I285"/>
    </row>
    <row r="286" spans="1:9" s="1191" customFormat="1" ht="13.5" customHeight="1">
      <c r="A286"/>
      <c r="B286" s="1278"/>
      <c r="C286"/>
      <c r="D286"/>
      <c r="E286"/>
      <c r="F286" s="1468"/>
      <c r="G286" s="1422"/>
      <c r="H286" s="1422"/>
      <c r="I286"/>
    </row>
    <row r="291" ht="11.25" customHeight="1"/>
    <row r="300" ht="27.75" customHeight="1"/>
  </sheetData>
  <mergeCells count="9">
    <mergeCell ref="A269:G269"/>
    <mergeCell ref="A270:G270"/>
    <mergeCell ref="A271:G271"/>
    <mergeCell ref="A2:I2"/>
    <mergeCell ref="A3:I3"/>
    <mergeCell ref="A263:C263"/>
    <mergeCell ref="A266:G266"/>
    <mergeCell ref="A267:G267"/>
    <mergeCell ref="A268:G268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69" fitToHeight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9B26-0512-4564-8F88-08554443A11C}">
  <sheetPr>
    <pageSetUpPr fitToPage="1"/>
  </sheetPr>
  <dimension ref="A1:I12"/>
  <sheetViews>
    <sheetView workbookViewId="0"/>
  </sheetViews>
  <sheetFormatPr defaultRowHeight="10.5"/>
  <cols>
    <col min="1" max="1" width="13.6640625" style="510" customWidth="1"/>
    <col min="2" max="2" width="68.6640625" style="510" customWidth="1"/>
    <col min="3" max="3" width="18.33203125" style="510" customWidth="1"/>
    <col min="4" max="256" width="9.33203125" style="510"/>
    <col min="257" max="257" width="13.6640625" style="510" customWidth="1"/>
    <col min="258" max="258" width="68.6640625" style="510" customWidth="1"/>
    <col min="259" max="259" width="18.33203125" style="510" customWidth="1"/>
    <col min="260" max="512" width="9.33203125" style="510"/>
    <col min="513" max="513" width="13.6640625" style="510" customWidth="1"/>
    <col min="514" max="514" width="68.6640625" style="510" customWidth="1"/>
    <col min="515" max="515" width="18.33203125" style="510" customWidth="1"/>
    <col min="516" max="768" width="9.33203125" style="510"/>
    <col min="769" max="769" width="13.6640625" style="510" customWidth="1"/>
    <col min="770" max="770" width="68.6640625" style="510" customWidth="1"/>
    <col min="771" max="771" width="18.33203125" style="510" customWidth="1"/>
    <col min="772" max="1024" width="9.33203125" style="510"/>
    <col min="1025" max="1025" width="13.6640625" style="510" customWidth="1"/>
    <col min="1026" max="1026" width="68.6640625" style="510" customWidth="1"/>
    <col min="1027" max="1027" width="18.33203125" style="510" customWidth="1"/>
    <col min="1028" max="1280" width="9.33203125" style="510"/>
    <col min="1281" max="1281" width="13.6640625" style="510" customWidth="1"/>
    <col min="1282" max="1282" width="68.6640625" style="510" customWidth="1"/>
    <col min="1283" max="1283" width="18.33203125" style="510" customWidth="1"/>
    <col min="1284" max="1536" width="9.33203125" style="510"/>
    <col min="1537" max="1537" width="13.6640625" style="510" customWidth="1"/>
    <col min="1538" max="1538" width="68.6640625" style="510" customWidth="1"/>
    <col min="1539" max="1539" width="18.33203125" style="510" customWidth="1"/>
    <col min="1540" max="1792" width="9.33203125" style="510"/>
    <col min="1793" max="1793" width="13.6640625" style="510" customWidth="1"/>
    <col min="1794" max="1794" width="68.6640625" style="510" customWidth="1"/>
    <col min="1795" max="1795" width="18.33203125" style="510" customWidth="1"/>
    <col min="1796" max="2048" width="9.33203125" style="510"/>
    <col min="2049" max="2049" width="13.6640625" style="510" customWidth="1"/>
    <col min="2050" max="2050" width="68.6640625" style="510" customWidth="1"/>
    <col min="2051" max="2051" width="18.33203125" style="510" customWidth="1"/>
    <col min="2052" max="2304" width="9.33203125" style="510"/>
    <col min="2305" max="2305" width="13.6640625" style="510" customWidth="1"/>
    <col min="2306" max="2306" width="68.6640625" style="510" customWidth="1"/>
    <col min="2307" max="2307" width="18.33203125" style="510" customWidth="1"/>
    <col min="2308" max="2560" width="9.33203125" style="510"/>
    <col min="2561" max="2561" width="13.6640625" style="510" customWidth="1"/>
    <col min="2562" max="2562" width="68.6640625" style="510" customWidth="1"/>
    <col min="2563" max="2563" width="18.33203125" style="510" customWidth="1"/>
    <col min="2564" max="2816" width="9.33203125" style="510"/>
    <col min="2817" max="2817" width="13.6640625" style="510" customWidth="1"/>
    <col min="2818" max="2818" width="68.6640625" style="510" customWidth="1"/>
    <col min="2819" max="2819" width="18.33203125" style="510" customWidth="1"/>
    <col min="2820" max="3072" width="9.33203125" style="510"/>
    <col min="3073" max="3073" width="13.6640625" style="510" customWidth="1"/>
    <col min="3074" max="3074" width="68.6640625" style="510" customWidth="1"/>
    <col min="3075" max="3075" width="18.33203125" style="510" customWidth="1"/>
    <col min="3076" max="3328" width="9.33203125" style="510"/>
    <col min="3329" max="3329" width="13.6640625" style="510" customWidth="1"/>
    <col min="3330" max="3330" width="68.6640625" style="510" customWidth="1"/>
    <col min="3331" max="3331" width="18.33203125" style="510" customWidth="1"/>
    <col min="3332" max="3584" width="9.33203125" style="510"/>
    <col min="3585" max="3585" width="13.6640625" style="510" customWidth="1"/>
    <col min="3586" max="3586" width="68.6640625" style="510" customWidth="1"/>
    <col min="3587" max="3587" width="18.33203125" style="510" customWidth="1"/>
    <col min="3588" max="3840" width="9.33203125" style="510"/>
    <col min="3841" max="3841" width="13.6640625" style="510" customWidth="1"/>
    <col min="3842" max="3842" width="68.6640625" style="510" customWidth="1"/>
    <col min="3843" max="3843" width="18.33203125" style="510" customWidth="1"/>
    <col min="3844" max="4096" width="9.33203125" style="510"/>
    <col min="4097" max="4097" width="13.6640625" style="510" customWidth="1"/>
    <col min="4098" max="4098" width="68.6640625" style="510" customWidth="1"/>
    <col min="4099" max="4099" width="18.33203125" style="510" customWidth="1"/>
    <col min="4100" max="4352" width="9.33203125" style="510"/>
    <col min="4353" max="4353" width="13.6640625" style="510" customWidth="1"/>
    <col min="4354" max="4354" width="68.6640625" style="510" customWidth="1"/>
    <col min="4355" max="4355" width="18.33203125" style="510" customWidth="1"/>
    <col min="4356" max="4608" width="9.33203125" style="510"/>
    <col min="4609" max="4609" width="13.6640625" style="510" customWidth="1"/>
    <col min="4610" max="4610" width="68.6640625" style="510" customWidth="1"/>
    <col min="4611" max="4611" width="18.33203125" style="510" customWidth="1"/>
    <col min="4612" max="4864" width="9.33203125" style="510"/>
    <col min="4865" max="4865" width="13.6640625" style="510" customWidth="1"/>
    <col min="4866" max="4866" width="68.6640625" style="510" customWidth="1"/>
    <col min="4867" max="4867" width="18.33203125" style="510" customWidth="1"/>
    <col min="4868" max="5120" width="9.33203125" style="510"/>
    <col min="5121" max="5121" width="13.6640625" style="510" customWidth="1"/>
    <col min="5122" max="5122" width="68.6640625" style="510" customWidth="1"/>
    <col min="5123" max="5123" width="18.33203125" style="510" customWidth="1"/>
    <col min="5124" max="5376" width="9.33203125" style="510"/>
    <col min="5377" max="5377" width="13.6640625" style="510" customWidth="1"/>
    <col min="5378" max="5378" width="68.6640625" style="510" customWidth="1"/>
    <col min="5379" max="5379" width="18.33203125" style="510" customWidth="1"/>
    <col min="5380" max="5632" width="9.33203125" style="510"/>
    <col min="5633" max="5633" width="13.6640625" style="510" customWidth="1"/>
    <col min="5634" max="5634" width="68.6640625" style="510" customWidth="1"/>
    <col min="5635" max="5635" width="18.33203125" style="510" customWidth="1"/>
    <col min="5636" max="5888" width="9.33203125" style="510"/>
    <col min="5889" max="5889" width="13.6640625" style="510" customWidth="1"/>
    <col min="5890" max="5890" width="68.6640625" style="510" customWidth="1"/>
    <col min="5891" max="5891" width="18.33203125" style="510" customWidth="1"/>
    <col min="5892" max="6144" width="9.33203125" style="510"/>
    <col min="6145" max="6145" width="13.6640625" style="510" customWidth="1"/>
    <col min="6146" max="6146" width="68.6640625" style="510" customWidth="1"/>
    <col min="6147" max="6147" width="18.33203125" style="510" customWidth="1"/>
    <col min="6148" max="6400" width="9.33203125" style="510"/>
    <col min="6401" max="6401" width="13.6640625" style="510" customWidth="1"/>
    <col min="6402" max="6402" width="68.6640625" style="510" customWidth="1"/>
    <col min="6403" max="6403" width="18.33203125" style="510" customWidth="1"/>
    <col min="6404" max="6656" width="9.33203125" style="510"/>
    <col min="6657" max="6657" width="13.6640625" style="510" customWidth="1"/>
    <col min="6658" max="6658" width="68.6640625" style="510" customWidth="1"/>
    <col min="6659" max="6659" width="18.33203125" style="510" customWidth="1"/>
    <col min="6660" max="6912" width="9.33203125" style="510"/>
    <col min="6913" max="6913" width="13.6640625" style="510" customWidth="1"/>
    <col min="6914" max="6914" width="68.6640625" style="510" customWidth="1"/>
    <col min="6915" max="6915" width="18.33203125" style="510" customWidth="1"/>
    <col min="6916" max="7168" width="9.33203125" style="510"/>
    <col min="7169" max="7169" width="13.6640625" style="510" customWidth="1"/>
    <col min="7170" max="7170" width="68.6640625" style="510" customWidth="1"/>
    <col min="7171" max="7171" width="18.33203125" style="510" customWidth="1"/>
    <col min="7172" max="7424" width="9.33203125" style="510"/>
    <col min="7425" max="7425" width="13.6640625" style="510" customWidth="1"/>
    <col min="7426" max="7426" width="68.6640625" style="510" customWidth="1"/>
    <col min="7427" max="7427" width="18.33203125" style="510" customWidth="1"/>
    <col min="7428" max="7680" width="9.33203125" style="510"/>
    <col min="7681" max="7681" width="13.6640625" style="510" customWidth="1"/>
    <col min="7682" max="7682" width="68.6640625" style="510" customWidth="1"/>
    <col min="7683" max="7683" width="18.33203125" style="510" customWidth="1"/>
    <col min="7684" max="7936" width="9.33203125" style="510"/>
    <col min="7937" max="7937" width="13.6640625" style="510" customWidth="1"/>
    <col min="7938" max="7938" width="68.6640625" style="510" customWidth="1"/>
    <col min="7939" max="7939" width="18.33203125" style="510" customWidth="1"/>
    <col min="7940" max="8192" width="9.33203125" style="510"/>
    <col min="8193" max="8193" width="13.6640625" style="510" customWidth="1"/>
    <col min="8194" max="8194" width="68.6640625" style="510" customWidth="1"/>
    <col min="8195" max="8195" width="18.33203125" style="510" customWidth="1"/>
    <col min="8196" max="8448" width="9.33203125" style="510"/>
    <col min="8449" max="8449" width="13.6640625" style="510" customWidth="1"/>
    <col min="8450" max="8450" width="68.6640625" style="510" customWidth="1"/>
    <col min="8451" max="8451" width="18.33203125" style="510" customWidth="1"/>
    <col min="8452" max="8704" width="9.33203125" style="510"/>
    <col min="8705" max="8705" width="13.6640625" style="510" customWidth="1"/>
    <col min="8706" max="8706" width="68.6640625" style="510" customWidth="1"/>
    <col min="8707" max="8707" width="18.33203125" style="510" customWidth="1"/>
    <col min="8708" max="8960" width="9.33203125" style="510"/>
    <col min="8961" max="8961" width="13.6640625" style="510" customWidth="1"/>
    <col min="8962" max="8962" width="68.6640625" style="510" customWidth="1"/>
    <col min="8963" max="8963" width="18.33203125" style="510" customWidth="1"/>
    <col min="8964" max="9216" width="9.33203125" style="510"/>
    <col min="9217" max="9217" width="13.6640625" style="510" customWidth="1"/>
    <col min="9218" max="9218" width="68.6640625" style="510" customWidth="1"/>
    <col min="9219" max="9219" width="18.33203125" style="510" customWidth="1"/>
    <col min="9220" max="9472" width="9.33203125" style="510"/>
    <col min="9473" max="9473" width="13.6640625" style="510" customWidth="1"/>
    <col min="9474" max="9474" width="68.6640625" style="510" customWidth="1"/>
    <col min="9475" max="9475" width="18.33203125" style="510" customWidth="1"/>
    <col min="9476" max="9728" width="9.33203125" style="510"/>
    <col min="9729" max="9729" width="13.6640625" style="510" customWidth="1"/>
    <col min="9730" max="9730" width="68.6640625" style="510" customWidth="1"/>
    <col min="9731" max="9731" width="18.33203125" style="510" customWidth="1"/>
    <col min="9732" max="9984" width="9.33203125" style="510"/>
    <col min="9985" max="9985" width="13.6640625" style="510" customWidth="1"/>
    <col min="9986" max="9986" width="68.6640625" style="510" customWidth="1"/>
    <col min="9987" max="9987" width="18.33203125" style="510" customWidth="1"/>
    <col min="9988" max="10240" width="9.33203125" style="510"/>
    <col min="10241" max="10241" width="13.6640625" style="510" customWidth="1"/>
    <col min="10242" max="10242" width="68.6640625" style="510" customWidth="1"/>
    <col min="10243" max="10243" width="18.33203125" style="510" customWidth="1"/>
    <col min="10244" max="10496" width="9.33203125" style="510"/>
    <col min="10497" max="10497" width="13.6640625" style="510" customWidth="1"/>
    <col min="10498" max="10498" width="68.6640625" style="510" customWidth="1"/>
    <col min="10499" max="10499" width="18.33203125" style="510" customWidth="1"/>
    <col min="10500" max="10752" width="9.33203125" style="510"/>
    <col min="10753" max="10753" width="13.6640625" style="510" customWidth="1"/>
    <col min="10754" max="10754" width="68.6640625" style="510" customWidth="1"/>
    <col min="10755" max="10755" width="18.33203125" style="510" customWidth="1"/>
    <col min="10756" max="11008" width="9.33203125" style="510"/>
    <col min="11009" max="11009" width="13.6640625" style="510" customWidth="1"/>
    <col min="11010" max="11010" width="68.6640625" style="510" customWidth="1"/>
    <col min="11011" max="11011" width="18.33203125" style="510" customWidth="1"/>
    <col min="11012" max="11264" width="9.33203125" style="510"/>
    <col min="11265" max="11265" width="13.6640625" style="510" customWidth="1"/>
    <col min="11266" max="11266" width="68.6640625" style="510" customWidth="1"/>
    <col min="11267" max="11267" width="18.33203125" style="510" customWidth="1"/>
    <col min="11268" max="11520" width="9.33203125" style="510"/>
    <col min="11521" max="11521" width="13.6640625" style="510" customWidth="1"/>
    <col min="11522" max="11522" width="68.6640625" style="510" customWidth="1"/>
    <col min="11523" max="11523" width="18.33203125" style="510" customWidth="1"/>
    <col min="11524" max="11776" width="9.33203125" style="510"/>
    <col min="11777" max="11777" width="13.6640625" style="510" customWidth="1"/>
    <col min="11778" max="11778" width="68.6640625" style="510" customWidth="1"/>
    <col min="11779" max="11779" width="18.33203125" style="510" customWidth="1"/>
    <col min="11780" max="12032" width="9.33203125" style="510"/>
    <col min="12033" max="12033" width="13.6640625" style="510" customWidth="1"/>
    <col min="12034" max="12034" width="68.6640625" style="510" customWidth="1"/>
    <col min="12035" max="12035" width="18.33203125" style="510" customWidth="1"/>
    <col min="12036" max="12288" width="9.33203125" style="510"/>
    <col min="12289" max="12289" width="13.6640625" style="510" customWidth="1"/>
    <col min="12290" max="12290" width="68.6640625" style="510" customWidth="1"/>
    <col min="12291" max="12291" width="18.33203125" style="510" customWidth="1"/>
    <col min="12292" max="12544" width="9.33203125" style="510"/>
    <col min="12545" max="12545" width="13.6640625" style="510" customWidth="1"/>
    <col min="12546" max="12546" width="68.6640625" style="510" customWidth="1"/>
    <col min="12547" max="12547" width="18.33203125" style="510" customWidth="1"/>
    <col min="12548" max="12800" width="9.33203125" style="510"/>
    <col min="12801" max="12801" width="13.6640625" style="510" customWidth="1"/>
    <col min="12802" max="12802" width="68.6640625" style="510" customWidth="1"/>
    <col min="12803" max="12803" width="18.33203125" style="510" customWidth="1"/>
    <col min="12804" max="13056" width="9.33203125" style="510"/>
    <col min="13057" max="13057" width="13.6640625" style="510" customWidth="1"/>
    <col min="13058" max="13058" width="68.6640625" style="510" customWidth="1"/>
    <col min="13059" max="13059" width="18.33203125" style="510" customWidth="1"/>
    <col min="13060" max="13312" width="9.33203125" style="510"/>
    <col min="13313" max="13313" width="13.6640625" style="510" customWidth="1"/>
    <col min="13314" max="13314" width="68.6640625" style="510" customWidth="1"/>
    <col min="13315" max="13315" width="18.33203125" style="510" customWidth="1"/>
    <col min="13316" max="13568" width="9.33203125" style="510"/>
    <col min="13569" max="13569" width="13.6640625" style="510" customWidth="1"/>
    <col min="13570" max="13570" width="68.6640625" style="510" customWidth="1"/>
    <col min="13571" max="13571" width="18.33203125" style="510" customWidth="1"/>
    <col min="13572" max="13824" width="9.33203125" style="510"/>
    <col min="13825" max="13825" width="13.6640625" style="510" customWidth="1"/>
    <col min="13826" max="13826" width="68.6640625" style="510" customWidth="1"/>
    <col min="13827" max="13827" width="18.33203125" style="510" customWidth="1"/>
    <col min="13828" max="14080" width="9.33203125" style="510"/>
    <col min="14081" max="14081" width="13.6640625" style="510" customWidth="1"/>
    <col min="14082" max="14082" width="68.6640625" style="510" customWidth="1"/>
    <col min="14083" max="14083" width="18.33203125" style="510" customWidth="1"/>
    <col min="14084" max="14336" width="9.33203125" style="510"/>
    <col min="14337" max="14337" width="13.6640625" style="510" customWidth="1"/>
    <col min="14338" max="14338" width="68.6640625" style="510" customWidth="1"/>
    <col min="14339" max="14339" width="18.33203125" style="510" customWidth="1"/>
    <col min="14340" max="14592" width="9.33203125" style="510"/>
    <col min="14593" max="14593" width="13.6640625" style="510" customWidth="1"/>
    <col min="14594" max="14594" width="68.6640625" style="510" customWidth="1"/>
    <col min="14595" max="14595" width="18.33203125" style="510" customWidth="1"/>
    <col min="14596" max="14848" width="9.33203125" style="510"/>
    <col min="14849" max="14849" width="13.6640625" style="510" customWidth="1"/>
    <col min="14850" max="14850" width="68.6640625" style="510" customWidth="1"/>
    <col min="14851" max="14851" width="18.33203125" style="510" customWidth="1"/>
    <col min="14852" max="15104" width="9.33203125" style="510"/>
    <col min="15105" max="15105" width="13.6640625" style="510" customWidth="1"/>
    <col min="15106" max="15106" width="68.6640625" style="510" customWidth="1"/>
    <col min="15107" max="15107" width="18.33203125" style="510" customWidth="1"/>
    <col min="15108" max="15360" width="9.33203125" style="510"/>
    <col min="15361" max="15361" width="13.6640625" style="510" customWidth="1"/>
    <col min="15362" max="15362" width="68.6640625" style="510" customWidth="1"/>
    <col min="15363" max="15363" width="18.33203125" style="510" customWidth="1"/>
    <col min="15364" max="15616" width="9.33203125" style="510"/>
    <col min="15617" max="15617" width="13.6640625" style="510" customWidth="1"/>
    <col min="15618" max="15618" width="68.6640625" style="510" customWidth="1"/>
    <col min="15619" max="15619" width="18.33203125" style="510" customWidth="1"/>
    <col min="15620" max="15872" width="9.33203125" style="510"/>
    <col min="15873" max="15873" width="13.6640625" style="510" customWidth="1"/>
    <col min="15874" max="15874" width="68.6640625" style="510" customWidth="1"/>
    <col min="15875" max="15875" width="18.33203125" style="510" customWidth="1"/>
    <col min="15876" max="16128" width="9.33203125" style="510"/>
    <col min="16129" max="16129" width="13.6640625" style="510" customWidth="1"/>
    <col min="16130" max="16130" width="68.6640625" style="510" customWidth="1"/>
    <col min="16131" max="16131" width="18.33203125" style="510" customWidth="1"/>
    <col min="16132" max="16384" width="9.33203125" style="510"/>
  </cols>
  <sheetData>
    <row r="1" spans="1:9" ht="20.25" customHeight="1">
      <c r="A1" s="508" t="s">
        <v>879</v>
      </c>
      <c r="B1" s="509"/>
      <c r="C1" s="509"/>
    </row>
    <row r="2" spans="1:9" s="141" customFormat="1" ht="13.5" customHeight="1">
      <c r="A2" s="3043" t="s">
        <v>116</v>
      </c>
      <c r="B2" s="3043"/>
      <c r="C2" s="3043"/>
      <c r="D2" s="511"/>
      <c r="E2" s="511"/>
      <c r="F2" s="511"/>
      <c r="G2" s="511"/>
      <c r="H2" s="511"/>
      <c r="I2" s="511"/>
    </row>
    <row r="3" spans="1:9" s="141" customFormat="1" ht="13.5" customHeight="1">
      <c r="A3" s="139" t="s">
        <v>2032</v>
      </c>
      <c r="B3" s="140"/>
      <c r="C3" s="140"/>
      <c r="D3" s="140"/>
      <c r="E3" s="140"/>
      <c r="F3" s="134"/>
      <c r="G3" s="134"/>
      <c r="H3" s="135"/>
      <c r="I3" s="135"/>
    </row>
    <row r="4" spans="1:9" ht="13.5" customHeight="1">
      <c r="A4" s="509"/>
      <c r="B4" s="509"/>
      <c r="C4" s="509"/>
    </row>
    <row r="5" spans="1:9" ht="23.25" customHeight="1">
      <c r="A5" s="512" t="s">
        <v>881</v>
      </c>
      <c r="B5" s="513" t="s">
        <v>122</v>
      </c>
      <c r="C5" s="514" t="s">
        <v>882</v>
      </c>
    </row>
    <row r="6" spans="1:9" ht="12.6" customHeight="1">
      <c r="A6" s="515">
        <v>1</v>
      </c>
      <c r="B6" s="516">
        <v>2</v>
      </c>
      <c r="C6" s="517">
        <v>3</v>
      </c>
    </row>
    <row r="7" spans="1:9" ht="21" customHeight="1">
      <c r="A7" s="518"/>
      <c r="B7" s="519"/>
      <c r="C7" s="519"/>
    </row>
    <row r="8" spans="1:9" ht="13.5" customHeight="1">
      <c r="A8" s="523">
        <v>1</v>
      </c>
      <c r="B8" s="524" t="s">
        <v>2033</v>
      </c>
      <c r="C8" s="525">
        <f>'D.1.4.10.2. POZEMNÍ KOMUNIKACE'!H110</f>
        <v>0</v>
      </c>
    </row>
    <row r="9" spans="1:9" ht="13.5" customHeight="1">
      <c r="A9" s="523">
        <v>2</v>
      </c>
      <c r="B9" s="524" t="s">
        <v>2034</v>
      </c>
      <c r="C9" s="526">
        <f>'SADOVÉ ÚPRAVY'!H49</f>
        <v>0</v>
      </c>
    </row>
    <row r="10" spans="1:9" ht="13.5" customHeight="1">
      <c r="A10" s="523">
        <v>3</v>
      </c>
      <c r="B10" s="524" t="s">
        <v>2035</v>
      </c>
      <c r="C10" s="526">
        <f>OPLOCENÍ!H41</f>
        <v>0</v>
      </c>
    </row>
    <row r="11" spans="1:9" ht="21" customHeight="1">
      <c r="A11" s="530"/>
      <c r="B11" s="531" t="s">
        <v>1774</v>
      </c>
      <c r="C11" s="532">
        <f>SUM(C8:C10)</f>
        <v>0</v>
      </c>
    </row>
    <row r="12" spans="1:9" ht="13.5" customHeight="1">
      <c r="A12" s="533"/>
      <c r="C12" s="534"/>
    </row>
  </sheetData>
  <mergeCells count="1">
    <mergeCell ref="A2:C2"/>
  </mergeCells>
  <printOptions horizontalCentered="1"/>
  <pageMargins left="0.39370078740157483" right="0.39370078740157483" top="0.78740157480314965" bottom="0.39370078740157483" header="0.51181102362204722" footer="0.51181102362204722"/>
  <pageSetup paperSize="9" fitToHeight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283A-556B-4B18-AA1B-A1972AE41F22}">
  <sheetPr>
    <pageSetUpPr fitToPage="1"/>
  </sheetPr>
  <dimension ref="A1:AV117"/>
  <sheetViews>
    <sheetView zoomScaleNormal="100" workbookViewId="0"/>
  </sheetViews>
  <sheetFormatPr defaultRowHeight="15"/>
  <cols>
    <col min="1" max="1" width="4.83203125" style="985" customWidth="1"/>
    <col min="2" max="2" width="5" style="985" customWidth="1"/>
    <col min="3" max="3" width="16.83203125" style="985" customWidth="1"/>
    <col min="4" max="4" width="75.83203125" style="985" customWidth="1"/>
    <col min="5" max="5" width="7.83203125" style="985" customWidth="1"/>
    <col min="6" max="6" width="11.83203125" style="985" customWidth="1"/>
    <col min="7" max="7" width="13.6640625" style="985" customWidth="1"/>
    <col min="8" max="8" width="18.33203125" style="985" customWidth="1"/>
    <col min="9" max="9" width="20.1640625" style="985" customWidth="1"/>
    <col min="10" max="10" width="13.33203125" style="985" customWidth="1"/>
    <col min="11" max="16384" width="9.33203125" style="985"/>
  </cols>
  <sheetData>
    <row r="1" spans="1:21" ht="18">
      <c r="A1" s="133" t="s">
        <v>2956</v>
      </c>
      <c r="B1" s="982"/>
      <c r="C1" s="982"/>
      <c r="D1" s="983"/>
      <c r="E1" s="984"/>
      <c r="F1" s="984"/>
      <c r="G1" s="984"/>
      <c r="H1" s="984"/>
      <c r="I1" s="984"/>
    </row>
    <row r="2" spans="1:21" ht="13.5" customHeight="1">
      <c r="A2" s="3085" t="s">
        <v>1658</v>
      </c>
      <c r="B2" s="3086"/>
      <c r="C2" s="3086"/>
      <c r="D2" s="3086"/>
      <c r="E2" s="3086"/>
      <c r="F2" s="3086"/>
      <c r="G2" s="3086"/>
      <c r="H2" s="3086"/>
      <c r="I2" s="3086"/>
      <c r="J2" s="986"/>
      <c r="S2" s="987"/>
      <c r="T2" s="988"/>
      <c r="U2" s="987"/>
    </row>
    <row r="3" spans="1:21" s="989" customFormat="1" ht="13.5" customHeight="1">
      <c r="A3" s="3085" t="s">
        <v>1659</v>
      </c>
      <c r="B3" s="3087"/>
      <c r="C3" s="3087"/>
      <c r="D3" s="3087"/>
      <c r="J3" s="990"/>
      <c r="S3" s="991"/>
      <c r="T3" s="991"/>
      <c r="U3" s="991"/>
    </row>
    <row r="4" spans="1:21">
      <c r="A4" s="992"/>
      <c r="B4" s="992"/>
      <c r="C4" s="992"/>
      <c r="D4" s="993"/>
      <c r="E4" s="994"/>
      <c r="F4" s="992"/>
      <c r="G4" s="992"/>
      <c r="H4" s="992"/>
      <c r="I4" s="995"/>
      <c r="S4" s="988"/>
      <c r="T4" s="988"/>
      <c r="U4" s="988"/>
    </row>
    <row r="5" spans="1:21" ht="22.5">
      <c r="A5" s="996" t="s">
        <v>119</v>
      </c>
      <c r="B5" s="996" t="s">
        <v>120</v>
      </c>
      <c r="C5" s="996" t="s">
        <v>121</v>
      </c>
      <c r="D5" s="996" t="s">
        <v>122</v>
      </c>
      <c r="E5" s="996" t="s">
        <v>123</v>
      </c>
      <c r="F5" s="996" t="s">
        <v>124</v>
      </c>
      <c r="G5" s="996" t="s">
        <v>125</v>
      </c>
      <c r="H5" s="997" t="s">
        <v>2</v>
      </c>
      <c r="I5" s="998" t="s">
        <v>46</v>
      </c>
      <c r="S5" s="988"/>
      <c r="T5" s="988"/>
      <c r="U5" s="988"/>
    </row>
    <row r="6" spans="1:21">
      <c r="A6" s="996" t="s">
        <v>126</v>
      </c>
      <c r="B6" s="996" t="s">
        <v>127</v>
      </c>
      <c r="C6" s="996">
        <v>3</v>
      </c>
      <c r="D6" s="996">
        <v>4</v>
      </c>
      <c r="E6" s="996">
        <v>5</v>
      </c>
      <c r="F6" s="996">
        <v>6</v>
      </c>
      <c r="G6" s="996">
        <v>7</v>
      </c>
      <c r="H6" s="997">
        <v>8</v>
      </c>
      <c r="I6" s="998">
        <v>9</v>
      </c>
      <c r="S6" s="988"/>
      <c r="T6" s="988"/>
      <c r="U6" s="988"/>
    </row>
    <row r="7" spans="1:21" ht="21" customHeight="1">
      <c r="A7" s="999"/>
      <c r="B7" s="999"/>
      <c r="C7" s="1000" t="s">
        <v>133</v>
      </c>
      <c r="D7" s="1000" t="s">
        <v>134</v>
      </c>
      <c r="E7" s="1001"/>
      <c r="F7" s="1002"/>
      <c r="G7" s="1003"/>
      <c r="H7" s="1003">
        <f>H8+H20+H100</f>
        <v>0</v>
      </c>
      <c r="I7" s="1004"/>
      <c r="S7" s="988"/>
      <c r="T7" s="988"/>
      <c r="U7" s="988"/>
    </row>
    <row r="8" spans="1:21" s="463" customFormat="1" ht="13.5" customHeight="1">
      <c r="A8" s="1005"/>
      <c r="B8" s="1005"/>
      <c r="C8" s="455" t="s">
        <v>126</v>
      </c>
      <c r="D8" s="455" t="s">
        <v>135</v>
      </c>
      <c r="E8" s="455"/>
      <c r="F8" s="1006"/>
      <c r="G8" s="1007"/>
      <c r="H8" s="1007">
        <f>SUM(H9:H19)</f>
        <v>0</v>
      </c>
      <c r="I8" s="457"/>
      <c r="J8" s="1008"/>
      <c r="S8" s="1009"/>
      <c r="T8" s="1009"/>
      <c r="U8" s="1009"/>
    </row>
    <row r="9" spans="1:21" s="238" customFormat="1" ht="13.5" customHeight="1">
      <c r="A9" s="1005">
        <v>1</v>
      </c>
      <c r="B9" s="460" t="s">
        <v>1660</v>
      </c>
      <c r="C9" s="460" t="s">
        <v>1661</v>
      </c>
      <c r="D9" s="460" t="s">
        <v>1662</v>
      </c>
      <c r="E9" s="460" t="s">
        <v>165</v>
      </c>
      <c r="F9" s="1010">
        <f>SUM(F10)</f>
        <v>245.1</v>
      </c>
      <c r="G9" s="1011"/>
      <c r="H9" s="1011">
        <f>F9*G9</f>
        <v>0</v>
      </c>
      <c r="I9" s="153" t="s">
        <v>112</v>
      </c>
      <c r="J9" s="1012"/>
      <c r="K9" s="1013"/>
      <c r="M9" s="990"/>
      <c r="S9" s="1009"/>
      <c r="T9" s="1014"/>
      <c r="U9" s="1014"/>
    </row>
    <row r="10" spans="1:21" s="1024" customFormat="1" ht="13.5" customHeight="1">
      <c r="A10" s="1015"/>
      <c r="B10" s="471"/>
      <c r="C10" s="1016"/>
      <c r="D10" s="466" t="s">
        <v>1663</v>
      </c>
      <c r="E10" s="1016"/>
      <c r="F10" s="1017">
        <v>245.1</v>
      </c>
      <c r="G10" s="1018"/>
      <c r="H10" s="1019"/>
      <c r="I10" s="1020"/>
      <c r="J10" s="1021"/>
      <c r="K10" s="1022"/>
      <c r="L10" s="1023"/>
      <c r="S10" s="1009"/>
      <c r="T10" s="1025"/>
      <c r="U10" s="1025"/>
    </row>
    <row r="11" spans="1:21" s="1024" customFormat="1" ht="13.5" customHeight="1">
      <c r="A11" s="1015"/>
      <c r="B11" s="1016"/>
      <c r="C11" s="1016"/>
      <c r="D11" s="466" t="s">
        <v>1664</v>
      </c>
      <c r="E11" s="1016"/>
      <c r="F11" s="1016"/>
      <c r="G11" s="1018"/>
      <c r="H11" s="1019"/>
      <c r="I11" s="1020"/>
      <c r="J11" s="1022"/>
      <c r="K11" s="1023"/>
      <c r="L11" s="1023"/>
      <c r="S11" s="1009"/>
      <c r="T11" s="1025"/>
      <c r="U11" s="1025"/>
    </row>
    <row r="12" spans="1:21" s="1024" customFormat="1" ht="13.5" customHeight="1">
      <c r="A12" s="1015"/>
      <c r="B12" s="1016"/>
      <c r="C12" s="1016"/>
      <c r="D12" s="466" t="s">
        <v>1665</v>
      </c>
      <c r="E12" s="1016"/>
      <c r="F12" s="1016"/>
      <c r="G12" s="1018"/>
      <c r="H12" s="1019"/>
      <c r="I12" s="1020"/>
      <c r="J12" s="1022"/>
      <c r="K12" s="1023"/>
      <c r="L12" s="1023"/>
      <c r="S12" s="1009"/>
      <c r="T12" s="1025"/>
      <c r="U12" s="1025"/>
    </row>
    <row r="13" spans="1:21" s="1024" customFormat="1" ht="13.5" customHeight="1">
      <c r="A13" s="1015"/>
      <c r="B13" s="1016"/>
      <c r="C13" s="1016"/>
      <c r="D13" s="466" t="s">
        <v>1666</v>
      </c>
      <c r="E13" s="1016"/>
      <c r="F13" s="1016"/>
      <c r="G13" s="1018"/>
      <c r="H13" s="1019"/>
      <c r="I13" s="1020"/>
      <c r="J13" s="1022"/>
      <c r="K13" s="1023"/>
      <c r="L13" s="1023"/>
      <c r="S13" s="1009"/>
      <c r="T13" s="1025"/>
      <c r="U13" s="1025"/>
    </row>
    <row r="14" spans="1:21" s="1024" customFormat="1" ht="13.5" customHeight="1">
      <c r="A14" s="1015"/>
      <c r="B14" s="1016"/>
      <c r="C14" s="1016"/>
      <c r="D14" s="466" t="s">
        <v>1667</v>
      </c>
      <c r="E14" s="1016"/>
      <c r="F14" s="1016"/>
      <c r="G14" s="1018"/>
      <c r="H14" s="1019"/>
      <c r="I14" s="1020"/>
      <c r="J14" s="1022"/>
      <c r="K14" s="1023"/>
      <c r="L14" s="1023"/>
      <c r="S14" s="1009"/>
      <c r="T14" s="1025"/>
      <c r="U14" s="1025"/>
    </row>
    <row r="15" spans="1:21" s="1024" customFormat="1" ht="13.5" customHeight="1">
      <c r="A15" s="1015"/>
      <c r="B15" s="1016"/>
      <c r="C15" s="1016"/>
      <c r="D15" s="466" t="s">
        <v>1668</v>
      </c>
      <c r="E15" s="1016"/>
      <c r="F15" s="1016"/>
      <c r="G15" s="1018"/>
      <c r="H15" s="1019"/>
      <c r="I15" s="1020"/>
      <c r="J15" s="1022"/>
      <c r="K15" s="1023"/>
      <c r="L15" s="1023"/>
      <c r="S15" s="1009"/>
      <c r="T15" s="1025"/>
      <c r="U15" s="1025"/>
    </row>
    <row r="16" spans="1:21" s="1024" customFormat="1" ht="13.5" customHeight="1">
      <c r="A16" s="1015"/>
      <c r="B16" s="1016"/>
      <c r="C16" s="1016"/>
      <c r="D16" s="466" t="s">
        <v>1669</v>
      </c>
      <c r="E16" s="1016"/>
      <c r="F16" s="1016"/>
      <c r="G16" s="1018"/>
      <c r="H16" s="1019"/>
      <c r="I16" s="1020"/>
      <c r="K16" s="1023"/>
      <c r="L16" s="1023"/>
      <c r="S16" s="1009"/>
      <c r="T16" s="1025"/>
      <c r="U16" s="1025"/>
    </row>
    <row r="17" spans="1:21" s="1024" customFormat="1" ht="13.5" customHeight="1">
      <c r="A17" s="1015"/>
      <c r="B17" s="1016"/>
      <c r="C17" s="1016"/>
      <c r="D17" s="466" t="s">
        <v>1670</v>
      </c>
      <c r="E17" s="1016"/>
      <c r="F17" s="1016"/>
      <c r="G17" s="1018"/>
      <c r="H17" s="1019"/>
      <c r="I17" s="1020"/>
      <c r="J17" s="1022"/>
      <c r="K17" s="1023"/>
      <c r="L17" s="1023"/>
      <c r="S17" s="1009"/>
      <c r="T17" s="1025"/>
      <c r="U17" s="1025"/>
    </row>
    <row r="18" spans="1:21" s="1024" customFormat="1" ht="13.5" customHeight="1">
      <c r="A18" s="1015"/>
      <c r="B18" s="1016"/>
      <c r="C18" s="1016"/>
      <c r="D18" s="466" t="s">
        <v>1671</v>
      </c>
      <c r="E18" s="1016"/>
      <c r="F18" s="1016"/>
      <c r="G18" s="1018"/>
      <c r="H18" s="1019"/>
      <c r="I18" s="1020"/>
      <c r="J18" s="1022"/>
      <c r="K18" s="1023"/>
      <c r="L18" s="1023"/>
      <c r="S18" s="1009"/>
      <c r="T18" s="1025"/>
      <c r="U18" s="1025"/>
    </row>
    <row r="19" spans="1:21" s="1024" customFormat="1" ht="13.5" customHeight="1">
      <c r="A19" s="1015"/>
      <c r="B19" s="1016"/>
      <c r="C19" s="1016"/>
      <c r="D19" s="466" t="s">
        <v>1672</v>
      </c>
      <c r="E19" s="1016"/>
      <c r="F19" s="1016"/>
      <c r="G19" s="1018"/>
      <c r="H19" s="1019"/>
      <c r="I19" s="1020"/>
      <c r="J19" s="1022"/>
      <c r="K19" s="1023"/>
      <c r="L19" s="1023"/>
      <c r="S19" s="1009"/>
      <c r="T19" s="1025"/>
      <c r="U19" s="1025"/>
    </row>
    <row r="20" spans="1:21" s="238" customFormat="1" ht="13.5" customHeight="1">
      <c r="A20" s="1026"/>
      <c r="B20" s="455"/>
      <c r="C20" s="455">
        <v>5</v>
      </c>
      <c r="D20" s="455" t="s">
        <v>1673</v>
      </c>
      <c r="E20" s="455"/>
      <c r="F20" s="1006"/>
      <c r="G20" s="1007"/>
      <c r="H20" s="1007">
        <f>SUM(H21:H99)</f>
        <v>0</v>
      </c>
      <c r="I20" s="457"/>
      <c r="S20" s="1014"/>
      <c r="T20" s="1014"/>
      <c r="U20" s="1014"/>
    </row>
    <row r="21" spans="1:21" s="238" customFormat="1" ht="13.5" customHeight="1">
      <c r="A21" s="1005">
        <v>2</v>
      </c>
      <c r="B21" s="460">
        <v>583</v>
      </c>
      <c r="C21" s="460" t="s">
        <v>1674</v>
      </c>
      <c r="D21" s="460" t="s">
        <v>1675</v>
      </c>
      <c r="E21" s="460" t="s">
        <v>165</v>
      </c>
      <c r="F21" s="1010">
        <f>SUM(F22:F23)</f>
        <v>43</v>
      </c>
      <c r="G21" s="1011"/>
      <c r="H21" s="1011">
        <f>F21*G21</f>
        <v>0</v>
      </c>
      <c r="I21" s="153" t="s">
        <v>112</v>
      </c>
      <c r="J21" s="1012"/>
      <c r="K21" s="1013"/>
      <c r="M21" s="990"/>
      <c r="S21" s="1014"/>
      <c r="T21" s="1014"/>
      <c r="U21" s="1014"/>
    </row>
    <row r="22" spans="1:21" s="238" customFormat="1" ht="13.5" customHeight="1">
      <c r="A22" s="1005"/>
      <c r="B22" s="460"/>
      <c r="C22" s="460"/>
      <c r="D22" s="466" t="s">
        <v>1676</v>
      </c>
      <c r="E22" s="460"/>
      <c r="F22" s="1027">
        <v>43</v>
      </c>
      <c r="G22" s="1011"/>
      <c r="H22" s="1011"/>
      <c r="I22" s="1028"/>
      <c r="J22" s="1029"/>
      <c r="K22" s="1013"/>
      <c r="S22" s="1014"/>
      <c r="T22" s="1014"/>
      <c r="U22" s="1014"/>
    </row>
    <row r="23" spans="1:21" s="226" customFormat="1" ht="13.5" customHeight="1">
      <c r="A23" s="1030"/>
      <c r="B23" s="1031"/>
      <c r="C23" s="1031"/>
      <c r="D23" s="466" t="s">
        <v>1677</v>
      </c>
      <c r="E23" s="1031"/>
      <c r="F23" s="1031"/>
      <c r="G23" s="1032"/>
      <c r="H23" s="1011"/>
      <c r="I23" s="1028"/>
      <c r="J23" s="990"/>
    </row>
    <row r="24" spans="1:21" s="226" customFormat="1" ht="13.5" customHeight="1">
      <c r="A24" s="1030"/>
      <c r="B24" s="1031"/>
      <c r="C24" s="1031"/>
      <c r="D24" s="466" t="s">
        <v>1678</v>
      </c>
      <c r="E24" s="1031"/>
      <c r="F24" s="1031"/>
      <c r="G24" s="1032"/>
      <c r="H24" s="1011"/>
      <c r="I24" s="153"/>
      <c r="J24" s="990"/>
    </row>
    <row r="25" spans="1:21" s="226" customFormat="1" ht="13.5" customHeight="1">
      <c r="A25" s="1030"/>
      <c r="B25" s="1031"/>
      <c r="C25" s="1031"/>
      <c r="D25" s="466" t="s">
        <v>1679</v>
      </c>
      <c r="E25" s="1031"/>
      <c r="F25" s="1031"/>
      <c r="G25" s="1032"/>
      <c r="H25" s="1011"/>
      <c r="I25" s="153"/>
      <c r="J25" s="990"/>
    </row>
    <row r="26" spans="1:21" s="226" customFormat="1" ht="13.5" customHeight="1">
      <c r="A26" s="1030"/>
      <c r="B26" s="1031"/>
      <c r="C26" s="1031"/>
      <c r="D26" s="466" t="s">
        <v>1680</v>
      </c>
      <c r="E26" s="1031"/>
      <c r="F26" s="1031"/>
      <c r="G26" s="1032"/>
      <c r="H26" s="1011"/>
      <c r="I26" s="153"/>
      <c r="J26" s="990"/>
    </row>
    <row r="27" spans="1:21" s="226" customFormat="1" ht="13.5" customHeight="1">
      <c r="A27" s="1030"/>
      <c r="B27" s="1031"/>
      <c r="C27" s="1031"/>
      <c r="D27" s="466" t="s">
        <v>1681</v>
      </c>
      <c r="E27" s="1031"/>
      <c r="F27" s="1031"/>
      <c r="G27" s="1032"/>
      <c r="H27" s="1011"/>
      <c r="I27" s="153"/>
      <c r="J27" s="990"/>
    </row>
    <row r="28" spans="1:21" s="226" customFormat="1" ht="13.5" customHeight="1">
      <c r="A28" s="1030"/>
      <c r="B28" s="1031"/>
      <c r="C28" s="1031"/>
      <c r="D28" s="466" t="s">
        <v>1682</v>
      </c>
      <c r="E28" s="1031"/>
      <c r="F28" s="1031"/>
      <c r="G28" s="1032"/>
      <c r="H28" s="1011"/>
      <c r="I28" s="153"/>
      <c r="J28" s="990"/>
    </row>
    <row r="29" spans="1:21" s="238" customFormat="1" ht="13.5" customHeight="1">
      <c r="A29" s="1005">
        <v>3</v>
      </c>
      <c r="B29" s="460">
        <v>583</v>
      </c>
      <c r="C29" s="460" t="s">
        <v>1683</v>
      </c>
      <c r="D29" s="460" t="s">
        <v>1684</v>
      </c>
      <c r="E29" s="460" t="s">
        <v>165</v>
      </c>
      <c r="F29" s="1010">
        <f>SUM(F30:F30)</f>
        <v>192.5</v>
      </c>
      <c r="G29" s="1011"/>
      <c r="H29" s="1011">
        <f>F29*G29</f>
        <v>0</v>
      </c>
      <c r="I29" s="153" t="s">
        <v>112</v>
      </c>
      <c r="J29" s="1012"/>
      <c r="K29" s="1013"/>
      <c r="M29" s="990"/>
    </row>
    <row r="30" spans="1:21" s="238" customFormat="1" ht="13.5" customHeight="1">
      <c r="A30" s="1005"/>
      <c r="B30" s="460"/>
      <c r="C30" s="460"/>
      <c r="D30" s="466" t="s">
        <v>1685</v>
      </c>
      <c r="E30" s="460"/>
      <c r="F30" s="1027">
        <v>192.5</v>
      </c>
      <c r="G30" s="1011"/>
      <c r="H30" s="1011"/>
      <c r="I30" s="1028"/>
      <c r="J30" s="990"/>
      <c r="K30" s="1013"/>
    </row>
    <row r="31" spans="1:21" s="226" customFormat="1" ht="13.5" customHeight="1">
      <c r="A31" s="1030"/>
      <c r="B31" s="1031"/>
      <c r="C31" s="1031"/>
      <c r="D31" s="466" t="s">
        <v>1677</v>
      </c>
      <c r="E31" s="1031"/>
      <c r="F31" s="1031"/>
      <c r="G31" s="1032"/>
      <c r="H31" s="1011"/>
      <c r="I31" s="1028"/>
      <c r="J31" s="990"/>
    </row>
    <row r="32" spans="1:21" s="226" customFormat="1" ht="13.5" customHeight="1">
      <c r="A32" s="1030"/>
      <c r="B32" s="1031"/>
      <c r="C32" s="1031"/>
      <c r="D32" s="466" t="s">
        <v>1686</v>
      </c>
      <c r="E32" s="1031"/>
      <c r="F32" s="1031"/>
      <c r="G32" s="1032"/>
      <c r="H32" s="1011"/>
      <c r="I32" s="153"/>
      <c r="J32" s="990"/>
    </row>
    <row r="33" spans="1:11" s="226" customFormat="1" ht="13.5" customHeight="1">
      <c r="A33" s="1030"/>
      <c r="B33" s="1031"/>
      <c r="C33" s="1031"/>
      <c r="D33" s="466" t="s">
        <v>1679</v>
      </c>
      <c r="E33" s="1031"/>
      <c r="F33" s="1031"/>
      <c r="G33" s="1032"/>
      <c r="H33" s="1011"/>
      <c r="I33" s="153"/>
      <c r="J33" s="990"/>
    </row>
    <row r="34" spans="1:11" s="226" customFormat="1" ht="13.5" customHeight="1">
      <c r="A34" s="1030"/>
      <c r="B34" s="1031"/>
      <c r="C34" s="1031"/>
      <c r="D34" s="466" t="s">
        <v>1680</v>
      </c>
      <c r="E34" s="1031"/>
      <c r="F34" s="1031"/>
      <c r="G34" s="1032"/>
      <c r="H34" s="1011"/>
      <c r="I34" s="153"/>
      <c r="J34" s="990"/>
    </row>
    <row r="35" spans="1:11" s="226" customFormat="1" ht="13.5" customHeight="1">
      <c r="A35" s="1030"/>
      <c r="B35" s="1031"/>
      <c r="C35" s="1031"/>
      <c r="D35" s="466" t="s">
        <v>1681</v>
      </c>
      <c r="E35" s="1031"/>
      <c r="F35" s="1031"/>
      <c r="G35" s="1032"/>
      <c r="H35" s="1011"/>
      <c r="I35" s="153"/>
      <c r="J35" s="990"/>
    </row>
    <row r="36" spans="1:11" s="226" customFormat="1" ht="13.5" customHeight="1">
      <c r="A36" s="1030"/>
      <c r="B36" s="1031"/>
      <c r="C36" s="1031"/>
      <c r="D36" s="466" t="s">
        <v>1682</v>
      </c>
      <c r="E36" s="1031"/>
      <c r="F36" s="1031"/>
      <c r="G36" s="1032"/>
      <c r="H36" s="1011"/>
      <c r="I36" s="153"/>
      <c r="J36" s="990"/>
    </row>
    <row r="37" spans="1:11" s="238" customFormat="1" ht="13.5" customHeight="1">
      <c r="A37" s="1005">
        <v>4</v>
      </c>
      <c r="B37" s="460">
        <v>583</v>
      </c>
      <c r="C37" s="460" t="s">
        <v>1687</v>
      </c>
      <c r="D37" s="460" t="s">
        <v>1688</v>
      </c>
      <c r="E37" s="460" t="s">
        <v>165</v>
      </c>
      <c r="F37" s="1010">
        <f>F38</f>
        <v>45.6</v>
      </c>
      <c r="G37" s="1011"/>
      <c r="H37" s="1011">
        <f>F37*G37</f>
        <v>0</v>
      </c>
      <c r="I37" s="153" t="s">
        <v>112</v>
      </c>
      <c r="J37" s="1029"/>
      <c r="K37" s="1013"/>
    </row>
    <row r="38" spans="1:11" s="238" customFormat="1" ht="13.5" customHeight="1">
      <c r="A38" s="1005"/>
      <c r="B38" s="460"/>
      <c r="C38" s="460"/>
      <c r="D38" s="466" t="s">
        <v>1689</v>
      </c>
      <c r="E38" s="460"/>
      <c r="F38" s="1027">
        <v>45.6</v>
      </c>
      <c r="G38" s="1011"/>
      <c r="H38" s="1011"/>
      <c r="I38" s="1028"/>
      <c r="J38" s="1029"/>
      <c r="K38" s="1013"/>
    </row>
    <row r="39" spans="1:11" s="226" customFormat="1" ht="13.5" customHeight="1">
      <c r="A39" s="1030"/>
      <c r="B39" s="1031"/>
      <c r="C39" s="1031"/>
      <c r="D39" s="466" t="s">
        <v>1677</v>
      </c>
      <c r="E39" s="1031"/>
      <c r="F39" s="1031"/>
      <c r="G39" s="1032"/>
      <c r="H39" s="1011"/>
      <c r="I39" s="1028"/>
      <c r="J39" s="990"/>
    </row>
    <row r="40" spans="1:11" s="226" customFormat="1" ht="13.5" customHeight="1">
      <c r="A40" s="1030"/>
      <c r="B40" s="1031"/>
      <c r="C40" s="1031"/>
      <c r="D40" s="466" t="s">
        <v>1690</v>
      </c>
      <c r="E40" s="1031"/>
      <c r="F40" s="1031"/>
      <c r="G40" s="1032"/>
      <c r="H40" s="1011"/>
      <c r="I40" s="153"/>
      <c r="J40" s="990"/>
    </row>
    <row r="41" spans="1:11" s="226" customFormat="1" ht="13.5" customHeight="1">
      <c r="A41" s="1030"/>
      <c r="B41" s="1031"/>
      <c r="C41" s="1031"/>
      <c r="D41" s="466" t="s">
        <v>1679</v>
      </c>
      <c r="E41" s="1031"/>
      <c r="F41" s="1031"/>
      <c r="G41" s="1032"/>
      <c r="H41" s="1011"/>
      <c r="I41" s="153"/>
      <c r="J41" s="990"/>
    </row>
    <row r="42" spans="1:11" s="226" customFormat="1" ht="13.5" customHeight="1">
      <c r="A42" s="1030"/>
      <c r="B42" s="1031"/>
      <c r="C42" s="1031"/>
      <c r="D42" s="466" t="s">
        <v>1691</v>
      </c>
      <c r="E42" s="1031"/>
      <c r="F42" s="1031"/>
      <c r="G42" s="1032"/>
      <c r="H42" s="1011"/>
      <c r="I42" s="153"/>
      <c r="J42" s="990"/>
    </row>
    <row r="43" spans="1:11" s="226" customFormat="1" ht="13.5" customHeight="1">
      <c r="A43" s="1030"/>
      <c r="B43" s="1031"/>
      <c r="C43" s="1031"/>
      <c r="D43" s="466" t="s">
        <v>1681</v>
      </c>
      <c r="E43" s="1031"/>
      <c r="F43" s="1031"/>
      <c r="G43" s="1032"/>
      <c r="H43" s="1011"/>
      <c r="I43" s="153"/>
      <c r="J43" s="990"/>
    </row>
    <row r="44" spans="1:11" s="226" customFormat="1" ht="13.5" customHeight="1">
      <c r="A44" s="1030"/>
      <c r="B44" s="1031"/>
      <c r="C44" s="1031"/>
      <c r="D44" s="466" t="s">
        <v>1682</v>
      </c>
      <c r="E44" s="1031"/>
      <c r="F44" s="1031"/>
      <c r="G44" s="1032"/>
      <c r="H44" s="1011"/>
      <c r="I44" s="153"/>
      <c r="J44" s="990"/>
    </row>
    <row r="45" spans="1:11" s="238" customFormat="1" ht="13.5" customHeight="1">
      <c r="A45" s="1005">
        <v>5</v>
      </c>
      <c r="B45" s="460">
        <v>583</v>
      </c>
      <c r="C45" s="460" t="s">
        <v>1692</v>
      </c>
      <c r="D45" s="460" t="s">
        <v>1693</v>
      </c>
      <c r="E45" s="460" t="s">
        <v>165</v>
      </c>
      <c r="F45" s="1010">
        <f>SUM(F46:F46)</f>
        <v>17.399999999999999</v>
      </c>
      <c r="G45" s="1011"/>
      <c r="H45" s="1011">
        <f>F45*G45</f>
        <v>0</v>
      </c>
      <c r="I45" s="153" t="s">
        <v>112</v>
      </c>
      <c r="J45" s="986"/>
      <c r="K45" s="1013"/>
    </row>
    <row r="46" spans="1:11" s="238" customFormat="1" ht="13.5" customHeight="1">
      <c r="A46" s="1005"/>
      <c r="B46" s="460"/>
      <c r="C46" s="460"/>
      <c r="D46" s="466" t="s">
        <v>1694</v>
      </c>
      <c r="E46" s="460"/>
      <c r="F46" s="1027">
        <v>17.399999999999999</v>
      </c>
      <c r="G46" s="1011"/>
      <c r="H46" s="1011"/>
      <c r="I46" s="1018"/>
      <c r="J46" s="1029"/>
      <c r="K46" s="1013"/>
    </row>
    <row r="47" spans="1:11" s="226" customFormat="1" ht="13.5" customHeight="1">
      <c r="A47" s="1030"/>
      <c r="B47" s="1031"/>
      <c r="C47" s="1031"/>
      <c r="D47" s="466" t="s">
        <v>1677</v>
      </c>
      <c r="E47" s="1031"/>
      <c r="F47" s="1031"/>
      <c r="G47" s="1032"/>
      <c r="H47" s="1011"/>
      <c r="I47" s="1028"/>
      <c r="J47" s="1029"/>
    </row>
    <row r="48" spans="1:11" s="226" customFormat="1" ht="13.5" customHeight="1">
      <c r="A48" s="1030"/>
      <c r="B48" s="1031"/>
      <c r="C48" s="1031"/>
      <c r="D48" s="466" t="s">
        <v>1695</v>
      </c>
      <c r="E48" s="1031"/>
      <c r="F48" s="1031"/>
      <c r="G48" s="1032"/>
      <c r="H48" s="1011"/>
      <c r="I48" s="1028"/>
      <c r="J48" s="990"/>
    </row>
    <row r="49" spans="1:11" s="226" customFormat="1" ht="13.5" customHeight="1">
      <c r="A49" s="1030"/>
      <c r="B49" s="1031"/>
      <c r="C49" s="1031"/>
      <c r="D49" s="466" t="s">
        <v>1696</v>
      </c>
      <c r="E49" s="1031"/>
      <c r="F49" s="1031"/>
      <c r="G49" s="1032"/>
      <c r="H49" s="1011"/>
      <c r="I49" s="1028"/>
      <c r="J49" s="990"/>
    </row>
    <row r="50" spans="1:11" s="226" customFormat="1" ht="13.5" customHeight="1">
      <c r="A50" s="1030"/>
      <c r="B50" s="1031"/>
      <c r="C50" s="1031"/>
      <c r="D50" s="466" t="s">
        <v>1679</v>
      </c>
      <c r="E50" s="1031"/>
      <c r="F50" s="1031"/>
      <c r="G50" s="1032"/>
      <c r="H50" s="1011"/>
      <c r="I50" s="1028"/>
      <c r="J50" s="990"/>
    </row>
    <row r="51" spans="1:11" s="226" customFormat="1" ht="13.5" customHeight="1">
      <c r="A51" s="1030"/>
      <c r="B51" s="1031"/>
      <c r="C51" s="1031"/>
      <c r="D51" s="466" t="s">
        <v>1680</v>
      </c>
      <c r="E51" s="1031"/>
      <c r="F51" s="1031"/>
      <c r="G51" s="1032"/>
      <c r="H51" s="1011"/>
      <c r="I51" s="1028"/>
      <c r="J51" s="990"/>
    </row>
    <row r="52" spans="1:11" s="226" customFormat="1" ht="13.5" customHeight="1">
      <c r="A52" s="1030"/>
      <c r="B52" s="1031"/>
      <c r="C52" s="1031"/>
      <c r="D52" s="466" t="s">
        <v>1681</v>
      </c>
      <c r="E52" s="1031"/>
      <c r="F52" s="1031"/>
      <c r="G52" s="1032"/>
      <c r="H52" s="1011"/>
      <c r="I52" s="1028"/>
      <c r="J52" s="990"/>
    </row>
    <row r="53" spans="1:11" s="226" customFormat="1" ht="13.5" customHeight="1">
      <c r="A53" s="1030"/>
      <c r="B53" s="1031"/>
      <c r="C53" s="1031"/>
      <c r="D53" s="466" t="s">
        <v>1682</v>
      </c>
      <c r="E53" s="1031"/>
      <c r="F53" s="1031"/>
      <c r="G53" s="1032"/>
      <c r="H53" s="1011"/>
      <c r="I53" s="1028"/>
      <c r="J53" s="990"/>
    </row>
    <row r="54" spans="1:11" s="238" customFormat="1" ht="13.5" customHeight="1">
      <c r="A54" s="1005">
        <v>6</v>
      </c>
      <c r="B54" s="460">
        <v>583</v>
      </c>
      <c r="C54" s="460" t="s">
        <v>1697</v>
      </c>
      <c r="D54" s="460" t="s">
        <v>1698</v>
      </c>
      <c r="E54" s="460" t="s">
        <v>165</v>
      </c>
      <c r="F54" s="1010">
        <f>F55</f>
        <v>29.6</v>
      </c>
      <c r="G54" s="1011"/>
      <c r="H54" s="1011">
        <f>F54*G54</f>
        <v>0</v>
      </c>
      <c r="I54" s="153" t="s">
        <v>112</v>
      </c>
      <c r="J54" s="1029"/>
      <c r="K54" s="1013"/>
    </row>
    <row r="55" spans="1:11" s="238" customFormat="1" ht="13.5" customHeight="1">
      <c r="A55" s="1005"/>
      <c r="B55" s="460"/>
      <c r="C55" s="460"/>
      <c r="D55" s="466" t="s">
        <v>1699</v>
      </c>
      <c r="E55" s="460"/>
      <c r="F55" s="1027">
        <v>29.6</v>
      </c>
      <c r="G55" s="1011"/>
      <c r="H55" s="1011"/>
      <c r="I55" s="1028"/>
      <c r="J55" s="1029"/>
      <c r="K55" s="1013"/>
    </row>
    <row r="56" spans="1:11" s="226" customFormat="1" ht="13.5" customHeight="1">
      <c r="A56" s="1030"/>
      <c r="B56" s="1031"/>
      <c r="C56" s="1031"/>
      <c r="D56" s="466" t="s">
        <v>1677</v>
      </c>
      <c r="E56" s="1031"/>
      <c r="F56" s="1031"/>
      <c r="G56" s="1032"/>
      <c r="H56" s="1011"/>
      <c r="I56" s="1028"/>
      <c r="J56" s="990"/>
    </row>
    <row r="57" spans="1:11" s="226" customFormat="1" ht="13.5" customHeight="1">
      <c r="A57" s="1030"/>
      <c r="B57" s="1031"/>
      <c r="C57" s="1031"/>
      <c r="D57" s="466" t="s">
        <v>1700</v>
      </c>
      <c r="E57" s="1031"/>
      <c r="F57" s="1031"/>
      <c r="G57" s="1032"/>
      <c r="H57" s="1011"/>
      <c r="I57" s="153"/>
      <c r="J57" s="990"/>
    </row>
    <row r="58" spans="1:11" s="226" customFormat="1" ht="13.5" customHeight="1">
      <c r="A58" s="1030"/>
      <c r="B58" s="1031"/>
      <c r="C58" s="1031"/>
      <c r="D58" s="466" t="s">
        <v>1679</v>
      </c>
      <c r="E58" s="1031"/>
      <c r="F58" s="1031"/>
      <c r="G58" s="1032"/>
      <c r="H58" s="1011"/>
      <c r="I58" s="153"/>
      <c r="J58" s="990"/>
    </row>
    <row r="59" spans="1:11" s="226" customFormat="1" ht="13.5" customHeight="1">
      <c r="A59" s="1030"/>
      <c r="B59" s="1031"/>
      <c r="C59" s="1031"/>
      <c r="D59" s="466" t="s">
        <v>1691</v>
      </c>
      <c r="E59" s="1031"/>
      <c r="F59" s="1031"/>
      <c r="G59" s="1032"/>
      <c r="H59" s="1011"/>
      <c r="I59" s="153"/>
      <c r="J59" s="990"/>
    </row>
    <row r="60" spans="1:11" s="226" customFormat="1" ht="13.5" customHeight="1">
      <c r="A60" s="1030"/>
      <c r="B60" s="1031"/>
      <c r="C60" s="1031"/>
      <c r="D60" s="466" t="s">
        <v>1681</v>
      </c>
      <c r="E60" s="1031"/>
      <c r="F60" s="1031"/>
      <c r="G60" s="1032"/>
      <c r="H60" s="1011"/>
      <c r="I60" s="153"/>
      <c r="J60" s="990"/>
    </row>
    <row r="61" spans="1:11" s="226" customFormat="1" ht="13.5" customHeight="1">
      <c r="A61" s="1030"/>
      <c r="B61" s="1031"/>
      <c r="C61" s="1031"/>
      <c r="D61" s="466" t="s">
        <v>1682</v>
      </c>
      <c r="E61" s="1031"/>
      <c r="F61" s="1031"/>
      <c r="G61" s="1032"/>
      <c r="H61" s="1011"/>
      <c r="I61" s="153"/>
      <c r="J61" s="990"/>
    </row>
    <row r="62" spans="1:11" s="238" customFormat="1" ht="13.5" customHeight="1">
      <c r="A62" s="1005">
        <v>7</v>
      </c>
      <c r="B62" s="460">
        <v>583</v>
      </c>
      <c r="C62" s="460" t="s">
        <v>1701</v>
      </c>
      <c r="D62" s="460" t="s">
        <v>1702</v>
      </c>
      <c r="E62" s="460" t="s">
        <v>165</v>
      </c>
      <c r="F62" s="1010">
        <f>F63</f>
        <v>10.199999999999999</v>
      </c>
      <c r="G62" s="1011"/>
      <c r="H62" s="1011">
        <f>F62*G62</f>
        <v>0</v>
      </c>
      <c r="I62" s="153" t="s">
        <v>112</v>
      </c>
      <c r="J62" s="1029"/>
      <c r="K62" s="1013"/>
    </row>
    <row r="63" spans="1:11" s="238" customFormat="1" ht="13.5" customHeight="1">
      <c r="A63" s="1005"/>
      <c r="B63" s="460"/>
      <c r="C63" s="460"/>
      <c r="D63" s="466" t="s">
        <v>1703</v>
      </c>
      <c r="E63" s="460"/>
      <c r="F63" s="1027">
        <v>10.199999999999999</v>
      </c>
      <c r="G63" s="1011"/>
      <c r="H63" s="1011"/>
      <c r="I63" s="1028"/>
      <c r="J63" s="1029"/>
      <c r="K63" s="1013"/>
    </row>
    <row r="64" spans="1:11" s="226" customFormat="1" ht="13.5" customHeight="1">
      <c r="A64" s="1030"/>
      <c r="B64" s="1031"/>
      <c r="C64" s="1031"/>
      <c r="D64" s="466" t="s">
        <v>1677</v>
      </c>
      <c r="E64" s="1031"/>
      <c r="F64" s="1031"/>
      <c r="G64" s="1032"/>
      <c r="H64" s="1011"/>
      <c r="I64" s="1028"/>
      <c r="J64" s="990"/>
    </row>
    <row r="65" spans="1:48" s="226" customFormat="1" ht="13.5" customHeight="1">
      <c r="A65" s="1030"/>
      <c r="B65" s="1031"/>
      <c r="C65" s="1031"/>
      <c r="D65" s="466" t="s">
        <v>1700</v>
      </c>
      <c r="E65" s="1031"/>
      <c r="F65" s="1031"/>
      <c r="G65" s="1032"/>
      <c r="H65" s="1011"/>
      <c r="I65" s="153"/>
      <c r="J65" s="990"/>
    </row>
    <row r="66" spans="1:48" s="226" customFormat="1" ht="13.5" customHeight="1">
      <c r="A66" s="1030"/>
      <c r="B66" s="1031"/>
      <c r="C66" s="1031"/>
      <c r="D66" s="466" t="s">
        <v>1679</v>
      </c>
      <c r="E66" s="1031"/>
      <c r="F66" s="1031"/>
      <c r="G66" s="1032"/>
      <c r="H66" s="1011"/>
      <c r="I66" s="153"/>
      <c r="J66" s="990"/>
    </row>
    <row r="67" spans="1:48" s="226" customFormat="1" ht="13.5" customHeight="1">
      <c r="A67" s="1030"/>
      <c r="B67" s="1031"/>
      <c r="C67" s="1031"/>
      <c r="D67" s="466" t="s">
        <v>1691</v>
      </c>
      <c r="E67" s="1031"/>
      <c r="F67" s="1031"/>
      <c r="G67" s="1032"/>
      <c r="H67" s="1011"/>
      <c r="I67" s="153"/>
      <c r="J67" s="990"/>
    </row>
    <row r="68" spans="1:48" s="226" customFormat="1" ht="13.5" customHeight="1">
      <c r="A68" s="1030"/>
      <c r="B68" s="1031"/>
      <c r="C68" s="1031"/>
      <c r="D68" s="466" t="s">
        <v>1681</v>
      </c>
      <c r="E68" s="1031"/>
      <c r="F68" s="1031"/>
      <c r="G68" s="1032"/>
      <c r="H68" s="1011"/>
      <c r="I68" s="153"/>
      <c r="J68" s="990"/>
    </row>
    <row r="69" spans="1:48" s="226" customFormat="1" ht="13.5" customHeight="1">
      <c r="A69" s="1030"/>
      <c r="B69" s="1031"/>
      <c r="C69" s="1031"/>
      <c r="D69" s="466" t="s">
        <v>1682</v>
      </c>
      <c r="E69" s="1031"/>
      <c r="F69" s="1031"/>
      <c r="G69" s="1032"/>
      <c r="H69" s="1011"/>
      <c r="I69" s="153"/>
      <c r="J69" s="990"/>
    </row>
    <row r="70" spans="1:48" s="238" customFormat="1" ht="13.5" customHeight="1">
      <c r="A70" s="1005">
        <v>8</v>
      </c>
      <c r="B70" s="460">
        <v>583</v>
      </c>
      <c r="C70" s="460" t="s">
        <v>1704</v>
      </c>
      <c r="D70" s="460" t="s">
        <v>1705</v>
      </c>
      <c r="E70" s="460" t="s">
        <v>165</v>
      </c>
      <c r="F70" s="1010">
        <f>F71</f>
        <v>20.6</v>
      </c>
      <c r="G70" s="1011"/>
      <c r="H70" s="1011">
        <f>F70*G70</f>
        <v>0</v>
      </c>
      <c r="I70" s="153" t="s">
        <v>112</v>
      </c>
      <c r="J70" s="1029"/>
      <c r="K70" s="1013"/>
    </row>
    <row r="71" spans="1:48" s="238" customFormat="1" ht="13.5" customHeight="1">
      <c r="A71" s="1005"/>
      <c r="B71" s="460"/>
      <c r="C71" s="460"/>
      <c r="D71" s="466" t="s">
        <v>1706</v>
      </c>
      <c r="E71" s="460"/>
      <c r="F71" s="1027">
        <v>20.6</v>
      </c>
      <c r="G71" s="1011"/>
      <c r="H71" s="1011"/>
      <c r="I71" s="1028"/>
      <c r="J71" s="1029"/>
      <c r="K71" s="1013"/>
    </row>
    <row r="72" spans="1:48" s="226" customFormat="1" ht="13.5" customHeight="1">
      <c r="A72" s="1030"/>
      <c r="B72" s="1031"/>
      <c r="C72" s="1031"/>
      <c r="D72" s="466" t="s">
        <v>1677</v>
      </c>
      <c r="E72" s="1031"/>
      <c r="F72" s="1031"/>
      <c r="G72" s="1032"/>
      <c r="H72" s="1011"/>
      <c r="I72" s="1028"/>
      <c r="J72" s="990"/>
    </row>
    <row r="73" spans="1:48" s="226" customFormat="1" ht="13.5" customHeight="1">
      <c r="A73" s="1030"/>
      <c r="B73" s="1031"/>
      <c r="C73" s="1031"/>
      <c r="D73" s="466" t="s">
        <v>1700</v>
      </c>
      <c r="E73" s="1031"/>
      <c r="F73" s="1031"/>
      <c r="G73" s="1032"/>
      <c r="H73" s="1011"/>
      <c r="I73" s="153"/>
      <c r="J73" s="990"/>
    </row>
    <row r="74" spans="1:48" s="226" customFormat="1" ht="13.5" customHeight="1">
      <c r="A74" s="1030"/>
      <c r="B74" s="1031"/>
      <c r="C74" s="1031"/>
      <c r="D74" s="466" t="s">
        <v>1679</v>
      </c>
      <c r="E74" s="1031"/>
      <c r="F74" s="1031"/>
      <c r="G74" s="1032"/>
      <c r="H74" s="1011"/>
      <c r="I74" s="153"/>
      <c r="J74" s="990"/>
    </row>
    <row r="75" spans="1:48" s="226" customFormat="1" ht="13.5" customHeight="1">
      <c r="A75" s="1030"/>
      <c r="B75" s="1031"/>
      <c r="C75" s="1031"/>
      <c r="D75" s="466" t="s">
        <v>1691</v>
      </c>
      <c r="E75" s="1031"/>
      <c r="F75" s="1031"/>
      <c r="G75" s="1032"/>
      <c r="H75" s="1011"/>
      <c r="I75" s="153"/>
      <c r="J75" s="990"/>
    </row>
    <row r="76" spans="1:48" s="226" customFormat="1" ht="13.5" customHeight="1">
      <c r="A76" s="1030"/>
      <c r="B76" s="1031"/>
      <c r="C76" s="1031"/>
      <c r="D76" s="466" t="s">
        <v>1681</v>
      </c>
      <c r="E76" s="1031"/>
      <c r="F76" s="1031"/>
      <c r="G76" s="1032"/>
      <c r="H76" s="1011"/>
      <c r="I76" s="153"/>
      <c r="J76" s="990"/>
    </row>
    <row r="77" spans="1:48" s="226" customFormat="1" ht="13.5" customHeight="1">
      <c r="A77" s="1030"/>
      <c r="B77" s="1031"/>
      <c r="C77" s="1031"/>
      <c r="D77" s="466" t="s">
        <v>1682</v>
      </c>
      <c r="E77" s="1031"/>
      <c r="F77" s="1031"/>
      <c r="G77" s="1032"/>
      <c r="H77" s="1011"/>
      <c r="I77" s="153"/>
      <c r="J77" s="990"/>
    </row>
    <row r="78" spans="1:48" s="1033" customFormat="1" ht="13.5" customHeight="1">
      <c r="A78" s="1005">
        <v>9</v>
      </c>
      <c r="B78" s="471" t="s">
        <v>1707</v>
      </c>
      <c r="C78" s="460" t="s">
        <v>1708</v>
      </c>
      <c r="D78" s="460" t="s">
        <v>1709</v>
      </c>
      <c r="E78" s="460" t="s">
        <v>165</v>
      </c>
      <c r="F78" s="1010">
        <f>F79</f>
        <v>298.5</v>
      </c>
      <c r="G78" s="1011"/>
      <c r="H78" s="1011">
        <f>F78*G78</f>
        <v>0</v>
      </c>
      <c r="I78" s="153" t="s">
        <v>112</v>
      </c>
      <c r="J78" s="1012"/>
      <c r="K78" s="1013"/>
      <c r="L78" s="238"/>
      <c r="M78" s="990"/>
      <c r="N78" s="238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3"/>
      <c r="AD78" s="463"/>
      <c r="AE78" s="463"/>
      <c r="AF78" s="463"/>
      <c r="AG78" s="463"/>
      <c r="AH78" s="463"/>
      <c r="AI78" s="463"/>
      <c r="AJ78" s="463"/>
      <c r="AK78" s="463"/>
      <c r="AL78" s="463"/>
      <c r="AM78" s="463"/>
      <c r="AN78" s="463"/>
      <c r="AO78" s="463"/>
      <c r="AP78" s="463"/>
      <c r="AQ78" s="463"/>
      <c r="AR78" s="463"/>
      <c r="AS78" s="463"/>
      <c r="AT78" s="463"/>
      <c r="AU78" s="463"/>
      <c r="AV78" s="463"/>
    </row>
    <row r="79" spans="1:48" s="1033" customFormat="1" ht="27" customHeight="1">
      <c r="A79" s="1005"/>
      <c r="B79" s="471"/>
      <c r="C79" s="460"/>
      <c r="D79" s="466" t="s">
        <v>1710</v>
      </c>
      <c r="E79" s="460"/>
      <c r="F79" s="1027">
        <f>F45+F37+F29+F21</f>
        <v>298.5</v>
      </c>
      <c r="G79" s="1032"/>
      <c r="H79" s="1011"/>
      <c r="I79" s="1028"/>
      <c r="J79" s="463"/>
      <c r="K79" s="1034"/>
      <c r="L79" s="463"/>
      <c r="M79" s="463"/>
      <c r="N79" s="463"/>
      <c r="O79" s="463"/>
      <c r="P79" s="463"/>
      <c r="Q79" s="463"/>
      <c r="R79" s="463"/>
      <c r="S79" s="463"/>
      <c r="T79" s="463"/>
      <c r="U79" s="463"/>
      <c r="V79" s="463"/>
      <c r="W79" s="463"/>
      <c r="X79" s="463"/>
      <c r="Y79" s="463"/>
      <c r="Z79" s="463"/>
      <c r="AA79" s="463"/>
      <c r="AB79" s="463"/>
      <c r="AC79" s="463"/>
      <c r="AD79" s="463"/>
      <c r="AE79" s="463"/>
      <c r="AF79" s="463"/>
      <c r="AG79" s="463"/>
      <c r="AH79" s="463"/>
      <c r="AI79" s="463"/>
      <c r="AJ79" s="463"/>
      <c r="AK79" s="463"/>
      <c r="AL79" s="463"/>
      <c r="AM79" s="463"/>
      <c r="AN79" s="463"/>
      <c r="AO79" s="463"/>
      <c r="AP79" s="463"/>
      <c r="AQ79" s="463"/>
      <c r="AR79" s="463"/>
      <c r="AS79" s="463"/>
      <c r="AT79" s="463"/>
      <c r="AU79" s="463"/>
      <c r="AV79" s="463"/>
    </row>
    <row r="80" spans="1:48" s="1033" customFormat="1" ht="13.5" customHeight="1">
      <c r="A80" s="1005"/>
      <c r="B80" s="471"/>
      <c r="C80" s="460"/>
      <c r="D80" s="466" t="s">
        <v>1711</v>
      </c>
      <c r="E80" s="460"/>
      <c r="F80" s="1027"/>
      <c r="G80" s="1032"/>
      <c r="H80" s="1011"/>
      <c r="I80" s="1028"/>
      <c r="J80" s="463"/>
      <c r="K80" s="1034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63"/>
      <c r="Y80" s="463"/>
      <c r="Z80" s="463"/>
      <c r="AA80" s="463"/>
      <c r="AB80" s="463"/>
      <c r="AC80" s="463"/>
      <c r="AD80" s="463"/>
      <c r="AE80" s="463"/>
      <c r="AF80" s="463"/>
      <c r="AG80" s="463"/>
      <c r="AH80" s="463"/>
      <c r="AI80" s="463"/>
      <c r="AJ80" s="463"/>
      <c r="AK80" s="463"/>
      <c r="AL80" s="463"/>
      <c r="AM80" s="463"/>
      <c r="AN80" s="463"/>
      <c r="AO80" s="463"/>
      <c r="AP80" s="463"/>
      <c r="AQ80" s="463"/>
      <c r="AR80" s="463"/>
      <c r="AS80" s="463"/>
      <c r="AT80" s="463"/>
      <c r="AU80" s="463"/>
      <c r="AV80" s="463"/>
    </row>
    <row r="81" spans="1:48" s="1033" customFormat="1" ht="13.5" customHeight="1">
      <c r="A81" s="1005"/>
      <c r="B81" s="471"/>
      <c r="C81" s="460"/>
      <c r="D81" s="466" t="s">
        <v>1712</v>
      </c>
      <c r="E81" s="460"/>
      <c r="F81" s="1027"/>
      <c r="G81" s="1032"/>
      <c r="H81" s="1011"/>
      <c r="I81" s="1028"/>
      <c r="J81" s="463"/>
      <c r="K81" s="1034"/>
      <c r="L81" s="463"/>
      <c r="M81" s="463"/>
      <c r="N81" s="463"/>
      <c r="O81" s="463"/>
      <c r="P81" s="463"/>
      <c r="Q81" s="463"/>
      <c r="R81" s="463"/>
      <c r="S81" s="463"/>
      <c r="T81" s="463"/>
      <c r="U81" s="463"/>
      <c r="V81" s="463"/>
      <c r="W81" s="463"/>
      <c r="X81" s="463"/>
      <c r="Y81" s="463"/>
      <c r="Z81" s="463"/>
      <c r="AA81" s="463"/>
      <c r="AB81" s="463"/>
      <c r="AC81" s="463"/>
      <c r="AD81" s="463"/>
      <c r="AE81" s="463"/>
      <c r="AF81" s="463"/>
      <c r="AG81" s="463"/>
      <c r="AH81" s="463"/>
      <c r="AI81" s="463"/>
      <c r="AJ81" s="463"/>
      <c r="AK81" s="463"/>
      <c r="AL81" s="463"/>
      <c r="AM81" s="463"/>
      <c r="AN81" s="463"/>
      <c r="AO81" s="463"/>
      <c r="AP81" s="463"/>
      <c r="AQ81" s="463"/>
      <c r="AR81" s="463"/>
      <c r="AS81" s="463"/>
      <c r="AT81" s="463"/>
      <c r="AU81" s="463"/>
      <c r="AV81" s="463"/>
    </row>
    <row r="82" spans="1:48" s="1033" customFormat="1" ht="13.5" customHeight="1">
      <c r="A82" s="1005"/>
      <c r="B82" s="471"/>
      <c r="C82" s="460"/>
      <c r="D82" s="466" t="s">
        <v>1713</v>
      </c>
      <c r="E82" s="460"/>
      <c r="F82" s="1027"/>
      <c r="G82" s="1032"/>
      <c r="H82" s="1011"/>
      <c r="I82" s="1028"/>
      <c r="J82" s="463"/>
      <c r="K82" s="1034"/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463"/>
      <c r="X82" s="463"/>
      <c r="Y82" s="463"/>
      <c r="Z82" s="463"/>
      <c r="AA82" s="463"/>
      <c r="AB82" s="463"/>
      <c r="AC82" s="463"/>
      <c r="AD82" s="463"/>
      <c r="AE82" s="463"/>
      <c r="AF82" s="463"/>
      <c r="AG82" s="463"/>
      <c r="AH82" s="463"/>
      <c r="AI82" s="463"/>
      <c r="AJ82" s="463"/>
      <c r="AK82" s="463"/>
      <c r="AL82" s="463"/>
      <c r="AM82" s="463"/>
      <c r="AN82" s="463"/>
      <c r="AO82" s="463"/>
      <c r="AP82" s="463"/>
      <c r="AQ82" s="463"/>
      <c r="AR82" s="463"/>
      <c r="AS82" s="463"/>
      <c r="AT82" s="463"/>
      <c r="AU82" s="463"/>
      <c r="AV82" s="463"/>
    </row>
    <row r="83" spans="1:48" s="1033" customFormat="1" ht="13.5" customHeight="1">
      <c r="A83" s="1005"/>
      <c r="B83" s="471"/>
      <c r="C83" s="460"/>
      <c r="D83" s="466" t="s">
        <v>1682</v>
      </c>
      <c r="E83" s="460"/>
      <c r="F83" s="1027"/>
      <c r="G83" s="1032"/>
      <c r="H83" s="1011"/>
      <c r="I83" s="1028"/>
      <c r="J83" s="463"/>
      <c r="K83" s="1034"/>
      <c r="L83" s="463"/>
      <c r="M83" s="463"/>
      <c r="N83" s="463"/>
      <c r="O83" s="463"/>
      <c r="P83" s="463"/>
      <c r="Q83" s="463"/>
      <c r="R83" s="463"/>
      <c r="S83" s="463"/>
      <c r="T83" s="463"/>
      <c r="U83" s="463"/>
      <c r="V83" s="463"/>
      <c r="W83" s="463"/>
      <c r="X83" s="463"/>
      <c r="Y83" s="463"/>
      <c r="Z83" s="463"/>
      <c r="AA83" s="463"/>
      <c r="AB83" s="463"/>
      <c r="AC83" s="463"/>
      <c r="AD83" s="463"/>
      <c r="AE83" s="463"/>
      <c r="AF83" s="463"/>
      <c r="AG83" s="463"/>
      <c r="AH83" s="463"/>
      <c r="AI83" s="463"/>
      <c r="AJ83" s="463"/>
      <c r="AK83" s="463"/>
      <c r="AL83" s="463"/>
      <c r="AM83" s="463"/>
      <c r="AN83" s="463"/>
      <c r="AO83" s="463"/>
      <c r="AP83" s="463"/>
      <c r="AQ83" s="463"/>
      <c r="AR83" s="463"/>
      <c r="AS83" s="463"/>
      <c r="AT83" s="463"/>
      <c r="AU83" s="463"/>
      <c r="AV83" s="463"/>
    </row>
    <row r="84" spans="1:48" s="1033" customFormat="1" ht="13.5" customHeight="1">
      <c r="A84" s="1005">
        <v>10</v>
      </c>
      <c r="B84" s="471" t="s">
        <v>1707</v>
      </c>
      <c r="C84" s="460" t="s">
        <v>1714</v>
      </c>
      <c r="D84" s="460" t="s">
        <v>1715</v>
      </c>
      <c r="E84" s="460" t="s">
        <v>142</v>
      </c>
      <c r="F84" s="1010">
        <f>SUM(F85:F85)</f>
        <v>57.8</v>
      </c>
      <c r="G84" s="1011"/>
      <c r="H84" s="1011">
        <f>F84*G84</f>
        <v>0</v>
      </c>
      <c r="I84" s="153" t="s">
        <v>112</v>
      </c>
      <c r="J84" s="1012"/>
      <c r="K84" s="1013"/>
      <c r="L84" s="238"/>
      <c r="M84" s="990"/>
      <c r="N84" s="238"/>
      <c r="O84" s="463"/>
      <c r="P84" s="463"/>
      <c r="Q84" s="463"/>
      <c r="R84" s="463"/>
      <c r="S84" s="463"/>
      <c r="T84" s="463"/>
      <c r="U84" s="463"/>
      <c r="V84" s="463"/>
      <c r="W84" s="463"/>
      <c r="X84" s="463"/>
      <c r="Y84" s="463"/>
      <c r="Z84" s="463"/>
      <c r="AA84" s="463"/>
      <c r="AB84" s="463"/>
      <c r="AC84" s="463"/>
      <c r="AD84" s="463"/>
      <c r="AE84" s="463"/>
      <c r="AF84" s="463"/>
      <c r="AG84" s="463"/>
      <c r="AH84" s="463"/>
      <c r="AI84" s="463"/>
      <c r="AJ84" s="463"/>
      <c r="AK84" s="463"/>
      <c r="AL84" s="463"/>
      <c r="AM84" s="463"/>
      <c r="AN84" s="463"/>
      <c r="AO84" s="463"/>
      <c r="AP84" s="463"/>
      <c r="AQ84" s="463"/>
      <c r="AR84" s="463"/>
      <c r="AS84" s="463"/>
      <c r="AT84" s="463"/>
      <c r="AU84" s="463"/>
      <c r="AV84" s="463"/>
    </row>
    <row r="85" spans="1:48" s="1033" customFormat="1" ht="13.5" customHeight="1">
      <c r="A85" s="1005"/>
      <c r="B85" s="471"/>
      <c r="C85" s="460"/>
      <c r="D85" s="466" t="s">
        <v>1716</v>
      </c>
      <c r="E85" s="460"/>
      <c r="F85" s="1027">
        <v>57.8</v>
      </c>
      <c r="G85" s="1032"/>
      <c r="H85" s="1011"/>
      <c r="I85" s="1018"/>
      <c r="J85" s="463"/>
      <c r="K85" s="1035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3"/>
      <c r="AD85" s="463"/>
      <c r="AE85" s="463"/>
      <c r="AF85" s="463"/>
      <c r="AG85" s="463"/>
      <c r="AH85" s="463"/>
      <c r="AI85" s="463"/>
      <c r="AJ85" s="463"/>
      <c r="AK85" s="463"/>
      <c r="AL85" s="463"/>
      <c r="AM85" s="463"/>
      <c r="AN85" s="463"/>
      <c r="AO85" s="463"/>
      <c r="AP85" s="463"/>
      <c r="AQ85" s="463"/>
      <c r="AR85" s="463"/>
      <c r="AS85" s="463"/>
      <c r="AT85" s="463"/>
      <c r="AU85" s="463"/>
      <c r="AV85" s="463"/>
    </row>
    <row r="86" spans="1:48" s="1033" customFormat="1" ht="13.5" customHeight="1">
      <c r="A86" s="1005"/>
      <c r="B86" s="471"/>
      <c r="C86" s="460"/>
      <c r="D86" s="466" t="s">
        <v>1717</v>
      </c>
      <c r="E86" s="460"/>
      <c r="F86" s="1027"/>
      <c r="G86" s="1032"/>
      <c r="H86" s="1011"/>
      <c r="I86" s="1018"/>
      <c r="J86" s="463"/>
      <c r="K86" s="1035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3"/>
      <c r="AD86" s="463"/>
      <c r="AE86" s="463"/>
      <c r="AF86" s="463"/>
      <c r="AG86" s="463"/>
      <c r="AH86" s="463"/>
      <c r="AI86" s="463"/>
      <c r="AJ86" s="463"/>
      <c r="AK86" s="463"/>
      <c r="AL86" s="463"/>
      <c r="AM86" s="463"/>
      <c r="AN86" s="463"/>
      <c r="AO86" s="463"/>
      <c r="AP86" s="463"/>
      <c r="AQ86" s="463"/>
      <c r="AR86" s="463"/>
      <c r="AS86" s="463"/>
      <c r="AT86" s="463"/>
      <c r="AU86" s="463"/>
      <c r="AV86" s="463"/>
    </row>
    <row r="87" spans="1:48" s="1033" customFormat="1" ht="13.5" customHeight="1">
      <c r="A87" s="1005"/>
      <c r="B87" s="471"/>
      <c r="C87" s="460"/>
      <c r="D87" s="466" t="s">
        <v>1711</v>
      </c>
      <c r="E87" s="460"/>
      <c r="F87" s="1027"/>
      <c r="G87" s="1032"/>
      <c r="H87" s="1011"/>
      <c r="I87" s="1028"/>
      <c r="J87" s="463"/>
      <c r="K87" s="1035"/>
      <c r="L87" s="463"/>
      <c r="M87" s="463"/>
      <c r="N87" s="463"/>
      <c r="O87" s="463"/>
      <c r="P87" s="463"/>
      <c r="Q87" s="463"/>
      <c r="R87" s="463"/>
      <c r="S87" s="463"/>
      <c r="T87" s="463"/>
      <c r="U87" s="463"/>
      <c r="V87" s="463"/>
      <c r="W87" s="463"/>
      <c r="X87" s="463"/>
      <c r="Y87" s="463"/>
      <c r="Z87" s="463"/>
      <c r="AA87" s="463"/>
      <c r="AB87" s="463"/>
      <c r="AC87" s="463"/>
      <c r="AD87" s="463"/>
      <c r="AE87" s="463"/>
      <c r="AF87" s="463"/>
      <c r="AG87" s="463"/>
      <c r="AH87" s="463"/>
      <c r="AI87" s="463"/>
      <c r="AJ87" s="463"/>
      <c r="AK87" s="463"/>
      <c r="AL87" s="463"/>
      <c r="AM87" s="463"/>
      <c r="AN87" s="463"/>
      <c r="AO87" s="463"/>
      <c r="AP87" s="463"/>
      <c r="AQ87" s="463"/>
      <c r="AR87" s="463"/>
      <c r="AS87" s="463"/>
      <c r="AT87" s="463"/>
      <c r="AU87" s="463"/>
      <c r="AV87" s="463"/>
    </row>
    <row r="88" spans="1:48" s="1033" customFormat="1" ht="13.5" customHeight="1">
      <c r="A88" s="1005"/>
      <c r="B88" s="471"/>
      <c r="C88" s="460"/>
      <c r="D88" s="466" t="s">
        <v>1718</v>
      </c>
      <c r="E88" s="460"/>
      <c r="F88" s="1027"/>
      <c r="G88" s="1032"/>
      <c r="H88" s="1011"/>
      <c r="I88" s="1028"/>
      <c r="J88" s="463"/>
      <c r="K88" s="1034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63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J88" s="463"/>
      <c r="AK88" s="463"/>
      <c r="AL88" s="463"/>
      <c r="AM88" s="463"/>
      <c r="AN88" s="463"/>
      <c r="AO88" s="463"/>
      <c r="AP88" s="463"/>
      <c r="AQ88" s="463"/>
      <c r="AR88" s="463"/>
      <c r="AS88" s="463"/>
      <c r="AT88" s="463"/>
      <c r="AU88" s="463"/>
      <c r="AV88" s="463"/>
    </row>
    <row r="89" spans="1:48" s="1033" customFormat="1" ht="13.5" customHeight="1">
      <c r="A89" s="1005"/>
      <c r="B89" s="471"/>
      <c r="C89" s="460"/>
      <c r="D89" s="466" t="s">
        <v>1719</v>
      </c>
      <c r="E89" s="460"/>
      <c r="F89" s="1027"/>
      <c r="G89" s="1032"/>
      <c r="H89" s="1011"/>
      <c r="I89" s="1028"/>
      <c r="J89" s="463"/>
      <c r="K89" s="1034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3"/>
      <c r="W89" s="463"/>
      <c r="X89" s="463"/>
      <c r="Y89" s="463"/>
      <c r="Z89" s="463"/>
      <c r="AA89" s="463"/>
      <c r="AB89" s="463"/>
      <c r="AC89" s="463"/>
      <c r="AD89" s="463"/>
      <c r="AE89" s="463"/>
      <c r="AF89" s="463"/>
      <c r="AG89" s="463"/>
      <c r="AH89" s="463"/>
      <c r="AI89" s="463"/>
      <c r="AJ89" s="463"/>
      <c r="AK89" s="463"/>
      <c r="AL89" s="463"/>
      <c r="AM89" s="463"/>
      <c r="AN89" s="463"/>
      <c r="AO89" s="463"/>
      <c r="AP89" s="463"/>
      <c r="AQ89" s="463"/>
      <c r="AR89" s="463"/>
      <c r="AS89" s="463"/>
      <c r="AT89" s="463"/>
      <c r="AU89" s="463"/>
      <c r="AV89" s="463"/>
    </row>
    <row r="90" spans="1:48" s="1033" customFormat="1" ht="13.5" customHeight="1">
      <c r="A90" s="1005"/>
      <c r="B90" s="471"/>
      <c r="C90" s="460"/>
      <c r="D90" s="466" t="s">
        <v>1720</v>
      </c>
      <c r="E90" s="460"/>
      <c r="F90" s="1027"/>
      <c r="G90" s="1032"/>
      <c r="H90" s="1011"/>
      <c r="I90" s="1028"/>
      <c r="J90" s="463"/>
      <c r="K90" s="1034"/>
      <c r="L90" s="463"/>
      <c r="M90" s="463"/>
      <c r="N90" s="463"/>
      <c r="O90" s="463"/>
      <c r="P90" s="463"/>
      <c r="Q90" s="463"/>
      <c r="R90" s="463"/>
      <c r="S90" s="463"/>
      <c r="T90" s="463"/>
      <c r="U90" s="463"/>
      <c r="V90" s="463"/>
      <c r="W90" s="463"/>
      <c r="X90" s="463"/>
      <c r="Y90" s="463"/>
      <c r="Z90" s="463"/>
      <c r="AA90" s="463"/>
      <c r="AB90" s="463"/>
      <c r="AC90" s="463"/>
      <c r="AD90" s="463"/>
      <c r="AE90" s="463"/>
      <c r="AF90" s="463"/>
      <c r="AG90" s="463"/>
      <c r="AH90" s="463"/>
      <c r="AI90" s="463"/>
      <c r="AJ90" s="463"/>
      <c r="AK90" s="463"/>
      <c r="AL90" s="463"/>
      <c r="AM90" s="463"/>
      <c r="AN90" s="463"/>
      <c r="AO90" s="463"/>
      <c r="AP90" s="463"/>
      <c r="AQ90" s="463"/>
      <c r="AR90" s="463"/>
      <c r="AS90" s="463"/>
      <c r="AT90" s="463"/>
      <c r="AU90" s="463"/>
      <c r="AV90" s="463"/>
    </row>
    <row r="91" spans="1:48" s="1033" customFormat="1" ht="13.5" customHeight="1">
      <c r="A91" s="1005"/>
      <c r="B91" s="471"/>
      <c r="C91" s="460"/>
      <c r="D91" s="466" t="s">
        <v>1682</v>
      </c>
      <c r="E91" s="460"/>
      <c r="F91" s="1027"/>
      <c r="G91" s="1032"/>
      <c r="H91" s="1011"/>
      <c r="I91" s="1028"/>
      <c r="J91" s="463"/>
      <c r="K91" s="1034"/>
      <c r="L91" s="463"/>
      <c r="M91" s="463"/>
      <c r="N91" s="463"/>
      <c r="O91" s="463"/>
      <c r="P91" s="463"/>
      <c r="Q91" s="463"/>
      <c r="R91" s="463"/>
      <c r="S91" s="463"/>
      <c r="T91" s="463"/>
      <c r="U91" s="463"/>
      <c r="V91" s="463"/>
      <c r="W91" s="463"/>
      <c r="X91" s="463"/>
      <c r="Y91" s="463"/>
      <c r="Z91" s="463"/>
      <c r="AA91" s="463"/>
      <c r="AB91" s="463"/>
      <c r="AC91" s="463"/>
      <c r="AD91" s="463"/>
      <c r="AE91" s="463"/>
      <c r="AF91" s="463"/>
      <c r="AG91" s="463"/>
      <c r="AH91" s="463"/>
      <c r="AI91" s="463"/>
      <c r="AJ91" s="463"/>
      <c r="AK91" s="463"/>
      <c r="AL91" s="463"/>
      <c r="AM91" s="463"/>
      <c r="AN91" s="463"/>
      <c r="AO91" s="463"/>
      <c r="AP91" s="463"/>
      <c r="AQ91" s="463"/>
      <c r="AR91" s="463"/>
      <c r="AS91" s="463"/>
      <c r="AT91" s="463"/>
      <c r="AU91" s="463"/>
      <c r="AV91" s="463"/>
    </row>
    <row r="92" spans="1:48" s="1033" customFormat="1" ht="13.5" customHeight="1">
      <c r="A92" s="1005">
        <v>11</v>
      </c>
      <c r="B92" s="471" t="s">
        <v>1707</v>
      </c>
      <c r="C92" s="460" t="s">
        <v>1721</v>
      </c>
      <c r="D92" s="460" t="s">
        <v>1722</v>
      </c>
      <c r="E92" s="460" t="s">
        <v>210</v>
      </c>
      <c r="F92" s="1010">
        <f>SUM(F93:F93)</f>
        <v>22</v>
      </c>
      <c r="G92" s="1011"/>
      <c r="H92" s="1011">
        <f>F92*G92</f>
        <v>0</v>
      </c>
      <c r="I92" s="153" t="s">
        <v>112</v>
      </c>
      <c r="J92" s="1012"/>
      <c r="K92" s="1013"/>
      <c r="L92" s="238"/>
      <c r="M92" s="990"/>
      <c r="N92" s="238"/>
      <c r="O92" s="463"/>
      <c r="P92" s="463"/>
      <c r="Q92" s="463"/>
      <c r="R92" s="463"/>
      <c r="S92" s="463"/>
      <c r="T92" s="463"/>
      <c r="U92" s="463"/>
      <c r="V92" s="463"/>
      <c r="W92" s="463"/>
      <c r="X92" s="463"/>
      <c r="Y92" s="463"/>
      <c r="Z92" s="463"/>
      <c r="AA92" s="463"/>
      <c r="AB92" s="463"/>
      <c r="AC92" s="463"/>
      <c r="AD92" s="463"/>
      <c r="AE92" s="463"/>
      <c r="AF92" s="463"/>
      <c r="AG92" s="463"/>
      <c r="AH92" s="463"/>
      <c r="AI92" s="463"/>
      <c r="AJ92" s="463"/>
      <c r="AK92" s="463"/>
      <c r="AL92" s="463"/>
      <c r="AM92" s="463"/>
      <c r="AN92" s="463"/>
      <c r="AO92" s="463"/>
      <c r="AP92" s="463"/>
      <c r="AQ92" s="463"/>
      <c r="AR92" s="463"/>
      <c r="AS92" s="463"/>
      <c r="AT92" s="463"/>
      <c r="AU92" s="463"/>
      <c r="AV92" s="463"/>
    </row>
    <row r="93" spans="1:48" s="1033" customFormat="1" ht="13.5" customHeight="1">
      <c r="A93" s="1005"/>
      <c r="B93" s="471"/>
      <c r="C93" s="460"/>
      <c r="D93" s="466" t="s">
        <v>1723</v>
      </c>
      <c r="E93" s="460"/>
      <c r="F93" s="1027">
        <v>22</v>
      </c>
      <c r="G93" s="1032"/>
      <c r="H93" s="1011"/>
      <c r="I93" s="1018"/>
      <c r="J93" s="463"/>
      <c r="K93" s="1035"/>
      <c r="L93" s="463"/>
      <c r="M93" s="463"/>
      <c r="N93" s="463"/>
      <c r="O93" s="463"/>
      <c r="P93" s="463"/>
      <c r="Q93" s="463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3"/>
      <c r="AD93" s="463"/>
      <c r="AE93" s="463"/>
      <c r="AF93" s="463"/>
      <c r="AG93" s="463"/>
      <c r="AH93" s="463"/>
      <c r="AI93" s="463"/>
      <c r="AJ93" s="463"/>
      <c r="AK93" s="463"/>
      <c r="AL93" s="463"/>
      <c r="AM93" s="463"/>
      <c r="AN93" s="463"/>
      <c r="AO93" s="463"/>
      <c r="AP93" s="463"/>
      <c r="AQ93" s="463"/>
      <c r="AR93" s="463"/>
      <c r="AS93" s="463"/>
      <c r="AT93" s="463"/>
      <c r="AU93" s="463"/>
      <c r="AV93" s="463"/>
    </row>
    <row r="94" spans="1:48" s="1033" customFormat="1" ht="13.5" customHeight="1">
      <c r="A94" s="1005"/>
      <c r="B94" s="471"/>
      <c r="C94" s="460"/>
      <c r="D94" s="466" t="s">
        <v>1717</v>
      </c>
      <c r="E94" s="460"/>
      <c r="F94" s="1027"/>
      <c r="G94" s="1032"/>
      <c r="H94" s="1011"/>
      <c r="I94" s="1018"/>
      <c r="J94" s="463"/>
      <c r="K94" s="1035"/>
      <c r="L94" s="463"/>
      <c r="M94" s="463"/>
      <c r="N94" s="463"/>
      <c r="O94" s="463"/>
      <c r="P94" s="463"/>
      <c r="Q94" s="463"/>
      <c r="R94" s="463"/>
      <c r="S94" s="463"/>
      <c r="T94" s="463"/>
      <c r="U94" s="463"/>
      <c r="V94" s="463"/>
      <c r="W94" s="463"/>
      <c r="X94" s="463"/>
      <c r="Y94" s="463"/>
      <c r="Z94" s="463"/>
      <c r="AA94" s="463"/>
      <c r="AB94" s="463"/>
      <c r="AC94" s="463"/>
      <c r="AD94" s="463"/>
      <c r="AE94" s="463"/>
      <c r="AF94" s="463"/>
      <c r="AG94" s="463"/>
      <c r="AH94" s="463"/>
      <c r="AI94" s="463"/>
      <c r="AJ94" s="463"/>
      <c r="AK94" s="463"/>
      <c r="AL94" s="463"/>
      <c r="AM94" s="463"/>
      <c r="AN94" s="463"/>
      <c r="AO94" s="463"/>
      <c r="AP94" s="463"/>
      <c r="AQ94" s="463"/>
      <c r="AR94" s="463"/>
      <c r="AS94" s="463"/>
      <c r="AT94" s="463"/>
      <c r="AU94" s="463"/>
      <c r="AV94" s="463"/>
    </row>
    <row r="95" spans="1:48" s="1033" customFormat="1" ht="13.5" customHeight="1">
      <c r="A95" s="1005"/>
      <c r="B95" s="471"/>
      <c r="C95" s="460"/>
      <c r="D95" s="466" t="s">
        <v>1711</v>
      </c>
      <c r="E95" s="460"/>
      <c r="F95" s="1027"/>
      <c r="G95" s="1032"/>
      <c r="H95" s="1011"/>
      <c r="I95" s="1028"/>
      <c r="J95" s="463"/>
      <c r="K95" s="1035"/>
      <c r="L95" s="463"/>
      <c r="M95" s="463"/>
      <c r="N95" s="463"/>
      <c r="O95" s="463"/>
      <c r="P95" s="463"/>
      <c r="Q95" s="463"/>
      <c r="R95" s="463"/>
      <c r="S95" s="463"/>
      <c r="T95" s="463"/>
      <c r="U95" s="463"/>
      <c r="V95" s="463"/>
      <c r="W95" s="463"/>
      <c r="X95" s="463"/>
      <c r="Y95" s="463"/>
      <c r="Z95" s="463"/>
      <c r="AA95" s="463"/>
      <c r="AB95" s="463"/>
      <c r="AC95" s="463"/>
      <c r="AD95" s="463"/>
      <c r="AE95" s="463"/>
      <c r="AF95" s="463"/>
      <c r="AG95" s="463"/>
      <c r="AH95" s="463"/>
      <c r="AI95" s="463"/>
      <c r="AJ95" s="463"/>
      <c r="AK95" s="463"/>
      <c r="AL95" s="463"/>
      <c r="AM95" s="463"/>
      <c r="AN95" s="463"/>
      <c r="AO95" s="463"/>
      <c r="AP95" s="463"/>
      <c r="AQ95" s="463"/>
      <c r="AR95" s="463"/>
      <c r="AS95" s="463"/>
      <c r="AT95" s="463"/>
      <c r="AU95" s="463"/>
      <c r="AV95" s="463"/>
    </row>
    <row r="96" spans="1:48" s="1033" customFormat="1" ht="13.5" customHeight="1">
      <c r="A96" s="1005"/>
      <c r="B96" s="471"/>
      <c r="C96" s="460"/>
      <c r="D96" s="466" t="s">
        <v>1724</v>
      </c>
      <c r="E96" s="460"/>
      <c r="F96" s="1027"/>
      <c r="G96" s="1032"/>
      <c r="H96" s="1011"/>
      <c r="I96" s="1028"/>
      <c r="J96" s="463"/>
      <c r="K96" s="1034"/>
      <c r="L96" s="463"/>
      <c r="M96" s="463"/>
      <c r="N96" s="463"/>
      <c r="O96" s="463"/>
      <c r="P96" s="463"/>
      <c r="Q96" s="463"/>
      <c r="R96" s="463"/>
      <c r="S96" s="463"/>
      <c r="T96" s="463"/>
      <c r="U96" s="463"/>
      <c r="V96" s="463"/>
      <c r="W96" s="463"/>
      <c r="X96" s="463"/>
      <c r="Y96" s="463"/>
      <c r="Z96" s="463"/>
      <c r="AA96" s="463"/>
      <c r="AB96" s="463"/>
      <c r="AC96" s="463"/>
      <c r="AD96" s="463"/>
      <c r="AE96" s="463"/>
      <c r="AF96" s="463"/>
      <c r="AG96" s="463"/>
      <c r="AH96" s="463"/>
      <c r="AI96" s="463"/>
      <c r="AJ96" s="463"/>
      <c r="AK96" s="463"/>
      <c r="AL96" s="463"/>
      <c r="AM96" s="463"/>
      <c r="AN96" s="463"/>
      <c r="AO96" s="463"/>
      <c r="AP96" s="463"/>
      <c r="AQ96" s="463"/>
      <c r="AR96" s="463"/>
      <c r="AS96" s="463"/>
      <c r="AT96" s="463"/>
      <c r="AU96" s="463"/>
      <c r="AV96" s="463"/>
    </row>
    <row r="97" spans="1:48" s="1033" customFormat="1" ht="13.5" customHeight="1">
      <c r="A97" s="1005"/>
      <c r="B97" s="471"/>
      <c r="C97" s="460"/>
      <c r="D97" s="466" t="s">
        <v>1725</v>
      </c>
      <c r="E97" s="460"/>
      <c r="F97" s="1027"/>
      <c r="G97" s="1032"/>
      <c r="H97" s="1011"/>
      <c r="I97" s="1028"/>
      <c r="J97" s="463"/>
      <c r="K97" s="1034"/>
      <c r="L97" s="463"/>
      <c r="M97" s="463"/>
      <c r="N97" s="463"/>
      <c r="O97" s="463"/>
      <c r="P97" s="463"/>
      <c r="Q97" s="463"/>
      <c r="R97" s="463"/>
      <c r="S97" s="463"/>
      <c r="T97" s="463"/>
      <c r="U97" s="463"/>
      <c r="V97" s="463"/>
      <c r="W97" s="463"/>
      <c r="X97" s="463"/>
      <c r="Y97" s="463"/>
      <c r="Z97" s="463"/>
      <c r="AA97" s="463"/>
      <c r="AB97" s="463"/>
      <c r="AC97" s="463"/>
      <c r="AD97" s="463"/>
      <c r="AE97" s="463"/>
      <c r="AF97" s="463"/>
      <c r="AG97" s="463"/>
      <c r="AH97" s="463"/>
      <c r="AI97" s="463"/>
      <c r="AJ97" s="463"/>
      <c r="AK97" s="463"/>
      <c r="AL97" s="463"/>
      <c r="AM97" s="463"/>
      <c r="AN97" s="463"/>
      <c r="AO97" s="463"/>
      <c r="AP97" s="463"/>
      <c r="AQ97" s="463"/>
      <c r="AR97" s="463"/>
      <c r="AS97" s="463"/>
      <c r="AT97" s="463"/>
      <c r="AU97" s="463"/>
      <c r="AV97" s="463"/>
    </row>
    <row r="98" spans="1:48" s="1033" customFormat="1" ht="27" customHeight="1">
      <c r="A98" s="1005"/>
      <c r="B98" s="471"/>
      <c r="C98" s="460"/>
      <c r="D98" s="466" t="s">
        <v>1726</v>
      </c>
      <c r="E98" s="460"/>
      <c r="F98" s="1027"/>
      <c r="G98" s="1032"/>
      <c r="H98" s="1011"/>
      <c r="I98" s="1028"/>
      <c r="J98" s="463"/>
      <c r="K98" s="1034"/>
      <c r="L98" s="463"/>
      <c r="M98" s="463"/>
      <c r="N98" s="463"/>
      <c r="O98" s="463"/>
      <c r="P98" s="463"/>
      <c r="Q98" s="463"/>
      <c r="R98" s="463"/>
      <c r="S98" s="463"/>
      <c r="T98" s="463"/>
      <c r="U98" s="463"/>
      <c r="V98" s="463"/>
      <c r="W98" s="463"/>
      <c r="X98" s="463"/>
      <c r="Y98" s="463"/>
      <c r="Z98" s="463"/>
      <c r="AA98" s="463"/>
      <c r="AB98" s="463"/>
      <c r="AC98" s="463"/>
      <c r="AD98" s="463"/>
      <c r="AE98" s="463"/>
      <c r="AF98" s="463"/>
      <c r="AG98" s="463"/>
      <c r="AH98" s="463"/>
      <c r="AI98" s="463"/>
      <c r="AJ98" s="463"/>
      <c r="AK98" s="463"/>
      <c r="AL98" s="463"/>
      <c r="AM98" s="463"/>
      <c r="AN98" s="463"/>
      <c r="AO98" s="463"/>
      <c r="AP98" s="463"/>
      <c r="AQ98" s="463"/>
      <c r="AR98" s="463"/>
      <c r="AS98" s="463"/>
      <c r="AT98" s="463"/>
      <c r="AU98" s="463"/>
      <c r="AV98" s="463"/>
    </row>
    <row r="99" spans="1:48" s="1033" customFormat="1" ht="13.5" customHeight="1">
      <c r="A99" s="1005"/>
      <c r="B99" s="471"/>
      <c r="C99" s="460"/>
      <c r="D99" s="466" t="s">
        <v>1682</v>
      </c>
      <c r="E99" s="460"/>
      <c r="F99" s="1027"/>
      <c r="G99" s="1032"/>
      <c r="H99" s="1011"/>
      <c r="I99" s="1028"/>
      <c r="J99" s="463"/>
      <c r="K99" s="1034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  <c r="X99" s="463"/>
      <c r="Y99" s="463"/>
      <c r="Z99" s="463"/>
      <c r="AA99" s="463"/>
      <c r="AB99" s="463"/>
      <c r="AC99" s="463"/>
      <c r="AD99" s="463"/>
      <c r="AE99" s="463"/>
      <c r="AF99" s="463"/>
      <c r="AG99" s="463"/>
      <c r="AH99" s="463"/>
      <c r="AI99" s="463"/>
      <c r="AJ99" s="463"/>
      <c r="AK99" s="463"/>
      <c r="AL99" s="463"/>
      <c r="AM99" s="463"/>
      <c r="AN99" s="463"/>
      <c r="AO99" s="463"/>
      <c r="AP99" s="463"/>
      <c r="AQ99" s="463"/>
      <c r="AR99" s="463"/>
      <c r="AS99" s="463"/>
      <c r="AT99" s="463"/>
      <c r="AU99" s="463"/>
      <c r="AV99" s="463"/>
    </row>
    <row r="100" spans="1:48" s="463" customFormat="1" ht="13.5" customHeight="1">
      <c r="A100" s="1005"/>
      <c r="B100" s="1005"/>
      <c r="C100" s="455" t="s">
        <v>363</v>
      </c>
      <c r="D100" s="455" t="s">
        <v>364</v>
      </c>
      <c r="E100" s="455"/>
      <c r="F100" s="1006"/>
      <c r="G100" s="1007"/>
      <c r="H100" s="1007">
        <f>SUM(H101:H107)</f>
        <v>0</v>
      </c>
      <c r="I100" s="457"/>
      <c r="J100" s="1036"/>
      <c r="Q100" s="1037"/>
    </row>
    <row r="101" spans="1:48" s="463" customFormat="1" ht="13.5" customHeight="1">
      <c r="A101" s="1005">
        <v>12</v>
      </c>
      <c r="B101" s="471" t="s">
        <v>1727</v>
      </c>
      <c r="C101" s="460" t="s">
        <v>366</v>
      </c>
      <c r="D101" s="460" t="s">
        <v>1728</v>
      </c>
      <c r="E101" s="460" t="s">
        <v>49</v>
      </c>
      <c r="F101" s="1010">
        <f>F102</f>
        <v>1</v>
      </c>
      <c r="G101" s="1011"/>
      <c r="H101" s="1011">
        <f>F101*G101</f>
        <v>0</v>
      </c>
      <c r="I101" s="153" t="s">
        <v>112</v>
      </c>
      <c r="J101" s="1036"/>
      <c r="S101" s="1037"/>
    </row>
    <row r="102" spans="1:48" s="463" customFormat="1" ht="13.5" customHeight="1">
      <c r="A102" s="1005"/>
      <c r="B102" s="471"/>
      <c r="C102" s="460"/>
      <c r="D102" s="466" t="s">
        <v>1729</v>
      </c>
      <c r="E102" s="460"/>
      <c r="F102" s="1027">
        <v>1</v>
      </c>
      <c r="G102" s="1011"/>
      <c r="H102" s="1011"/>
      <c r="I102" s="1028"/>
      <c r="J102" s="238"/>
    </row>
    <row r="103" spans="1:48" s="463" customFormat="1" ht="27" customHeight="1">
      <c r="A103" s="1005"/>
      <c r="B103" s="471"/>
      <c r="C103" s="460"/>
      <c r="D103" s="466" t="s">
        <v>1730</v>
      </c>
      <c r="E103" s="460"/>
      <c r="F103" s="1010"/>
      <c r="G103" s="1011"/>
      <c r="H103" s="1011"/>
      <c r="I103" s="1028"/>
      <c r="J103" s="238"/>
    </row>
    <row r="104" spans="1:48" s="463" customFormat="1" ht="13.5" customHeight="1">
      <c r="A104" s="1005"/>
      <c r="B104" s="471"/>
      <c r="C104" s="460"/>
      <c r="D104" s="466" t="s">
        <v>1731</v>
      </c>
      <c r="E104" s="460"/>
      <c r="F104" s="1010"/>
      <c r="G104" s="1011"/>
      <c r="H104" s="1011"/>
      <c r="I104" s="1028"/>
      <c r="J104" s="238"/>
    </row>
    <row r="105" spans="1:48" s="463" customFormat="1" ht="13.5" customHeight="1">
      <c r="A105" s="1005"/>
      <c r="B105" s="471"/>
      <c r="C105" s="460"/>
      <c r="D105" s="466" t="s">
        <v>1732</v>
      </c>
      <c r="E105" s="460"/>
      <c r="F105" s="1010"/>
      <c r="G105" s="1011"/>
      <c r="H105" s="1011"/>
      <c r="I105" s="1028"/>
      <c r="J105" s="1029"/>
    </row>
    <row r="106" spans="1:48" s="463" customFormat="1" ht="27" customHeight="1">
      <c r="A106" s="1005"/>
      <c r="B106" s="471"/>
      <c r="C106" s="460"/>
      <c r="D106" s="466" t="s">
        <v>1733</v>
      </c>
      <c r="E106" s="460"/>
      <c r="F106" s="1010"/>
      <c r="G106" s="1011"/>
      <c r="H106" s="1011"/>
      <c r="I106" s="1028"/>
      <c r="J106" s="1029"/>
    </row>
    <row r="107" spans="1:48" s="226" customFormat="1" ht="27" customHeight="1">
      <c r="A107" s="1030"/>
      <c r="B107" s="1031"/>
      <c r="C107" s="1031"/>
      <c r="D107" s="466" t="s">
        <v>1734</v>
      </c>
      <c r="E107" s="1031"/>
      <c r="F107" s="1031"/>
      <c r="G107" s="1032"/>
      <c r="H107" s="1011"/>
      <c r="I107" s="153"/>
      <c r="J107" s="238"/>
    </row>
    <row r="108" spans="1:48" ht="21" customHeight="1">
      <c r="A108" s="1038"/>
      <c r="B108" s="1039"/>
      <c r="C108" s="1039"/>
      <c r="D108" s="1039" t="s">
        <v>0</v>
      </c>
      <c r="E108" s="1039"/>
      <c r="F108" s="1040"/>
      <c r="G108" s="1041"/>
      <c r="H108" s="1041">
        <f>H7</f>
        <v>0</v>
      </c>
      <c r="I108" s="1042"/>
    </row>
    <row r="109" spans="1:48">
      <c r="A109" s="1043"/>
      <c r="B109" s="1043"/>
      <c r="C109" s="1044"/>
      <c r="D109" s="1044"/>
      <c r="E109" s="1045"/>
      <c r="F109" s="1046"/>
      <c r="G109" s="1047"/>
      <c r="H109" s="1047"/>
      <c r="I109" s="1048"/>
    </row>
    <row r="110" spans="1:48" ht="13.5" customHeight="1">
      <c r="A110" s="3088" t="s">
        <v>875</v>
      </c>
      <c r="B110" s="3089"/>
      <c r="C110" s="3090"/>
      <c r="D110" s="1049" t="s">
        <v>1735</v>
      </c>
      <c r="E110" s="1050"/>
      <c r="F110" s="1051"/>
      <c r="G110" s="1052"/>
      <c r="H110" s="1053">
        <f>H108</f>
        <v>0</v>
      </c>
      <c r="I110" s="1054"/>
    </row>
    <row r="111" spans="1:48" ht="13.5" customHeight="1">
      <c r="A111" s="1055"/>
      <c r="B111" s="1056"/>
      <c r="C111" s="1056"/>
      <c r="D111" s="1057"/>
      <c r="E111" s="1058"/>
      <c r="F111" s="1059"/>
      <c r="G111" s="1060"/>
      <c r="H111" s="1061"/>
      <c r="I111" s="1042"/>
    </row>
    <row r="112" spans="1:48" ht="13.5" customHeight="1">
      <c r="A112" s="1062" t="s">
        <v>1</v>
      </c>
      <c r="B112" s="1062"/>
      <c r="C112" s="1062"/>
      <c r="D112" s="1062"/>
      <c r="E112" s="1062"/>
      <c r="F112" s="1062"/>
      <c r="G112" s="1062"/>
      <c r="H112" s="1062"/>
      <c r="I112" s="1062"/>
    </row>
    <row r="113" spans="1:9" ht="27" customHeight="1">
      <c r="A113" s="3084" t="s">
        <v>877</v>
      </c>
      <c r="B113" s="3084"/>
      <c r="C113" s="3084"/>
      <c r="D113" s="3084"/>
      <c r="E113" s="3084"/>
      <c r="F113" s="3084"/>
      <c r="G113" s="3084"/>
      <c r="H113" s="1062"/>
      <c r="I113" s="1042"/>
    </row>
    <row r="114" spans="1:9" ht="93.75" customHeight="1">
      <c r="A114" s="3084" t="s">
        <v>104</v>
      </c>
      <c r="B114" s="3084"/>
      <c r="C114" s="3084"/>
      <c r="D114" s="3084"/>
      <c r="E114" s="3084"/>
      <c r="F114" s="3084"/>
      <c r="G114" s="3084"/>
      <c r="H114" s="1062"/>
      <c r="I114" s="1062"/>
    </row>
    <row r="115" spans="1:9" ht="13.5" customHeight="1">
      <c r="A115" s="3084" t="s">
        <v>105</v>
      </c>
      <c r="B115" s="3084"/>
      <c r="C115" s="3084"/>
      <c r="D115" s="3084"/>
      <c r="E115" s="3084"/>
      <c r="F115" s="3084"/>
      <c r="G115" s="3084"/>
      <c r="H115" s="1063"/>
      <c r="I115" s="1063"/>
    </row>
    <row r="116" spans="1:9" ht="13.5" customHeight="1">
      <c r="A116" s="3084" t="s">
        <v>106</v>
      </c>
      <c r="B116" s="3084"/>
      <c r="C116" s="3084"/>
      <c r="D116" s="3084"/>
      <c r="E116" s="3084"/>
      <c r="F116" s="3084"/>
      <c r="G116" s="3084"/>
      <c r="H116" s="1063"/>
      <c r="I116" s="1063"/>
    </row>
    <row r="117" spans="1:9" s="1287" customFormat="1" ht="94.5" customHeight="1">
      <c r="A117" s="3057" t="s">
        <v>1026</v>
      </c>
      <c r="B117" s="3057"/>
      <c r="C117" s="3057"/>
      <c r="D117" s="3057"/>
      <c r="E117" s="3057"/>
      <c r="F117" s="3057"/>
      <c r="G117" s="3057"/>
      <c r="H117" s="1368"/>
      <c r="I117" s="1733"/>
    </row>
  </sheetData>
  <mergeCells count="8">
    <mergeCell ref="A117:G117"/>
    <mergeCell ref="A116:G116"/>
    <mergeCell ref="A2:I2"/>
    <mergeCell ref="A3:D3"/>
    <mergeCell ref="A110:C110"/>
    <mergeCell ref="A113:G113"/>
    <mergeCell ref="A114:G114"/>
    <mergeCell ref="A115:G11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9" fitToHeight="9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1BDC-2587-4A40-A2DA-35E694618419}">
  <sheetPr>
    <pageSetUpPr fitToPage="1"/>
  </sheetPr>
  <dimension ref="A1:U56"/>
  <sheetViews>
    <sheetView zoomScaleNormal="100" workbookViewId="0"/>
  </sheetViews>
  <sheetFormatPr defaultRowHeight="15"/>
  <cols>
    <col min="1" max="1" width="4.83203125" style="985" customWidth="1"/>
    <col min="2" max="2" width="5" style="985" customWidth="1"/>
    <col min="3" max="3" width="16.83203125" style="985" customWidth="1"/>
    <col min="4" max="4" width="75.83203125" style="985" customWidth="1"/>
    <col min="5" max="5" width="7.83203125" style="985" customWidth="1"/>
    <col min="6" max="6" width="11.83203125" style="985" customWidth="1"/>
    <col min="7" max="7" width="13.6640625" style="985" customWidth="1"/>
    <col min="8" max="8" width="18.33203125" style="985" customWidth="1"/>
    <col min="9" max="9" width="20.1640625" style="985" customWidth="1"/>
    <col min="10" max="11" width="9.33203125" style="985"/>
    <col min="12" max="12" width="12.83203125" style="985" customWidth="1"/>
    <col min="13" max="16384" width="9.33203125" style="985"/>
  </cols>
  <sheetData>
    <row r="1" spans="1:21" ht="18">
      <c r="A1" s="133" t="s">
        <v>2956</v>
      </c>
      <c r="B1" s="982"/>
      <c r="C1" s="982"/>
      <c r="D1" s="983"/>
      <c r="E1" s="984"/>
      <c r="F1" s="984"/>
      <c r="G1" s="984"/>
      <c r="H1" s="984"/>
      <c r="I1" s="984"/>
    </row>
    <row r="2" spans="1:21" ht="13.5" customHeight="1">
      <c r="A2" s="3085" t="s">
        <v>1658</v>
      </c>
      <c r="B2" s="3086"/>
      <c r="C2" s="3086"/>
      <c r="D2" s="3086"/>
      <c r="E2" s="3086"/>
      <c r="F2" s="3086"/>
      <c r="G2" s="3086"/>
      <c r="H2" s="3086"/>
      <c r="I2" s="3086"/>
    </row>
    <row r="3" spans="1:21" s="989" customFormat="1" ht="13.5" customHeight="1">
      <c r="A3" s="3085" t="s">
        <v>1971</v>
      </c>
      <c r="B3" s="3087"/>
      <c r="C3" s="3087"/>
      <c r="D3" s="3087"/>
    </row>
    <row r="4" spans="1:21">
      <c r="A4" s="1064" t="s">
        <v>1972</v>
      </c>
      <c r="B4" s="1065"/>
      <c r="C4" s="1065"/>
      <c r="D4" s="1065"/>
      <c r="E4" s="1065"/>
      <c r="F4" s="992"/>
      <c r="G4" s="992"/>
      <c r="H4" s="1042"/>
      <c r="I4" s="1042"/>
    </row>
    <row r="5" spans="1:21">
      <c r="A5" s="992"/>
      <c r="B5" s="992"/>
      <c r="C5" s="992"/>
      <c r="D5" s="993"/>
      <c r="E5" s="994"/>
      <c r="F5" s="992"/>
      <c r="G5" s="992"/>
      <c r="H5" s="992"/>
      <c r="I5" s="995"/>
    </row>
    <row r="6" spans="1:21" ht="22.5">
      <c r="A6" s="996" t="s">
        <v>119</v>
      </c>
      <c r="B6" s="996" t="s">
        <v>120</v>
      </c>
      <c r="C6" s="996" t="s">
        <v>121</v>
      </c>
      <c r="D6" s="996" t="s">
        <v>122</v>
      </c>
      <c r="E6" s="996" t="s">
        <v>123</v>
      </c>
      <c r="F6" s="996" t="s">
        <v>124</v>
      </c>
      <c r="G6" s="996" t="s">
        <v>125</v>
      </c>
      <c r="H6" s="997" t="s">
        <v>2</v>
      </c>
      <c r="I6" s="998" t="s">
        <v>46</v>
      </c>
      <c r="J6" s="1280"/>
      <c r="R6" s="1281"/>
    </row>
    <row r="7" spans="1:21">
      <c r="A7" s="996" t="s">
        <v>126</v>
      </c>
      <c r="B7" s="996" t="s">
        <v>127</v>
      </c>
      <c r="C7" s="996">
        <v>3</v>
      </c>
      <c r="D7" s="996">
        <v>4</v>
      </c>
      <c r="E7" s="996">
        <v>5</v>
      </c>
      <c r="F7" s="996">
        <v>6</v>
      </c>
      <c r="G7" s="996">
        <v>7</v>
      </c>
      <c r="H7" s="997">
        <v>8</v>
      </c>
      <c r="I7" s="998">
        <v>9</v>
      </c>
    </row>
    <row r="8" spans="1:21" ht="21" customHeight="1">
      <c r="A8" s="999"/>
      <c r="B8" s="999"/>
      <c r="C8" s="1000" t="s">
        <v>133</v>
      </c>
      <c r="D8" s="1000" t="s">
        <v>134</v>
      </c>
      <c r="E8" s="1001"/>
      <c r="F8" s="1002"/>
      <c r="G8" s="1003"/>
      <c r="H8" s="1003">
        <f>H9+H41</f>
        <v>0</v>
      </c>
      <c r="I8" s="1004"/>
    </row>
    <row r="9" spans="1:21" s="463" customFormat="1" ht="13.5" customHeight="1">
      <c r="A9" s="1005"/>
      <c r="B9" s="1005"/>
      <c r="C9" s="455" t="s">
        <v>126</v>
      </c>
      <c r="D9" s="455" t="s">
        <v>135</v>
      </c>
      <c r="E9" s="455"/>
      <c r="F9" s="1006"/>
      <c r="G9" s="1007"/>
      <c r="H9" s="1007">
        <f>SUM(H10:H40)</f>
        <v>0</v>
      </c>
      <c r="I9" s="457"/>
      <c r="J9" s="1008"/>
      <c r="S9" s="1009"/>
      <c r="T9" s="1009"/>
      <c r="U9" s="1009"/>
    </row>
    <row r="10" spans="1:21" s="1024" customFormat="1" ht="13.5" customHeight="1">
      <c r="A10" s="1015">
        <v>1</v>
      </c>
      <c r="B10" s="460" t="s">
        <v>1973</v>
      </c>
      <c r="C10" s="460" t="s">
        <v>1974</v>
      </c>
      <c r="D10" s="1073" t="s">
        <v>1975</v>
      </c>
      <c r="E10" s="1016" t="s">
        <v>49</v>
      </c>
      <c r="F10" s="1074">
        <f>SUM(F11)</f>
        <v>1</v>
      </c>
      <c r="G10" s="1018"/>
      <c r="H10" s="1019">
        <f>F10*G10</f>
        <v>0</v>
      </c>
      <c r="I10" s="153" t="s">
        <v>282</v>
      </c>
      <c r="J10" s="1021"/>
      <c r="K10" s="1022"/>
      <c r="L10" s="1023"/>
    </row>
    <row r="11" spans="1:21" s="463" customFormat="1" ht="13.5" customHeight="1">
      <c r="A11" s="1005"/>
      <c r="B11" s="471"/>
      <c r="C11" s="460"/>
      <c r="D11" s="466" t="s">
        <v>1976</v>
      </c>
      <c r="E11" s="460"/>
      <c r="F11" s="1027">
        <v>1</v>
      </c>
      <c r="G11" s="1011"/>
      <c r="H11" s="1011"/>
      <c r="I11" s="1028"/>
      <c r="J11" s="238"/>
    </row>
    <row r="12" spans="1:21" s="463" customFormat="1" ht="13.5" customHeight="1">
      <c r="A12" s="1005"/>
      <c r="B12" s="471"/>
      <c r="C12" s="460"/>
      <c r="D12" s="466" t="s">
        <v>1664</v>
      </c>
      <c r="E12" s="460"/>
      <c r="F12" s="1027"/>
      <c r="G12" s="1011"/>
      <c r="H12" s="1011"/>
      <c r="I12" s="1028"/>
      <c r="J12" s="238"/>
    </row>
    <row r="13" spans="1:21" s="463" customFormat="1" ht="13.5" customHeight="1">
      <c r="A13" s="1005"/>
      <c r="B13" s="471"/>
      <c r="C13" s="460"/>
      <c r="D13" s="466" t="s">
        <v>1977</v>
      </c>
      <c r="E13" s="460"/>
      <c r="F13" s="1027"/>
      <c r="G13" s="1011"/>
      <c r="H13" s="1011"/>
      <c r="I13" s="1028"/>
      <c r="J13" s="238"/>
    </row>
    <row r="14" spans="1:21" s="463" customFormat="1" ht="13.5" customHeight="1">
      <c r="A14" s="1005"/>
      <c r="B14" s="471"/>
      <c r="C14" s="460"/>
      <c r="D14" s="466" t="s">
        <v>1978</v>
      </c>
      <c r="E14" s="460"/>
      <c r="F14" s="1027"/>
      <c r="G14" s="1011"/>
      <c r="H14" s="1011"/>
      <c r="I14" s="1028"/>
      <c r="J14" s="238"/>
    </row>
    <row r="15" spans="1:21" s="463" customFormat="1" ht="13.5" customHeight="1">
      <c r="A15" s="1005"/>
      <c r="B15" s="471"/>
      <c r="C15" s="460"/>
      <c r="D15" s="466" t="s">
        <v>1979</v>
      </c>
      <c r="E15" s="460"/>
      <c r="F15" s="1027"/>
      <c r="G15" s="1011"/>
      <c r="H15" s="1011"/>
      <c r="I15" s="1028"/>
      <c r="J15" s="238"/>
    </row>
    <row r="16" spans="1:21" s="463" customFormat="1" ht="13.5" customHeight="1">
      <c r="A16" s="1005"/>
      <c r="B16" s="471"/>
      <c r="C16" s="460"/>
      <c r="D16" s="466" t="s">
        <v>1980</v>
      </c>
      <c r="E16" s="460"/>
      <c r="F16" s="1027"/>
      <c r="G16" s="1011"/>
      <c r="H16" s="1011"/>
      <c r="I16" s="1028"/>
      <c r="J16" s="238"/>
    </row>
    <row r="17" spans="1:15" s="1024" customFormat="1" ht="13.5" customHeight="1">
      <c r="A17" s="1015">
        <v>2</v>
      </c>
      <c r="B17" s="460" t="s">
        <v>1973</v>
      </c>
      <c r="C17" s="460" t="s">
        <v>1981</v>
      </c>
      <c r="D17" s="1073" t="s">
        <v>1982</v>
      </c>
      <c r="E17" s="1016" t="s">
        <v>165</v>
      </c>
      <c r="F17" s="1074">
        <f>SUM(F18)</f>
        <v>987.6</v>
      </c>
      <c r="G17" s="1018"/>
      <c r="H17" s="1019">
        <f>F17*G17</f>
        <v>0</v>
      </c>
      <c r="I17" s="153" t="s">
        <v>282</v>
      </c>
      <c r="J17" s="1021"/>
      <c r="K17" s="1022"/>
      <c r="L17" s="1023"/>
      <c r="M17" s="1282"/>
    </row>
    <row r="18" spans="1:15" s="463" customFormat="1" ht="27" customHeight="1">
      <c r="A18" s="1005"/>
      <c r="B18" s="471"/>
      <c r="C18" s="460"/>
      <c r="D18" s="466" t="s">
        <v>1983</v>
      </c>
      <c r="E18" s="460"/>
      <c r="F18" s="1027">
        <v>987.6</v>
      </c>
      <c r="G18" s="1011"/>
      <c r="H18" s="1011"/>
      <c r="I18" s="1028"/>
      <c r="J18" s="1029"/>
      <c r="N18" s="1009"/>
    </row>
    <row r="19" spans="1:15" s="463" customFormat="1" ht="13.5" customHeight="1">
      <c r="A19" s="1005"/>
      <c r="B19" s="471"/>
      <c r="C19" s="460"/>
      <c r="D19" s="466" t="s">
        <v>1664</v>
      </c>
      <c r="E19" s="460"/>
      <c r="F19" s="1027"/>
      <c r="G19" s="1011"/>
      <c r="H19" s="1011"/>
      <c r="I19" s="1028"/>
      <c r="J19" s="238"/>
    </row>
    <row r="20" spans="1:15" s="463" customFormat="1" ht="13.5" customHeight="1">
      <c r="A20" s="1005"/>
      <c r="B20" s="471"/>
      <c r="C20" s="460"/>
      <c r="D20" s="466" t="s">
        <v>1984</v>
      </c>
      <c r="E20" s="460"/>
      <c r="F20" s="1027"/>
      <c r="G20" s="1011"/>
      <c r="H20" s="1011"/>
      <c r="I20" s="1028"/>
      <c r="J20" s="238"/>
    </row>
    <row r="21" spans="1:15" s="463" customFormat="1" ht="13.5" customHeight="1">
      <c r="A21" s="1005"/>
      <c r="B21" s="471"/>
      <c r="C21" s="460"/>
      <c r="D21" s="466" t="s">
        <v>1985</v>
      </c>
      <c r="E21" s="460"/>
      <c r="F21" s="1027"/>
      <c r="G21" s="1011"/>
      <c r="H21" s="1011"/>
      <c r="I21" s="1028"/>
      <c r="J21" s="238"/>
    </row>
    <row r="22" spans="1:15" s="463" customFormat="1" ht="13.5" customHeight="1">
      <c r="A22" s="1005"/>
      <c r="B22" s="471"/>
      <c r="C22" s="460"/>
      <c r="D22" s="466" t="s">
        <v>1986</v>
      </c>
      <c r="E22" s="460"/>
      <c r="F22" s="1027"/>
      <c r="G22" s="1011"/>
      <c r="H22" s="1011"/>
      <c r="I22" s="1028"/>
      <c r="J22" s="238"/>
    </row>
    <row r="23" spans="1:15" s="463" customFormat="1" ht="13.5" customHeight="1">
      <c r="A23" s="1005"/>
      <c r="B23" s="471"/>
      <c r="C23" s="460"/>
      <c r="D23" s="466" t="s">
        <v>1987</v>
      </c>
      <c r="E23" s="460"/>
      <c r="F23" s="1027"/>
      <c r="G23" s="1011"/>
      <c r="H23" s="1011"/>
      <c r="I23" s="1028"/>
      <c r="J23" s="238"/>
    </row>
    <row r="24" spans="1:15" s="463" customFormat="1" ht="27" customHeight="1">
      <c r="A24" s="1005"/>
      <c r="B24" s="471"/>
      <c r="C24" s="460"/>
      <c r="D24" s="466" t="s">
        <v>1988</v>
      </c>
      <c r="E24" s="460"/>
      <c r="F24" s="1027"/>
      <c r="G24" s="1011"/>
      <c r="H24" s="1011"/>
      <c r="I24" s="1028"/>
      <c r="J24" s="238"/>
      <c r="O24" s="238"/>
    </row>
    <row r="25" spans="1:15" s="463" customFormat="1" ht="13.5" customHeight="1">
      <c r="A25" s="1005"/>
      <c r="B25" s="471"/>
      <c r="C25" s="460"/>
      <c r="D25" s="466" t="s">
        <v>1682</v>
      </c>
      <c r="E25" s="460"/>
      <c r="F25" s="1027"/>
      <c r="G25" s="1011"/>
      <c r="H25" s="1011"/>
      <c r="I25" s="1028"/>
      <c r="J25" s="238"/>
    </row>
    <row r="26" spans="1:15" s="1024" customFormat="1" ht="13.5" customHeight="1">
      <c r="A26" s="1015">
        <v>3</v>
      </c>
      <c r="B26" s="460" t="s">
        <v>1973</v>
      </c>
      <c r="C26" s="460" t="s">
        <v>1989</v>
      </c>
      <c r="D26" s="1073" t="s">
        <v>1990</v>
      </c>
      <c r="E26" s="1016" t="s">
        <v>49</v>
      </c>
      <c r="F26" s="1074">
        <f>SUM(F27)</f>
        <v>1</v>
      </c>
      <c r="G26" s="1018"/>
      <c r="H26" s="1019">
        <f>F26*G26</f>
        <v>0</v>
      </c>
      <c r="I26" s="153" t="s">
        <v>282</v>
      </c>
      <c r="J26" s="1021"/>
      <c r="K26" s="1022"/>
      <c r="L26" s="1023"/>
    </row>
    <row r="27" spans="1:15" s="1024" customFormat="1" ht="13.5" customHeight="1">
      <c r="A27" s="1015"/>
      <c r="B27" s="471"/>
      <c r="C27" s="1016"/>
      <c r="D27" s="466" t="s">
        <v>1991</v>
      </c>
      <c r="E27" s="1016"/>
      <c r="F27" s="1017">
        <v>1</v>
      </c>
      <c r="G27" s="1018"/>
      <c r="H27" s="1019"/>
      <c r="I27" s="1020"/>
      <c r="J27" s="1021"/>
      <c r="K27" s="1022"/>
      <c r="L27" s="1023"/>
    </row>
    <row r="28" spans="1:15" s="1024" customFormat="1" ht="13.5" customHeight="1">
      <c r="A28" s="1015"/>
      <c r="B28" s="1016"/>
      <c r="C28" s="1016"/>
      <c r="D28" s="466" t="s">
        <v>1664</v>
      </c>
      <c r="E28" s="1016"/>
      <c r="F28" s="1016"/>
      <c r="G28" s="1018"/>
      <c r="H28" s="1019"/>
      <c r="I28" s="1020"/>
      <c r="J28" s="1022"/>
      <c r="K28" s="1023"/>
      <c r="L28" s="1023"/>
    </row>
    <row r="29" spans="1:15" s="1024" customFormat="1" ht="13.5" customHeight="1">
      <c r="A29" s="1015"/>
      <c r="B29" s="1016"/>
      <c r="C29" s="1016"/>
      <c r="D29" s="466" t="s">
        <v>1992</v>
      </c>
      <c r="E29" s="1016"/>
      <c r="F29" s="1016"/>
      <c r="G29" s="1018"/>
      <c r="H29" s="1019"/>
      <c r="I29" s="1020"/>
      <c r="J29" s="1022"/>
      <c r="K29" s="1023"/>
      <c r="L29" s="1023"/>
    </row>
    <row r="30" spans="1:15" s="1024" customFormat="1" ht="13.5" customHeight="1">
      <c r="A30" s="1015"/>
      <c r="B30" s="1016"/>
      <c r="C30" s="1016"/>
      <c r="D30" s="466" t="s">
        <v>1993</v>
      </c>
      <c r="E30" s="1016"/>
      <c r="F30" s="1016"/>
      <c r="G30" s="1018"/>
      <c r="H30" s="1019"/>
      <c r="I30" s="1020"/>
      <c r="J30" s="1022"/>
      <c r="K30" s="1023"/>
      <c r="L30" s="1023"/>
    </row>
    <row r="31" spans="1:15" s="1024" customFormat="1" ht="13.5" customHeight="1">
      <c r="A31" s="1015"/>
      <c r="B31" s="1016"/>
      <c r="C31" s="1016"/>
      <c r="D31" s="466" t="s">
        <v>1994</v>
      </c>
      <c r="E31" s="1016"/>
      <c r="F31" s="1016"/>
      <c r="G31" s="1018"/>
      <c r="H31" s="1019"/>
      <c r="I31" s="1020"/>
      <c r="J31" s="1022"/>
      <c r="K31" s="1023"/>
      <c r="L31" s="1023"/>
    </row>
    <row r="32" spans="1:15" s="1024" customFormat="1" ht="13.5" customHeight="1">
      <c r="A32" s="1015"/>
      <c r="B32" s="1016"/>
      <c r="C32" s="1016"/>
      <c r="D32" s="466" t="s">
        <v>1995</v>
      </c>
      <c r="E32" s="1016"/>
      <c r="F32" s="1016"/>
      <c r="G32" s="1018"/>
      <c r="H32" s="1019"/>
      <c r="I32" s="1020"/>
      <c r="J32" s="1022"/>
      <c r="K32" s="1023"/>
      <c r="L32" s="1023"/>
    </row>
    <row r="33" spans="1:14" s="1024" customFormat="1" ht="13.5" customHeight="1">
      <c r="A33" s="1015"/>
      <c r="B33" s="1016"/>
      <c r="C33" s="1016"/>
      <c r="D33" s="466" t="s">
        <v>1682</v>
      </c>
      <c r="E33" s="1016"/>
      <c r="F33" s="1016"/>
      <c r="G33" s="1018"/>
      <c r="H33" s="1019"/>
      <c r="I33" s="1020"/>
      <c r="J33" s="1022"/>
      <c r="K33" s="1023"/>
      <c r="L33" s="1023"/>
    </row>
    <row r="34" spans="1:14" s="1024" customFormat="1" ht="13.5" customHeight="1">
      <c r="A34" s="1015">
        <v>4</v>
      </c>
      <c r="B34" s="460">
        <v>181</v>
      </c>
      <c r="C34" s="460" t="s">
        <v>1996</v>
      </c>
      <c r="D34" s="1073" t="s">
        <v>1997</v>
      </c>
      <c r="E34" s="1016" t="s">
        <v>165</v>
      </c>
      <c r="F34" s="1074">
        <f>SUM(F35)</f>
        <v>445</v>
      </c>
      <c r="G34" s="1018"/>
      <c r="H34" s="1019">
        <f>F34*G34</f>
        <v>0</v>
      </c>
      <c r="I34" s="153" t="s">
        <v>282</v>
      </c>
      <c r="J34" s="1029"/>
      <c r="K34" s="463"/>
      <c r="L34" s="463"/>
      <c r="M34" s="463"/>
      <c r="N34" s="1009"/>
    </row>
    <row r="35" spans="1:14" s="463" customFormat="1" ht="13.5" customHeight="1">
      <c r="A35" s="1005"/>
      <c r="B35" s="471"/>
      <c r="C35" s="460"/>
      <c r="D35" s="466" t="s">
        <v>1998</v>
      </c>
      <c r="E35" s="460"/>
      <c r="F35" s="1027">
        <v>445</v>
      </c>
      <c r="G35" s="1011"/>
      <c r="H35" s="1011"/>
      <c r="I35" s="1028"/>
      <c r="J35" s="238"/>
    </row>
    <row r="36" spans="1:14" s="463" customFormat="1" ht="13.5" customHeight="1">
      <c r="A36" s="1005"/>
      <c r="B36" s="471"/>
      <c r="C36" s="460"/>
      <c r="D36" s="466" t="s">
        <v>1664</v>
      </c>
      <c r="E36" s="460"/>
      <c r="F36" s="1027"/>
      <c r="G36" s="1011"/>
      <c r="H36" s="1011"/>
      <c r="I36" s="1028"/>
      <c r="J36" s="238"/>
    </row>
    <row r="37" spans="1:14" s="463" customFormat="1" ht="13.5" customHeight="1">
      <c r="A37" s="1005"/>
      <c r="B37" s="471"/>
      <c r="C37" s="460"/>
      <c r="D37" s="466" t="s">
        <v>1999</v>
      </c>
      <c r="E37" s="460"/>
      <c r="F37" s="1027"/>
      <c r="G37" s="1011"/>
      <c r="H37" s="1011"/>
      <c r="I37" s="1028"/>
      <c r="J37" s="238"/>
    </row>
    <row r="38" spans="1:14" s="463" customFormat="1" ht="13.5" customHeight="1">
      <c r="A38" s="1005"/>
      <c r="B38" s="471"/>
      <c r="C38" s="460"/>
      <c r="D38" s="466" t="s">
        <v>2000</v>
      </c>
      <c r="E38" s="460"/>
      <c r="F38" s="1027"/>
      <c r="G38" s="1011"/>
      <c r="H38" s="1011"/>
      <c r="I38" s="1028"/>
      <c r="J38" s="238"/>
    </row>
    <row r="39" spans="1:14" s="463" customFormat="1" ht="27" customHeight="1">
      <c r="A39" s="1005"/>
      <c r="B39" s="471"/>
      <c r="C39" s="460"/>
      <c r="D39" s="466" t="s">
        <v>2001</v>
      </c>
      <c r="E39" s="460"/>
      <c r="F39" s="1027"/>
      <c r="G39" s="1011"/>
      <c r="H39" s="1011"/>
      <c r="I39" s="1028"/>
      <c r="J39" s="1037"/>
    </row>
    <row r="40" spans="1:14" s="463" customFormat="1" ht="13.5" customHeight="1">
      <c r="A40" s="1005"/>
      <c r="B40" s="471"/>
      <c r="C40" s="460"/>
      <c r="D40" s="466" t="s">
        <v>1682</v>
      </c>
      <c r="E40" s="460"/>
      <c r="F40" s="1027"/>
      <c r="G40" s="1011"/>
      <c r="H40" s="1011"/>
      <c r="I40" s="1028"/>
      <c r="J40" s="238"/>
    </row>
    <row r="41" spans="1:14" s="463" customFormat="1" ht="13.5" customHeight="1">
      <c r="A41" s="1005"/>
      <c r="B41" s="1005"/>
      <c r="C41" s="455" t="s">
        <v>363</v>
      </c>
      <c r="D41" s="455" t="s">
        <v>364</v>
      </c>
      <c r="E41" s="455"/>
      <c r="F41" s="1006"/>
      <c r="G41" s="1007"/>
      <c r="H41" s="1007">
        <f>SUM(H42:H46)</f>
        <v>0</v>
      </c>
      <c r="I41" s="457"/>
      <c r="J41" s="1283"/>
    </row>
    <row r="42" spans="1:14" s="463" customFormat="1" ht="13.5" customHeight="1">
      <c r="A42" s="1005">
        <v>5</v>
      </c>
      <c r="B42" s="471" t="s">
        <v>1727</v>
      </c>
      <c r="C42" s="460" t="s">
        <v>366</v>
      </c>
      <c r="D42" s="460" t="s">
        <v>1728</v>
      </c>
      <c r="E42" s="460" t="s">
        <v>49</v>
      </c>
      <c r="F42" s="1010">
        <f>F43</f>
        <v>1</v>
      </c>
      <c r="G42" s="1011"/>
      <c r="H42" s="1011">
        <f>F42*G42</f>
        <v>0</v>
      </c>
      <c r="I42" s="153" t="s">
        <v>282</v>
      </c>
      <c r="J42" s="238"/>
    </row>
    <row r="43" spans="1:14" s="463" customFormat="1" ht="27" customHeight="1">
      <c r="A43" s="1005"/>
      <c r="B43" s="471"/>
      <c r="C43" s="460"/>
      <c r="D43" s="466" t="s">
        <v>2002</v>
      </c>
      <c r="E43" s="460"/>
      <c r="F43" s="1027">
        <v>1</v>
      </c>
      <c r="G43" s="1011"/>
      <c r="H43" s="1011"/>
      <c r="I43" s="1028"/>
      <c r="J43" s="238"/>
    </row>
    <row r="44" spans="1:14" s="463" customFormat="1" ht="13.5" customHeight="1">
      <c r="A44" s="1005"/>
      <c r="B44" s="471"/>
      <c r="C44" s="460"/>
      <c r="D44" s="466" t="s">
        <v>2003</v>
      </c>
      <c r="E44" s="460"/>
      <c r="F44" s="1284"/>
      <c r="G44" s="1011"/>
      <c r="H44" s="1011"/>
      <c r="I44" s="1028"/>
      <c r="J44" s="238"/>
    </row>
    <row r="45" spans="1:14" s="463" customFormat="1" ht="13.5" customHeight="1">
      <c r="A45" s="1005"/>
      <c r="B45" s="1076"/>
      <c r="C45" s="1077"/>
      <c r="D45" s="466" t="s">
        <v>2004</v>
      </c>
      <c r="E45" s="460"/>
      <c r="G45" s="1011"/>
      <c r="H45" s="1011"/>
      <c r="I45" s="1028"/>
      <c r="J45" s="238"/>
    </row>
    <row r="46" spans="1:14" s="226" customFormat="1" ht="27" customHeight="1">
      <c r="A46" s="1030"/>
      <c r="B46" s="1031"/>
      <c r="C46" s="1031"/>
      <c r="D46" s="466" t="s">
        <v>1734</v>
      </c>
      <c r="E46" s="1031"/>
      <c r="F46" s="1031"/>
      <c r="G46" s="1032"/>
      <c r="H46" s="1011"/>
      <c r="I46" s="153"/>
      <c r="J46" s="238"/>
    </row>
    <row r="47" spans="1:14" ht="21" customHeight="1">
      <c r="A47" s="1038"/>
      <c r="B47" s="1039"/>
      <c r="C47" s="1039"/>
      <c r="D47" s="1039" t="s">
        <v>0</v>
      </c>
      <c r="E47" s="1039"/>
      <c r="F47" s="1040"/>
      <c r="G47" s="1041"/>
      <c r="H47" s="1041">
        <f>H8</f>
        <v>0</v>
      </c>
      <c r="I47" s="1042"/>
    </row>
    <row r="48" spans="1:14">
      <c r="A48" s="1043"/>
      <c r="B48" s="1043"/>
      <c r="C48" s="1044"/>
      <c r="D48" s="1044"/>
      <c r="E48" s="1045"/>
      <c r="F48" s="1046"/>
      <c r="G48" s="1047"/>
      <c r="H48" s="1047"/>
      <c r="I48" s="1048"/>
    </row>
    <row r="49" spans="1:9" ht="13.5" customHeight="1">
      <c r="A49" s="3088" t="s">
        <v>875</v>
      </c>
      <c r="B49" s="3089"/>
      <c r="C49" s="3090"/>
      <c r="D49" s="1049" t="s">
        <v>2005</v>
      </c>
      <c r="E49" s="1050"/>
      <c r="F49" s="1051"/>
      <c r="G49" s="1052"/>
      <c r="H49" s="1053">
        <f>H47</f>
        <v>0</v>
      </c>
      <c r="I49" s="1054"/>
    </row>
    <row r="50" spans="1:9" ht="13.5" customHeight="1">
      <c r="A50" s="1055"/>
      <c r="B50" s="1056"/>
      <c r="C50" s="1056"/>
      <c r="D50" s="1057"/>
      <c r="E50" s="1058"/>
      <c r="F50" s="1059"/>
      <c r="G50" s="1060"/>
      <c r="H50" s="1061"/>
      <c r="I50" s="1042"/>
    </row>
    <row r="51" spans="1:9" ht="13.5" customHeight="1">
      <c r="A51" s="1062" t="s">
        <v>1</v>
      </c>
      <c r="B51" s="1062"/>
      <c r="C51" s="1062"/>
      <c r="D51" s="1062"/>
      <c r="E51" s="1062"/>
      <c r="F51" s="1062"/>
      <c r="G51" s="1062"/>
      <c r="H51" s="1062"/>
      <c r="I51" s="1062"/>
    </row>
    <row r="52" spans="1:9" ht="27" customHeight="1">
      <c r="A52" s="3084" t="s">
        <v>877</v>
      </c>
      <c r="B52" s="3084"/>
      <c r="C52" s="3084"/>
      <c r="D52" s="3084"/>
      <c r="E52" s="3084"/>
      <c r="F52" s="3084"/>
      <c r="G52" s="3084"/>
      <c r="H52" s="1062"/>
      <c r="I52" s="1042"/>
    </row>
    <row r="53" spans="1:9" ht="93.75" customHeight="1">
      <c r="A53" s="3084" t="s">
        <v>104</v>
      </c>
      <c r="B53" s="3084"/>
      <c r="C53" s="3084"/>
      <c r="D53" s="3084"/>
      <c r="E53" s="3084"/>
      <c r="F53" s="3084"/>
      <c r="G53" s="3084"/>
      <c r="H53" s="1062"/>
      <c r="I53" s="1062"/>
    </row>
    <row r="54" spans="1:9" ht="13.5" customHeight="1">
      <c r="A54" s="3084" t="s">
        <v>105</v>
      </c>
      <c r="B54" s="3084"/>
      <c r="C54" s="3084"/>
      <c r="D54" s="3084"/>
      <c r="E54" s="3084"/>
      <c r="F54" s="3084"/>
      <c r="G54" s="3084"/>
      <c r="H54" s="1063"/>
      <c r="I54" s="1063"/>
    </row>
    <row r="55" spans="1:9" ht="13.5" customHeight="1">
      <c r="A55" s="3084" t="s">
        <v>106</v>
      </c>
      <c r="B55" s="3084"/>
      <c r="C55" s="3084"/>
      <c r="D55" s="3084"/>
      <c r="E55" s="3084"/>
      <c r="F55" s="3084"/>
      <c r="G55" s="3084"/>
      <c r="H55" s="1063"/>
      <c r="I55" s="1063"/>
    </row>
    <row r="56" spans="1:9" s="1287" customFormat="1" ht="94.5" customHeight="1">
      <c r="A56" s="3057" t="s">
        <v>1026</v>
      </c>
      <c r="B56" s="3057"/>
      <c r="C56" s="3057"/>
      <c r="D56" s="3057"/>
      <c r="E56" s="3057"/>
      <c r="F56" s="3057"/>
      <c r="G56" s="3057"/>
      <c r="H56" s="1368"/>
      <c r="I56" s="1733"/>
    </row>
  </sheetData>
  <mergeCells count="8">
    <mergeCell ref="A56:G56"/>
    <mergeCell ref="A55:G55"/>
    <mergeCell ref="A2:I2"/>
    <mergeCell ref="A3:D3"/>
    <mergeCell ref="A49:C49"/>
    <mergeCell ref="A52:G52"/>
    <mergeCell ref="A53:G53"/>
    <mergeCell ref="A54:G54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9" fitToHeight="9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7946-1D26-4569-9FBA-F762DEBB7978}">
  <sheetPr>
    <pageSetUpPr fitToPage="1"/>
  </sheetPr>
  <dimension ref="A1:S48"/>
  <sheetViews>
    <sheetView zoomScaleNormal="100" workbookViewId="0"/>
  </sheetViews>
  <sheetFormatPr defaultRowHeight="15"/>
  <cols>
    <col min="1" max="1" width="4.83203125" style="985" customWidth="1"/>
    <col min="2" max="2" width="5" style="985" customWidth="1"/>
    <col min="3" max="3" width="16.83203125" style="985" customWidth="1"/>
    <col min="4" max="4" width="75.83203125" style="985" customWidth="1"/>
    <col min="5" max="5" width="7.83203125" style="985" customWidth="1"/>
    <col min="6" max="6" width="11.83203125" style="985" customWidth="1"/>
    <col min="7" max="7" width="13.6640625" style="985" customWidth="1"/>
    <col min="8" max="8" width="18.33203125" style="985" customWidth="1"/>
    <col min="9" max="9" width="20.1640625" style="985" customWidth="1"/>
    <col min="10" max="10" width="15" style="985" customWidth="1"/>
    <col min="11" max="16384" width="9.33203125" style="985"/>
  </cols>
  <sheetData>
    <row r="1" spans="1:19" ht="18">
      <c r="A1" s="133" t="s">
        <v>2956</v>
      </c>
      <c r="B1" s="982"/>
      <c r="C1" s="982"/>
      <c r="D1" s="983"/>
      <c r="E1" s="984"/>
      <c r="F1" s="984"/>
      <c r="G1" s="984"/>
      <c r="H1" s="984"/>
      <c r="I1" s="984"/>
    </row>
    <row r="2" spans="1:19" ht="13.5" customHeight="1">
      <c r="A2" s="3085" t="s">
        <v>1658</v>
      </c>
      <c r="B2" s="3086"/>
      <c r="C2" s="3086"/>
      <c r="D2" s="3086"/>
      <c r="E2" s="3086"/>
      <c r="F2" s="3086"/>
      <c r="G2" s="3086"/>
      <c r="H2" s="3086"/>
      <c r="I2" s="3086"/>
    </row>
    <row r="3" spans="1:19" s="989" customFormat="1" ht="13.5" customHeight="1">
      <c r="A3" s="3085" t="s">
        <v>2006</v>
      </c>
      <c r="B3" s="3087"/>
      <c r="C3" s="3087"/>
      <c r="D3" s="3087"/>
    </row>
    <row r="4" spans="1:19">
      <c r="A4" s="992"/>
      <c r="B4" s="992"/>
      <c r="C4" s="992"/>
      <c r="D4" s="993"/>
      <c r="E4" s="994"/>
      <c r="F4" s="992"/>
      <c r="G4" s="992"/>
      <c r="H4" s="992"/>
      <c r="I4" s="995"/>
    </row>
    <row r="5" spans="1:19" ht="22.5">
      <c r="A5" s="996" t="s">
        <v>119</v>
      </c>
      <c r="B5" s="996" t="s">
        <v>120</v>
      </c>
      <c r="C5" s="996" t="s">
        <v>121</v>
      </c>
      <c r="D5" s="996" t="s">
        <v>122</v>
      </c>
      <c r="E5" s="996" t="s">
        <v>123</v>
      </c>
      <c r="F5" s="996" t="s">
        <v>124</v>
      </c>
      <c r="G5" s="996" t="s">
        <v>125</v>
      </c>
      <c r="H5" s="997" t="s">
        <v>2</v>
      </c>
      <c r="I5" s="998" t="s">
        <v>46</v>
      </c>
    </row>
    <row r="6" spans="1:19">
      <c r="A6" s="996" t="s">
        <v>126</v>
      </c>
      <c r="B6" s="996" t="s">
        <v>127</v>
      </c>
      <c r="C6" s="996">
        <v>3</v>
      </c>
      <c r="D6" s="996">
        <v>4</v>
      </c>
      <c r="E6" s="996">
        <v>5</v>
      </c>
      <c r="F6" s="996">
        <v>6</v>
      </c>
      <c r="G6" s="996">
        <v>7</v>
      </c>
      <c r="H6" s="997">
        <v>8</v>
      </c>
      <c r="I6" s="998">
        <v>9</v>
      </c>
    </row>
    <row r="7" spans="1:19" ht="21" customHeight="1">
      <c r="A7" s="999"/>
      <c r="B7" s="999"/>
      <c r="C7" s="1000" t="s">
        <v>133</v>
      </c>
      <c r="D7" s="1000" t="s">
        <v>134</v>
      </c>
      <c r="E7" s="1001"/>
      <c r="F7" s="1002"/>
      <c r="G7" s="1003"/>
      <c r="H7" s="1003">
        <f>H8+H34</f>
        <v>0</v>
      </c>
      <c r="I7" s="1004"/>
    </row>
    <row r="8" spans="1:19" s="238" customFormat="1" ht="13.5" customHeight="1">
      <c r="A8" s="1026"/>
      <c r="B8" s="455"/>
      <c r="C8" s="455">
        <v>3</v>
      </c>
      <c r="D8" s="1285" t="s">
        <v>254</v>
      </c>
      <c r="E8" s="455"/>
      <c r="F8" s="1006"/>
      <c r="G8" s="1007"/>
      <c r="H8" s="1007">
        <f>SUM(H9:H33)</f>
        <v>0</v>
      </c>
      <c r="I8" s="457"/>
    </row>
    <row r="9" spans="1:19" s="238" customFormat="1" ht="13.5" customHeight="1">
      <c r="A9" s="1005">
        <v>1</v>
      </c>
      <c r="B9" s="460">
        <v>338</v>
      </c>
      <c r="C9" s="460" t="s">
        <v>2007</v>
      </c>
      <c r="D9" s="460" t="s">
        <v>2008</v>
      </c>
      <c r="E9" s="460" t="s">
        <v>142</v>
      </c>
      <c r="F9" s="1074">
        <f>SUM(F10)</f>
        <v>12.1</v>
      </c>
      <c r="G9" s="1018"/>
      <c r="H9" s="1011">
        <f>F9*G9</f>
        <v>0</v>
      </c>
      <c r="I9" s="153" t="s">
        <v>112</v>
      </c>
      <c r="J9" s="1012"/>
      <c r="K9" s="1013"/>
    </row>
    <row r="10" spans="1:19" s="1024" customFormat="1" ht="13.5" customHeight="1">
      <c r="A10" s="1015"/>
      <c r="B10" s="471"/>
      <c r="C10" s="1016"/>
      <c r="D10" s="466" t="s">
        <v>2009</v>
      </c>
      <c r="E10" s="1016"/>
      <c r="F10" s="1017">
        <v>12.1</v>
      </c>
      <c r="G10" s="1018"/>
      <c r="H10" s="1019"/>
      <c r="I10" s="1020"/>
      <c r="J10" s="1012"/>
      <c r="K10" s="1022"/>
      <c r="M10" s="1021"/>
      <c r="S10" s="1023"/>
    </row>
    <row r="11" spans="1:19" s="1024" customFormat="1" ht="13.5" customHeight="1">
      <c r="A11" s="1015"/>
      <c r="B11" s="1016"/>
      <c r="C11" s="1016"/>
      <c r="D11" s="466" t="s">
        <v>1664</v>
      </c>
      <c r="E11" s="1016"/>
      <c r="F11" s="1016"/>
      <c r="G11" s="1018"/>
      <c r="H11" s="1019"/>
      <c r="I11" s="1020"/>
      <c r="J11" s="1021"/>
      <c r="K11" s="1023"/>
      <c r="S11" s="1023"/>
    </row>
    <row r="12" spans="1:19" s="226" customFormat="1" ht="13.5" customHeight="1">
      <c r="A12" s="1030"/>
      <c r="B12" s="1031"/>
      <c r="C12" s="1031"/>
      <c r="D12" s="466" t="s">
        <v>2010</v>
      </c>
      <c r="E12" s="1031"/>
      <c r="F12" s="1027"/>
      <c r="G12" s="1032"/>
      <c r="H12" s="1011"/>
      <c r="I12" s="153"/>
      <c r="J12" s="990"/>
    </row>
    <row r="13" spans="1:19" s="226" customFormat="1" ht="13.5" customHeight="1">
      <c r="A13" s="1030"/>
      <c r="B13" s="1031"/>
      <c r="C13" s="1031"/>
      <c r="D13" s="466" t="s">
        <v>2011</v>
      </c>
      <c r="E13" s="1031"/>
      <c r="F13" s="1027"/>
      <c r="G13" s="1032"/>
      <c r="H13" s="1011"/>
      <c r="I13" s="153"/>
      <c r="J13" s="990"/>
    </row>
    <row r="14" spans="1:19" s="226" customFormat="1" ht="13.5" customHeight="1">
      <c r="A14" s="1030"/>
      <c r="B14" s="1031"/>
      <c r="C14" s="1031"/>
      <c r="D14" s="466" t="s">
        <v>2012</v>
      </c>
      <c r="E14" s="1031"/>
      <c r="F14" s="1027"/>
      <c r="G14" s="1032"/>
      <c r="H14" s="1011"/>
      <c r="I14" s="153"/>
      <c r="J14" s="990"/>
    </row>
    <row r="15" spans="1:19" s="226" customFormat="1" ht="13.5" customHeight="1">
      <c r="A15" s="1030"/>
      <c r="B15" s="1031"/>
      <c r="C15" s="1031"/>
      <c r="D15" s="466" t="s">
        <v>2013</v>
      </c>
      <c r="E15" s="1031"/>
      <c r="F15" s="1027"/>
      <c r="G15" s="1032"/>
      <c r="H15" s="1011"/>
      <c r="I15" s="153"/>
      <c r="J15" s="990"/>
    </row>
    <row r="16" spans="1:19" s="226" customFormat="1" ht="13.5" customHeight="1">
      <c r="A16" s="1030"/>
      <c r="B16" s="1031"/>
      <c r="C16" s="1031"/>
      <c r="D16" s="466" t="s">
        <v>2014</v>
      </c>
      <c r="E16" s="1031"/>
      <c r="F16" s="1027"/>
      <c r="G16" s="1032"/>
      <c r="H16" s="1011"/>
      <c r="I16" s="153"/>
      <c r="J16" s="990"/>
    </row>
    <row r="17" spans="1:19" s="226" customFormat="1" ht="13.5" customHeight="1">
      <c r="A17" s="1030"/>
      <c r="B17" s="1031"/>
      <c r="C17" s="1031"/>
      <c r="D17" s="466" t="s">
        <v>2015</v>
      </c>
      <c r="E17" s="1031"/>
      <c r="F17" s="1027"/>
      <c r="G17" s="1032"/>
      <c r="H17" s="1011"/>
      <c r="I17" s="153"/>
      <c r="J17" s="990"/>
    </row>
    <row r="18" spans="1:19" s="226" customFormat="1" ht="13.5" customHeight="1">
      <c r="A18" s="1030"/>
      <c r="B18" s="1031"/>
      <c r="C18" s="1031"/>
      <c r="D18" s="466" t="s">
        <v>2016</v>
      </c>
      <c r="E18" s="1031"/>
      <c r="F18" s="1027"/>
      <c r="G18" s="1032"/>
      <c r="H18" s="1011"/>
      <c r="I18" s="153"/>
      <c r="J18" s="990"/>
    </row>
    <row r="19" spans="1:19" s="238" customFormat="1" ht="13.5" customHeight="1">
      <c r="A19" s="1005">
        <v>2</v>
      </c>
      <c r="B19" s="460">
        <v>338</v>
      </c>
      <c r="C19" s="460" t="s">
        <v>2017</v>
      </c>
      <c r="D19" s="460" t="s">
        <v>2018</v>
      </c>
      <c r="E19" s="460" t="s">
        <v>142</v>
      </c>
      <c r="F19" s="1074">
        <f>SUM(F20)</f>
        <v>11.4</v>
      </c>
      <c r="G19" s="1018"/>
      <c r="H19" s="1011">
        <f>F19*G19</f>
        <v>0</v>
      </c>
      <c r="I19" s="153" t="s">
        <v>112</v>
      </c>
      <c r="J19" s="1012"/>
      <c r="K19" s="1013"/>
    </row>
    <row r="20" spans="1:19" s="1024" customFormat="1" ht="13.5" customHeight="1">
      <c r="A20" s="1015"/>
      <c r="B20" s="471"/>
      <c r="C20" s="1016"/>
      <c r="D20" s="466" t="s">
        <v>2019</v>
      </c>
      <c r="E20" s="1016"/>
      <c r="F20" s="1017">
        <v>11.4</v>
      </c>
      <c r="G20" s="1018"/>
      <c r="H20" s="1019"/>
      <c r="I20" s="1020"/>
      <c r="J20" s="1021"/>
      <c r="K20" s="1022"/>
      <c r="L20" s="1023"/>
    </row>
    <row r="21" spans="1:19" s="1024" customFormat="1" ht="13.5" customHeight="1">
      <c r="A21" s="1015"/>
      <c r="B21" s="1016"/>
      <c r="C21" s="1016"/>
      <c r="D21" s="466" t="s">
        <v>1664</v>
      </c>
      <c r="E21" s="1016"/>
      <c r="F21" s="1016"/>
      <c r="G21" s="1018"/>
      <c r="H21" s="1019"/>
      <c r="I21" s="1020"/>
      <c r="J21" s="1021"/>
      <c r="K21" s="1023"/>
      <c r="L21" s="1023"/>
    </row>
    <row r="22" spans="1:19" s="226" customFormat="1" ht="13.5" customHeight="1">
      <c r="A22" s="1030"/>
      <c r="B22" s="1031"/>
      <c r="C22" s="1031"/>
      <c r="D22" s="466" t="s">
        <v>2010</v>
      </c>
      <c r="E22" s="1031"/>
      <c r="F22" s="1027"/>
      <c r="G22" s="1032"/>
      <c r="H22" s="1011"/>
      <c r="I22" s="153"/>
      <c r="J22" s="990"/>
    </row>
    <row r="23" spans="1:19" s="226" customFormat="1" ht="27" customHeight="1">
      <c r="A23" s="1030"/>
      <c r="B23" s="1031"/>
      <c r="C23" s="1031"/>
      <c r="D23" s="466" t="s">
        <v>2020</v>
      </c>
      <c r="E23" s="1031"/>
      <c r="F23" s="1027"/>
      <c r="G23" s="1032"/>
      <c r="H23" s="1011"/>
      <c r="I23" s="153"/>
      <c r="J23" s="990"/>
    </row>
    <row r="24" spans="1:19" s="226" customFormat="1" ht="13.5" customHeight="1">
      <c r="A24" s="1030"/>
      <c r="B24" s="1031"/>
      <c r="C24" s="1031"/>
      <c r="D24" s="466" t="s">
        <v>2021</v>
      </c>
      <c r="E24" s="1031"/>
      <c r="F24" s="1027"/>
      <c r="G24" s="1032"/>
      <c r="H24" s="1011"/>
      <c r="I24" s="153"/>
      <c r="J24" s="990"/>
    </row>
    <row r="25" spans="1:19" s="226" customFormat="1" ht="13.5" customHeight="1">
      <c r="A25" s="1030"/>
      <c r="B25" s="1031"/>
      <c r="C25" s="1031"/>
      <c r="D25" s="466" t="s">
        <v>2016</v>
      </c>
      <c r="E25" s="1031"/>
      <c r="F25" s="1027"/>
      <c r="G25" s="1032"/>
      <c r="H25" s="1011"/>
      <c r="I25" s="153"/>
      <c r="J25" s="990"/>
    </row>
    <row r="26" spans="1:19" s="238" customFormat="1" ht="13.5" customHeight="1">
      <c r="A26" s="1005">
        <v>3</v>
      </c>
      <c r="B26" s="460">
        <v>338</v>
      </c>
      <c r="C26" s="460" t="s">
        <v>2022</v>
      </c>
      <c r="D26" s="460" t="s">
        <v>2023</v>
      </c>
      <c r="E26" s="460" t="s">
        <v>142</v>
      </c>
      <c r="F26" s="1074">
        <f>SUM(F27)</f>
        <v>12.1</v>
      </c>
      <c r="G26" s="1018"/>
      <c r="H26" s="1011">
        <f>F26*G26</f>
        <v>0</v>
      </c>
      <c r="I26" s="153" t="s">
        <v>112</v>
      </c>
      <c r="J26" s="1012"/>
      <c r="K26" s="1013"/>
    </row>
    <row r="27" spans="1:19" s="1024" customFormat="1" ht="13.5" customHeight="1">
      <c r="A27" s="1015"/>
      <c r="B27" s="471"/>
      <c r="C27" s="1016"/>
      <c r="D27" s="466" t="s">
        <v>2024</v>
      </c>
      <c r="E27" s="1016"/>
      <c r="F27" s="1017">
        <v>12.1</v>
      </c>
      <c r="G27" s="1018"/>
      <c r="H27" s="1019"/>
      <c r="I27" s="1020"/>
      <c r="J27" s="1021"/>
      <c r="K27" s="1022"/>
      <c r="S27" s="1023"/>
    </row>
    <row r="28" spans="1:19" s="1024" customFormat="1" ht="13.5" customHeight="1">
      <c r="A28" s="1015"/>
      <c r="B28" s="1016"/>
      <c r="C28" s="1016"/>
      <c r="D28" s="466" t="s">
        <v>1664</v>
      </c>
      <c r="E28" s="1016"/>
      <c r="F28" s="1016"/>
      <c r="G28" s="1018"/>
      <c r="H28" s="1019"/>
      <c r="I28" s="1020"/>
      <c r="J28" s="1021"/>
      <c r="K28" s="1023"/>
      <c r="S28" s="1023"/>
    </row>
    <row r="29" spans="1:19" s="226" customFormat="1" ht="13.5" customHeight="1">
      <c r="A29" s="1030"/>
      <c r="B29" s="1031"/>
      <c r="C29" s="1031"/>
      <c r="D29" s="466" t="s">
        <v>2025</v>
      </c>
      <c r="E29" s="1031"/>
      <c r="F29" s="1027"/>
      <c r="G29" s="1032"/>
      <c r="H29" s="1011"/>
      <c r="I29" s="153"/>
      <c r="J29" s="990"/>
    </row>
    <row r="30" spans="1:19" s="226" customFormat="1" ht="13.5" customHeight="1">
      <c r="A30" s="1030"/>
      <c r="B30" s="1031"/>
      <c r="C30" s="1031"/>
      <c r="D30" s="466" t="s">
        <v>2026</v>
      </c>
      <c r="E30" s="1031"/>
      <c r="F30" s="1027"/>
      <c r="G30" s="1032"/>
      <c r="H30" s="1011"/>
      <c r="I30" s="153"/>
      <c r="J30" s="990"/>
    </row>
    <row r="31" spans="1:19" s="226" customFormat="1" ht="27" customHeight="1">
      <c r="A31" s="1030"/>
      <c r="B31" s="1031"/>
      <c r="C31" s="1031"/>
      <c r="D31" s="466" t="s">
        <v>2027</v>
      </c>
      <c r="E31" s="1031"/>
      <c r="F31" s="1027"/>
      <c r="G31" s="1032"/>
      <c r="H31" s="1011"/>
      <c r="I31" s="153"/>
      <c r="J31" s="990"/>
    </row>
    <row r="32" spans="1:19" s="226" customFormat="1" ht="13.5" customHeight="1">
      <c r="A32" s="1030"/>
      <c r="B32" s="1031"/>
      <c r="C32" s="1031"/>
      <c r="D32" s="466" t="s">
        <v>2028</v>
      </c>
      <c r="E32" s="1031"/>
      <c r="F32" s="1027"/>
      <c r="G32" s="1032"/>
      <c r="H32" s="1011"/>
      <c r="I32" s="153"/>
      <c r="J32" s="990"/>
    </row>
    <row r="33" spans="1:10" s="226" customFormat="1" ht="13.5" customHeight="1">
      <c r="A33" s="1030"/>
      <c r="B33" s="1031"/>
      <c r="C33" s="1031"/>
      <c r="D33" s="466" t="s">
        <v>1672</v>
      </c>
      <c r="E33" s="1031"/>
      <c r="F33" s="1027"/>
      <c r="G33" s="1032"/>
      <c r="H33" s="1011"/>
      <c r="I33" s="153"/>
      <c r="J33" s="990"/>
    </row>
    <row r="34" spans="1:10" s="463" customFormat="1" ht="13.5" customHeight="1">
      <c r="A34" s="1005"/>
      <c r="B34" s="1005"/>
      <c r="C34" s="455" t="s">
        <v>363</v>
      </c>
      <c r="D34" s="455" t="s">
        <v>364</v>
      </c>
      <c r="E34" s="455"/>
      <c r="F34" s="1006"/>
      <c r="G34" s="1007"/>
      <c r="H34" s="1007">
        <f>SUM(H35:H38)</f>
        <v>0</v>
      </c>
      <c r="I34" s="457"/>
      <c r="J34" s="1008"/>
    </row>
    <row r="35" spans="1:10" s="463" customFormat="1" ht="13.5" customHeight="1">
      <c r="A35" s="1005">
        <v>4</v>
      </c>
      <c r="B35" s="471" t="s">
        <v>1727</v>
      </c>
      <c r="C35" s="460" t="s">
        <v>366</v>
      </c>
      <c r="D35" s="460" t="s">
        <v>1728</v>
      </c>
      <c r="E35" s="460" t="s">
        <v>49</v>
      </c>
      <c r="F35" s="1010">
        <f>F36</f>
        <v>1</v>
      </c>
      <c r="G35" s="1011"/>
      <c r="H35" s="1011">
        <f>F35*G35</f>
        <v>0</v>
      </c>
      <c r="I35" s="153" t="s">
        <v>112</v>
      </c>
      <c r="J35" s="238"/>
    </row>
    <row r="36" spans="1:10" s="463" customFormat="1" ht="40.5" customHeight="1">
      <c r="A36" s="1005"/>
      <c r="B36" s="1076"/>
      <c r="C36" s="1077"/>
      <c r="D36" s="466" t="s">
        <v>2029</v>
      </c>
      <c r="E36" s="460"/>
      <c r="F36" s="1027">
        <v>1</v>
      </c>
      <c r="G36" s="1011"/>
      <c r="H36" s="1011"/>
      <c r="I36" s="1028"/>
      <c r="J36" s="238"/>
    </row>
    <row r="37" spans="1:10" s="463" customFormat="1" ht="13.5" customHeight="1">
      <c r="A37" s="1005"/>
      <c r="B37" s="1076"/>
      <c r="C37" s="1077"/>
      <c r="D37" s="466" t="s">
        <v>2030</v>
      </c>
      <c r="E37" s="460"/>
      <c r="F37" s="1010"/>
      <c r="G37" s="1011"/>
      <c r="H37" s="1011"/>
      <c r="I37" s="1028"/>
      <c r="J37" s="238"/>
    </row>
    <row r="38" spans="1:10" s="226" customFormat="1" ht="27" customHeight="1">
      <c r="A38" s="1030"/>
      <c r="B38" s="1031"/>
      <c r="C38" s="1031"/>
      <c r="D38" s="466" t="s">
        <v>1734</v>
      </c>
      <c r="E38" s="1031"/>
      <c r="F38" s="1031"/>
      <c r="G38" s="1032"/>
      <c r="H38" s="1011"/>
      <c r="I38" s="153"/>
      <c r="J38" s="238"/>
    </row>
    <row r="39" spans="1:10" ht="21" customHeight="1">
      <c r="A39" s="1038"/>
      <c r="B39" s="1039"/>
      <c r="C39" s="1039"/>
      <c r="D39" s="1039" t="s">
        <v>0</v>
      </c>
      <c r="E39" s="1039"/>
      <c r="F39" s="1040"/>
      <c r="G39" s="1041"/>
      <c r="H39" s="1041">
        <f>H7</f>
        <v>0</v>
      </c>
      <c r="I39" s="1042"/>
    </row>
    <row r="40" spans="1:10">
      <c r="A40" s="1043"/>
      <c r="B40" s="1043"/>
      <c r="C40" s="1044"/>
      <c r="D40" s="1044"/>
      <c r="E40" s="1045"/>
      <c r="F40" s="1046"/>
      <c r="G40" s="1047"/>
      <c r="H40" s="1047"/>
      <c r="I40" s="1048"/>
    </row>
    <row r="41" spans="1:10" ht="13.5" customHeight="1">
      <c r="A41" s="3088" t="s">
        <v>875</v>
      </c>
      <c r="B41" s="3089"/>
      <c r="C41" s="3090"/>
      <c r="D41" s="1049" t="s">
        <v>2031</v>
      </c>
      <c r="E41" s="1050"/>
      <c r="F41" s="1051"/>
      <c r="G41" s="1052"/>
      <c r="H41" s="1053">
        <f>H39</f>
        <v>0</v>
      </c>
      <c r="I41" s="1054"/>
    </row>
    <row r="42" spans="1:10" ht="13.5" customHeight="1">
      <c r="A42" s="1055"/>
      <c r="B42" s="1056"/>
      <c r="C42" s="1056"/>
      <c r="D42" s="1057"/>
      <c r="E42" s="1058"/>
      <c r="F42" s="1059"/>
      <c r="G42" s="1060"/>
      <c r="H42" s="1061"/>
      <c r="I42" s="1042"/>
    </row>
    <row r="43" spans="1:10" ht="13.5" customHeight="1">
      <c r="A43" s="1062" t="s">
        <v>1</v>
      </c>
      <c r="B43" s="1062"/>
      <c r="C43" s="1062"/>
      <c r="D43" s="1062"/>
      <c r="E43" s="1062"/>
      <c r="F43" s="1062"/>
      <c r="G43" s="1062"/>
      <c r="H43" s="1062"/>
      <c r="I43" s="1062"/>
    </row>
    <row r="44" spans="1:10" ht="27" customHeight="1">
      <c r="A44" s="3084" t="s">
        <v>877</v>
      </c>
      <c r="B44" s="3084"/>
      <c r="C44" s="3084"/>
      <c r="D44" s="3084"/>
      <c r="E44" s="3084"/>
      <c r="F44" s="3084"/>
      <c r="G44" s="3084"/>
      <c r="H44" s="1062"/>
      <c r="I44" s="1042"/>
    </row>
    <row r="45" spans="1:10" ht="93.75" customHeight="1">
      <c r="A45" s="3084" t="s">
        <v>104</v>
      </c>
      <c r="B45" s="3084"/>
      <c r="C45" s="3084"/>
      <c r="D45" s="3084"/>
      <c r="E45" s="3084"/>
      <c r="F45" s="3084"/>
      <c r="G45" s="3084"/>
      <c r="H45" s="1062"/>
      <c r="I45" s="1062"/>
    </row>
    <row r="46" spans="1:10" ht="13.5" customHeight="1">
      <c r="A46" s="3084" t="s">
        <v>105</v>
      </c>
      <c r="B46" s="3084"/>
      <c r="C46" s="3084"/>
      <c r="D46" s="3084"/>
      <c r="E46" s="3084"/>
      <c r="F46" s="3084"/>
      <c r="G46" s="3084"/>
      <c r="H46" s="1063"/>
      <c r="I46" s="1063"/>
    </row>
    <row r="47" spans="1:10" ht="13.5" customHeight="1">
      <c r="A47" s="3084" t="s">
        <v>106</v>
      </c>
      <c r="B47" s="3084"/>
      <c r="C47" s="3084"/>
      <c r="D47" s="3084"/>
      <c r="E47" s="3084"/>
      <c r="F47" s="3084"/>
      <c r="G47" s="3084"/>
      <c r="H47" s="1063"/>
      <c r="I47" s="1063"/>
    </row>
    <row r="48" spans="1:10" s="1287" customFormat="1" ht="94.5" customHeight="1">
      <c r="A48" s="3057" t="s">
        <v>1026</v>
      </c>
      <c r="B48" s="3057"/>
      <c r="C48" s="3057"/>
      <c r="D48" s="3057"/>
      <c r="E48" s="3057"/>
      <c r="F48" s="3057"/>
      <c r="G48" s="3057"/>
      <c r="H48" s="1368"/>
      <c r="I48" s="1733"/>
    </row>
  </sheetData>
  <mergeCells count="8">
    <mergeCell ref="A48:G48"/>
    <mergeCell ref="A47:G47"/>
    <mergeCell ref="A2:I2"/>
    <mergeCell ref="A3:D3"/>
    <mergeCell ref="A41:C41"/>
    <mergeCell ref="A44:G44"/>
    <mergeCell ref="A45:G45"/>
    <mergeCell ref="A46:G4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9" fitToHeight="9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CC20-B0B1-49BA-B418-D98FA0BB233A}">
  <sheetPr>
    <pageSetUpPr fitToPage="1"/>
  </sheetPr>
  <dimension ref="A1:I11"/>
  <sheetViews>
    <sheetView workbookViewId="0"/>
  </sheetViews>
  <sheetFormatPr defaultRowHeight="10.5"/>
  <cols>
    <col min="1" max="1" width="13.6640625" style="510" customWidth="1"/>
    <col min="2" max="2" width="68.6640625" style="510" customWidth="1"/>
    <col min="3" max="3" width="18.33203125" style="510" customWidth="1"/>
    <col min="4" max="256" width="9.33203125" style="510"/>
    <col min="257" max="257" width="13.6640625" style="510" customWidth="1"/>
    <col min="258" max="258" width="68.6640625" style="510" customWidth="1"/>
    <col min="259" max="259" width="18.33203125" style="510" customWidth="1"/>
    <col min="260" max="512" width="9.33203125" style="510"/>
    <col min="513" max="513" width="13.6640625" style="510" customWidth="1"/>
    <col min="514" max="514" width="68.6640625" style="510" customWidth="1"/>
    <col min="515" max="515" width="18.33203125" style="510" customWidth="1"/>
    <col min="516" max="768" width="9.33203125" style="510"/>
    <col min="769" max="769" width="13.6640625" style="510" customWidth="1"/>
    <col min="770" max="770" width="68.6640625" style="510" customWidth="1"/>
    <col min="771" max="771" width="18.33203125" style="510" customWidth="1"/>
    <col min="772" max="1024" width="9.33203125" style="510"/>
    <col min="1025" max="1025" width="13.6640625" style="510" customWidth="1"/>
    <col min="1026" max="1026" width="68.6640625" style="510" customWidth="1"/>
    <col min="1027" max="1027" width="18.33203125" style="510" customWidth="1"/>
    <col min="1028" max="1280" width="9.33203125" style="510"/>
    <col min="1281" max="1281" width="13.6640625" style="510" customWidth="1"/>
    <col min="1282" max="1282" width="68.6640625" style="510" customWidth="1"/>
    <col min="1283" max="1283" width="18.33203125" style="510" customWidth="1"/>
    <col min="1284" max="1536" width="9.33203125" style="510"/>
    <col min="1537" max="1537" width="13.6640625" style="510" customWidth="1"/>
    <col min="1538" max="1538" width="68.6640625" style="510" customWidth="1"/>
    <col min="1539" max="1539" width="18.33203125" style="510" customWidth="1"/>
    <col min="1540" max="1792" width="9.33203125" style="510"/>
    <col min="1793" max="1793" width="13.6640625" style="510" customWidth="1"/>
    <col min="1794" max="1794" width="68.6640625" style="510" customWidth="1"/>
    <col min="1795" max="1795" width="18.33203125" style="510" customWidth="1"/>
    <col min="1796" max="2048" width="9.33203125" style="510"/>
    <col min="2049" max="2049" width="13.6640625" style="510" customWidth="1"/>
    <col min="2050" max="2050" width="68.6640625" style="510" customWidth="1"/>
    <col min="2051" max="2051" width="18.33203125" style="510" customWidth="1"/>
    <col min="2052" max="2304" width="9.33203125" style="510"/>
    <col min="2305" max="2305" width="13.6640625" style="510" customWidth="1"/>
    <col min="2306" max="2306" width="68.6640625" style="510" customWidth="1"/>
    <col min="2307" max="2307" width="18.33203125" style="510" customWidth="1"/>
    <col min="2308" max="2560" width="9.33203125" style="510"/>
    <col min="2561" max="2561" width="13.6640625" style="510" customWidth="1"/>
    <col min="2562" max="2562" width="68.6640625" style="510" customWidth="1"/>
    <col min="2563" max="2563" width="18.33203125" style="510" customWidth="1"/>
    <col min="2564" max="2816" width="9.33203125" style="510"/>
    <col min="2817" max="2817" width="13.6640625" style="510" customWidth="1"/>
    <col min="2818" max="2818" width="68.6640625" style="510" customWidth="1"/>
    <col min="2819" max="2819" width="18.33203125" style="510" customWidth="1"/>
    <col min="2820" max="3072" width="9.33203125" style="510"/>
    <col min="3073" max="3073" width="13.6640625" style="510" customWidth="1"/>
    <col min="3074" max="3074" width="68.6640625" style="510" customWidth="1"/>
    <col min="3075" max="3075" width="18.33203125" style="510" customWidth="1"/>
    <col min="3076" max="3328" width="9.33203125" style="510"/>
    <col min="3329" max="3329" width="13.6640625" style="510" customWidth="1"/>
    <col min="3330" max="3330" width="68.6640625" style="510" customWidth="1"/>
    <col min="3331" max="3331" width="18.33203125" style="510" customWidth="1"/>
    <col min="3332" max="3584" width="9.33203125" style="510"/>
    <col min="3585" max="3585" width="13.6640625" style="510" customWidth="1"/>
    <col min="3586" max="3586" width="68.6640625" style="510" customWidth="1"/>
    <col min="3587" max="3587" width="18.33203125" style="510" customWidth="1"/>
    <col min="3588" max="3840" width="9.33203125" style="510"/>
    <col min="3841" max="3841" width="13.6640625" style="510" customWidth="1"/>
    <col min="3842" max="3842" width="68.6640625" style="510" customWidth="1"/>
    <col min="3843" max="3843" width="18.33203125" style="510" customWidth="1"/>
    <col min="3844" max="4096" width="9.33203125" style="510"/>
    <col min="4097" max="4097" width="13.6640625" style="510" customWidth="1"/>
    <col min="4098" max="4098" width="68.6640625" style="510" customWidth="1"/>
    <col min="4099" max="4099" width="18.33203125" style="510" customWidth="1"/>
    <col min="4100" max="4352" width="9.33203125" style="510"/>
    <col min="4353" max="4353" width="13.6640625" style="510" customWidth="1"/>
    <col min="4354" max="4354" width="68.6640625" style="510" customWidth="1"/>
    <col min="4355" max="4355" width="18.33203125" style="510" customWidth="1"/>
    <col min="4356" max="4608" width="9.33203125" style="510"/>
    <col min="4609" max="4609" width="13.6640625" style="510" customWidth="1"/>
    <col min="4610" max="4610" width="68.6640625" style="510" customWidth="1"/>
    <col min="4611" max="4611" width="18.33203125" style="510" customWidth="1"/>
    <col min="4612" max="4864" width="9.33203125" style="510"/>
    <col min="4865" max="4865" width="13.6640625" style="510" customWidth="1"/>
    <col min="4866" max="4866" width="68.6640625" style="510" customWidth="1"/>
    <col min="4867" max="4867" width="18.33203125" style="510" customWidth="1"/>
    <col min="4868" max="5120" width="9.33203125" style="510"/>
    <col min="5121" max="5121" width="13.6640625" style="510" customWidth="1"/>
    <col min="5122" max="5122" width="68.6640625" style="510" customWidth="1"/>
    <col min="5123" max="5123" width="18.33203125" style="510" customWidth="1"/>
    <col min="5124" max="5376" width="9.33203125" style="510"/>
    <col min="5377" max="5377" width="13.6640625" style="510" customWidth="1"/>
    <col min="5378" max="5378" width="68.6640625" style="510" customWidth="1"/>
    <col min="5379" max="5379" width="18.33203125" style="510" customWidth="1"/>
    <col min="5380" max="5632" width="9.33203125" style="510"/>
    <col min="5633" max="5633" width="13.6640625" style="510" customWidth="1"/>
    <col min="5634" max="5634" width="68.6640625" style="510" customWidth="1"/>
    <col min="5635" max="5635" width="18.33203125" style="510" customWidth="1"/>
    <col min="5636" max="5888" width="9.33203125" style="510"/>
    <col min="5889" max="5889" width="13.6640625" style="510" customWidth="1"/>
    <col min="5890" max="5890" width="68.6640625" style="510" customWidth="1"/>
    <col min="5891" max="5891" width="18.33203125" style="510" customWidth="1"/>
    <col min="5892" max="6144" width="9.33203125" style="510"/>
    <col min="6145" max="6145" width="13.6640625" style="510" customWidth="1"/>
    <col min="6146" max="6146" width="68.6640625" style="510" customWidth="1"/>
    <col min="6147" max="6147" width="18.33203125" style="510" customWidth="1"/>
    <col min="6148" max="6400" width="9.33203125" style="510"/>
    <col min="6401" max="6401" width="13.6640625" style="510" customWidth="1"/>
    <col min="6402" max="6402" width="68.6640625" style="510" customWidth="1"/>
    <col min="6403" max="6403" width="18.33203125" style="510" customWidth="1"/>
    <col min="6404" max="6656" width="9.33203125" style="510"/>
    <col min="6657" max="6657" width="13.6640625" style="510" customWidth="1"/>
    <col min="6658" max="6658" width="68.6640625" style="510" customWidth="1"/>
    <col min="6659" max="6659" width="18.33203125" style="510" customWidth="1"/>
    <col min="6660" max="6912" width="9.33203125" style="510"/>
    <col min="6913" max="6913" width="13.6640625" style="510" customWidth="1"/>
    <col min="6914" max="6914" width="68.6640625" style="510" customWidth="1"/>
    <col min="6915" max="6915" width="18.33203125" style="510" customWidth="1"/>
    <col min="6916" max="7168" width="9.33203125" style="510"/>
    <col min="7169" max="7169" width="13.6640625" style="510" customWidth="1"/>
    <col min="7170" max="7170" width="68.6640625" style="510" customWidth="1"/>
    <col min="7171" max="7171" width="18.33203125" style="510" customWidth="1"/>
    <col min="7172" max="7424" width="9.33203125" style="510"/>
    <col min="7425" max="7425" width="13.6640625" style="510" customWidth="1"/>
    <col min="7426" max="7426" width="68.6640625" style="510" customWidth="1"/>
    <col min="7427" max="7427" width="18.33203125" style="510" customWidth="1"/>
    <col min="7428" max="7680" width="9.33203125" style="510"/>
    <col min="7681" max="7681" width="13.6640625" style="510" customWidth="1"/>
    <col min="7682" max="7682" width="68.6640625" style="510" customWidth="1"/>
    <col min="7683" max="7683" width="18.33203125" style="510" customWidth="1"/>
    <col min="7684" max="7936" width="9.33203125" style="510"/>
    <col min="7937" max="7937" width="13.6640625" style="510" customWidth="1"/>
    <col min="7938" max="7938" width="68.6640625" style="510" customWidth="1"/>
    <col min="7939" max="7939" width="18.33203125" style="510" customWidth="1"/>
    <col min="7940" max="8192" width="9.33203125" style="510"/>
    <col min="8193" max="8193" width="13.6640625" style="510" customWidth="1"/>
    <col min="8194" max="8194" width="68.6640625" style="510" customWidth="1"/>
    <col min="8195" max="8195" width="18.33203125" style="510" customWidth="1"/>
    <col min="8196" max="8448" width="9.33203125" style="510"/>
    <col min="8449" max="8449" width="13.6640625" style="510" customWidth="1"/>
    <col min="8450" max="8450" width="68.6640625" style="510" customWidth="1"/>
    <col min="8451" max="8451" width="18.33203125" style="510" customWidth="1"/>
    <col min="8452" max="8704" width="9.33203125" style="510"/>
    <col min="8705" max="8705" width="13.6640625" style="510" customWidth="1"/>
    <col min="8706" max="8706" width="68.6640625" style="510" customWidth="1"/>
    <col min="8707" max="8707" width="18.33203125" style="510" customWidth="1"/>
    <col min="8708" max="8960" width="9.33203125" style="510"/>
    <col min="8961" max="8961" width="13.6640625" style="510" customWidth="1"/>
    <col min="8962" max="8962" width="68.6640625" style="510" customWidth="1"/>
    <col min="8963" max="8963" width="18.33203125" style="510" customWidth="1"/>
    <col min="8964" max="9216" width="9.33203125" style="510"/>
    <col min="9217" max="9217" width="13.6640625" style="510" customWidth="1"/>
    <col min="9218" max="9218" width="68.6640625" style="510" customWidth="1"/>
    <col min="9219" max="9219" width="18.33203125" style="510" customWidth="1"/>
    <col min="9220" max="9472" width="9.33203125" style="510"/>
    <col min="9473" max="9473" width="13.6640625" style="510" customWidth="1"/>
    <col min="9474" max="9474" width="68.6640625" style="510" customWidth="1"/>
    <col min="9475" max="9475" width="18.33203125" style="510" customWidth="1"/>
    <col min="9476" max="9728" width="9.33203125" style="510"/>
    <col min="9729" max="9729" width="13.6640625" style="510" customWidth="1"/>
    <col min="9730" max="9730" width="68.6640625" style="510" customWidth="1"/>
    <col min="9731" max="9731" width="18.33203125" style="510" customWidth="1"/>
    <col min="9732" max="9984" width="9.33203125" style="510"/>
    <col min="9985" max="9985" width="13.6640625" style="510" customWidth="1"/>
    <col min="9986" max="9986" width="68.6640625" style="510" customWidth="1"/>
    <col min="9987" max="9987" width="18.33203125" style="510" customWidth="1"/>
    <col min="9988" max="10240" width="9.33203125" style="510"/>
    <col min="10241" max="10241" width="13.6640625" style="510" customWidth="1"/>
    <col min="10242" max="10242" width="68.6640625" style="510" customWidth="1"/>
    <col min="10243" max="10243" width="18.33203125" style="510" customWidth="1"/>
    <col min="10244" max="10496" width="9.33203125" style="510"/>
    <col min="10497" max="10497" width="13.6640625" style="510" customWidth="1"/>
    <col min="10498" max="10498" width="68.6640625" style="510" customWidth="1"/>
    <col min="10499" max="10499" width="18.33203125" style="510" customWidth="1"/>
    <col min="10500" max="10752" width="9.33203125" style="510"/>
    <col min="10753" max="10753" width="13.6640625" style="510" customWidth="1"/>
    <col min="10754" max="10754" width="68.6640625" style="510" customWidth="1"/>
    <col min="10755" max="10755" width="18.33203125" style="510" customWidth="1"/>
    <col min="10756" max="11008" width="9.33203125" style="510"/>
    <col min="11009" max="11009" width="13.6640625" style="510" customWidth="1"/>
    <col min="11010" max="11010" width="68.6640625" style="510" customWidth="1"/>
    <col min="11011" max="11011" width="18.33203125" style="510" customWidth="1"/>
    <col min="11012" max="11264" width="9.33203125" style="510"/>
    <col min="11265" max="11265" width="13.6640625" style="510" customWidth="1"/>
    <col min="11266" max="11266" width="68.6640625" style="510" customWidth="1"/>
    <col min="11267" max="11267" width="18.33203125" style="510" customWidth="1"/>
    <col min="11268" max="11520" width="9.33203125" style="510"/>
    <col min="11521" max="11521" width="13.6640625" style="510" customWidth="1"/>
    <col min="11522" max="11522" width="68.6640625" style="510" customWidth="1"/>
    <col min="11523" max="11523" width="18.33203125" style="510" customWidth="1"/>
    <col min="11524" max="11776" width="9.33203125" style="510"/>
    <col min="11777" max="11777" width="13.6640625" style="510" customWidth="1"/>
    <col min="11778" max="11778" width="68.6640625" style="510" customWidth="1"/>
    <col min="11779" max="11779" width="18.33203125" style="510" customWidth="1"/>
    <col min="11780" max="12032" width="9.33203125" style="510"/>
    <col min="12033" max="12033" width="13.6640625" style="510" customWidth="1"/>
    <col min="12034" max="12034" width="68.6640625" style="510" customWidth="1"/>
    <col min="12035" max="12035" width="18.33203125" style="510" customWidth="1"/>
    <col min="12036" max="12288" width="9.33203125" style="510"/>
    <col min="12289" max="12289" width="13.6640625" style="510" customWidth="1"/>
    <col min="12290" max="12290" width="68.6640625" style="510" customWidth="1"/>
    <col min="12291" max="12291" width="18.33203125" style="510" customWidth="1"/>
    <col min="12292" max="12544" width="9.33203125" style="510"/>
    <col min="12545" max="12545" width="13.6640625" style="510" customWidth="1"/>
    <col min="12546" max="12546" width="68.6640625" style="510" customWidth="1"/>
    <col min="12547" max="12547" width="18.33203125" style="510" customWidth="1"/>
    <col min="12548" max="12800" width="9.33203125" style="510"/>
    <col min="12801" max="12801" width="13.6640625" style="510" customWidth="1"/>
    <col min="12802" max="12802" width="68.6640625" style="510" customWidth="1"/>
    <col min="12803" max="12803" width="18.33203125" style="510" customWidth="1"/>
    <col min="12804" max="13056" width="9.33203125" style="510"/>
    <col min="13057" max="13057" width="13.6640625" style="510" customWidth="1"/>
    <col min="13058" max="13058" width="68.6640625" style="510" customWidth="1"/>
    <col min="13059" max="13059" width="18.33203125" style="510" customWidth="1"/>
    <col min="13060" max="13312" width="9.33203125" style="510"/>
    <col min="13313" max="13313" width="13.6640625" style="510" customWidth="1"/>
    <col min="13314" max="13314" width="68.6640625" style="510" customWidth="1"/>
    <col min="13315" max="13315" width="18.33203125" style="510" customWidth="1"/>
    <col min="13316" max="13568" width="9.33203125" style="510"/>
    <col min="13569" max="13569" width="13.6640625" style="510" customWidth="1"/>
    <col min="13570" max="13570" width="68.6640625" style="510" customWidth="1"/>
    <col min="13571" max="13571" width="18.33203125" style="510" customWidth="1"/>
    <col min="13572" max="13824" width="9.33203125" style="510"/>
    <col min="13825" max="13825" width="13.6640625" style="510" customWidth="1"/>
    <col min="13826" max="13826" width="68.6640625" style="510" customWidth="1"/>
    <col min="13827" max="13827" width="18.33203125" style="510" customWidth="1"/>
    <col min="13828" max="14080" width="9.33203125" style="510"/>
    <col min="14081" max="14081" width="13.6640625" style="510" customWidth="1"/>
    <col min="14082" max="14082" width="68.6640625" style="510" customWidth="1"/>
    <col min="14083" max="14083" width="18.33203125" style="510" customWidth="1"/>
    <col min="14084" max="14336" width="9.33203125" style="510"/>
    <col min="14337" max="14337" width="13.6640625" style="510" customWidth="1"/>
    <col min="14338" max="14338" width="68.6640625" style="510" customWidth="1"/>
    <col min="14339" max="14339" width="18.33203125" style="510" customWidth="1"/>
    <col min="14340" max="14592" width="9.33203125" style="510"/>
    <col min="14593" max="14593" width="13.6640625" style="510" customWidth="1"/>
    <col min="14594" max="14594" width="68.6640625" style="510" customWidth="1"/>
    <col min="14595" max="14595" width="18.33203125" style="510" customWidth="1"/>
    <col min="14596" max="14848" width="9.33203125" style="510"/>
    <col min="14849" max="14849" width="13.6640625" style="510" customWidth="1"/>
    <col min="14850" max="14850" width="68.6640625" style="510" customWidth="1"/>
    <col min="14851" max="14851" width="18.33203125" style="510" customWidth="1"/>
    <col min="14852" max="15104" width="9.33203125" style="510"/>
    <col min="15105" max="15105" width="13.6640625" style="510" customWidth="1"/>
    <col min="15106" max="15106" width="68.6640625" style="510" customWidth="1"/>
    <col min="15107" max="15107" width="18.33203125" style="510" customWidth="1"/>
    <col min="15108" max="15360" width="9.33203125" style="510"/>
    <col min="15361" max="15361" width="13.6640625" style="510" customWidth="1"/>
    <col min="15362" max="15362" width="68.6640625" style="510" customWidth="1"/>
    <col min="15363" max="15363" width="18.33203125" style="510" customWidth="1"/>
    <col min="15364" max="15616" width="9.33203125" style="510"/>
    <col min="15617" max="15617" width="13.6640625" style="510" customWidth="1"/>
    <col min="15618" max="15618" width="68.6640625" style="510" customWidth="1"/>
    <col min="15619" max="15619" width="18.33203125" style="510" customWidth="1"/>
    <col min="15620" max="15872" width="9.33203125" style="510"/>
    <col min="15873" max="15873" width="13.6640625" style="510" customWidth="1"/>
    <col min="15874" max="15874" width="68.6640625" style="510" customWidth="1"/>
    <col min="15875" max="15875" width="18.33203125" style="510" customWidth="1"/>
    <col min="15876" max="16128" width="9.33203125" style="510"/>
    <col min="16129" max="16129" width="13.6640625" style="510" customWidth="1"/>
    <col min="16130" max="16130" width="68.6640625" style="510" customWidth="1"/>
    <col min="16131" max="16131" width="18.33203125" style="510" customWidth="1"/>
    <col min="16132" max="16384" width="9.33203125" style="510"/>
  </cols>
  <sheetData>
    <row r="1" spans="1:9" ht="20.25" customHeight="1">
      <c r="A1" s="508" t="s">
        <v>879</v>
      </c>
      <c r="B1" s="509"/>
      <c r="C1" s="509"/>
    </row>
    <row r="2" spans="1:9" s="141" customFormat="1" ht="13.5" customHeight="1">
      <c r="A2" s="3043" t="s">
        <v>116</v>
      </c>
      <c r="B2" s="3043"/>
      <c r="C2" s="3043"/>
      <c r="D2" s="511"/>
      <c r="E2" s="511"/>
      <c r="F2" s="511"/>
      <c r="G2" s="511"/>
      <c r="H2" s="511"/>
      <c r="I2" s="511"/>
    </row>
    <row r="3" spans="1:9" s="141" customFormat="1" ht="13.5" customHeight="1">
      <c r="A3" s="139" t="s">
        <v>1771</v>
      </c>
      <c r="B3" s="140"/>
      <c r="C3" s="140"/>
      <c r="D3" s="140"/>
      <c r="E3" s="140"/>
      <c r="F3" s="134"/>
      <c r="G3" s="134"/>
      <c r="H3" s="135"/>
      <c r="I3" s="135"/>
    </row>
    <row r="4" spans="1:9" ht="13.5" customHeight="1">
      <c r="A4" s="509"/>
      <c r="B4" s="509"/>
      <c r="C4" s="509"/>
    </row>
    <row r="5" spans="1:9" ht="23.25" customHeight="1">
      <c r="A5" s="512" t="s">
        <v>881</v>
      </c>
      <c r="B5" s="513" t="s">
        <v>122</v>
      </c>
      <c r="C5" s="514" t="s">
        <v>882</v>
      </c>
    </row>
    <row r="6" spans="1:9" ht="12.6" customHeight="1">
      <c r="A6" s="515">
        <v>1</v>
      </c>
      <c r="B6" s="516">
        <v>2</v>
      </c>
      <c r="C6" s="517">
        <v>3</v>
      </c>
    </row>
    <row r="7" spans="1:9" ht="21" customHeight="1">
      <c r="A7" s="518"/>
      <c r="B7" s="519"/>
      <c r="C7" s="519"/>
    </row>
    <row r="8" spans="1:9" ht="13.5" customHeight="1">
      <c r="A8" s="523">
        <v>1</v>
      </c>
      <c r="B8" s="524" t="s">
        <v>1772</v>
      </c>
      <c r="C8" s="525">
        <f>'D.2.2 VENKOVNÍ ROZVOD TEPLA-BP'!H36</f>
        <v>0</v>
      </c>
    </row>
    <row r="9" spans="1:9" ht="13.5" customHeight="1">
      <c r="A9" s="523">
        <v>2</v>
      </c>
      <c r="B9" s="524" t="s">
        <v>1773</v>
      </c>
      <c r="C9" s="526">
        <f>'D.2.2. VENKOVNÍ ROZVOD TEPLA'!H37</f>
        <v>0</v>
      </c>
    </row>
    <row r="10" spans="1:9" ht="21" customHeight="1">
      <c r="A10" s="530"/>
      <c r="B10" s="531" t="s">
        <v>1774</v>
      </c>
      <c r="C10" s="532">
        <f>SUM(C8:C9)</f>
        <v>0</v>
      </c>
    </row>
    <row r="11" spans="1:9" ht="13.5" customHeight="1">
      <c r="A11" s="533"/>
      <c r="C11" s="534"/>
    </row>
  </sheetData>
  <mergeCells count="1">
    <mergeCell ref="A2:C2"/>
  </mergeCells>
  <printOptions horizontalCentered="1"/>
  <pageMargins left="0.39370078740157483" right="0.39370078740157483" top="0.78740157480314965" bottom="0.39370078740157483" header="0.51181102362204722" footer="0.51181102362204722"/>
  <pageSetup paperSize="9" fitToHeight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AA81-474D-42CC-AA0E-6A9C45B6EE01}">
  <sheetPr>
    <pageSetUpPr fitToPage="1"/>
  </sheetPr>
  <dimension ref="A1:N43"/>
  <sheetViews>
    <sheetView zoomScaleNormal="100" workbookViewId="0"/>
  </sheetViews>
  <sheetFormatPr defaultRowHeight="15"/>
  <cols>
    <col min="1" max="1" width="4.83203125" style="985" customWidth="1"/>
    <col min="2" max="2" width="5" style="985" customWidth="1"/>
    <col min="3" max="3" width="16.83203125" style="985" customWidth="1"/>
    <col min="4" max="4" width="75.83203125" style="985" customWidth="1"/>
    <col min="5" max="5" width="7.83203125" style="985" customWidth="1"/>
    <col min="6" max="6" width="11.83203125" style="985" customWidth="1"/>
    <col min="7" max="7" width="13.6640625" style="985" customWidth="1"/>
    <col min="8" max="8" width="18.33203125" style="985" customWidth="1"/>
    <col min="9" max="9" width="20.1640625" style="985" customWidth="1"/>
    <col min="10" max="16384" width="9.33203125" style="985"/>
  </cols>
  <sheetData>
    <row r="1" spans="1:14" ht="18">
      <c r="A1" s="133" t="s">
        <v>2956</v>
      </c>
      <c r="B1" s="982"/>
      <c r="C1" s="982"/>
      <c r="D1" s="983"/>
      <c r="E1" s="984"/>
      <c r="F1" s="984"/>
      <c r="G1" s="984"/>
      <c r="H1" s="984"/>
      <c r="I1" s="984"/>
    </row>
    <row r="2" spans="1:14" ht="13.5" customHeight="1">
      <c r="A2" s="3085" t="s">
        <v>1658</v>
      </c>
      <c r="B2" s="3086"/>
      <c r="C2" s="3086"/>
      <c r="D2" s="3086"/>
      <c r="E2" s="3086"/>
      <c r="F2" s="3086"/>
      <c r="G2" s="3086"/>
      <c r="H2" s="3086"/>
      <c r="I2" s="3086"/>
    </row>
    <row r="3" spans="1:14" s="989" customFormat="1" ht="13.5" customHeight="1">
      <c r="A3" s="3085" t="s">
        <v>1736</v>
      </c>
      <c r="B3" s="3091"/>
      <c r="C3" s="3091"/>
      <c r="D3" s="3091"/>
    </row>
    <row r="4" spans="1:14" s="989" customFormat="1" ht="13.5" customHeight="1">
      <c r="A4" s="3085" t="s">
        <v>1760</v>
      </c>
      <c r="B4" s="3087"/>
      <c r="C4" s="3087"/>
      <c r="D4" s="3087"/>
    </row>
    <row r="5" spans="1:14">
      <c r="A5" s="992"/>
      <c r="B5" s="992"/>
      <c r="C5" s="992"/>
      <c r="D5" s="993"/>
      <c r="E5" s="994"/>
      <c r="F5" s="992"/>
      <c r="G5" s="992"/>
      <c r="H5" s="992"/>
      <c r="I5" s="995"/>
    </row>
    <row r="6" spans="1:14" ht="22.5">
      <c r="A6" s="996" t="s">
        <v>119</v>
      </c>
      <c r="B6" s="996" t="s">
        <v>120</v>
      </c>
      <c r="C6" s="996" t="s">
        <v>121</v>
      </c>
      <c r="D6" s="996" t="s">
        <v>122</v>
      </c>
      <c r="E6" s="996" t="s">
        <v>123</v>
      </c>
      <c r="F6" s="996" t="s">
        <v>124</v>
      </c>
      <c r="G6" s="996" t="s">
        <v>125</v>
      </c>
      <c r="H6" s="997" t="s">
        <v>2</v>
      </c>
      <c r="I6" s="998" t="s">
        <v>46</v>
      </c>
    </row>
    <row r="7" spans="1:14">
      <c r="A7" s="996" t="s">
        <v>126</v>
      </c>
      <c r="B7" s="996" t="s">
        <v>127</v>
      </c>
      <c r="C7" s="996">
        <v>3</v>
      </c>
      <c r="D7" s="996">
        <v>4</v>
      </c>
      <c r="E7" s="996">
        <v>5</v>
      </c>
      <c r="F7" s="996">
        <v>6</v>
      </c>
      <c r="G7" s="996">
        <v>7</v>
      </c>
      <c r="H7" s="997">
        <v>8</v>
      </c>
      <c r="I7" s="998">
        <v>9</v>
      </c>
    </row>
    <row r="8" spans="1:14" s="1072" customFormat="1" ht="21" customHeight="1">
      <c r="A8" s="1066"/>
      <c r="B8" s="1066"/>
      <c r="C8" s="1000" t="s">
        <v>133</v>
      </c>
      <c r="D8" s="1000" t="s">
        <v>134</v>
      </c>
      <c r="E8" s="1067"/>
      <c r="F8" s="1068"/>
      <c r="G8" s="1069"/>
      <c r="H8" s="1070">
        <f>H9+H21+H30</f>
        <v>0</v>
      </c>
      <c r="I8" s="1071"/>
    </row>
    <row r="9" spans="1:14" s="238" customFormat="1" ht="13.5" customHeight="1">
      <c r="A9" s="1026"/>
      <c r="B9" s="455"/>
      <c r="C9" s="455" t="s">
        <v>126</v>
      </c>
      <c r="D9" s="455" t="s">
        <v>135</v>
      </c>
      <c r="E9" s="455"/>
      <c r="F9" s="1006"/>
      <c r="G9" s="1007"/>
      <c r="H9" s="1007">
        <f>SUM(H10:H20)</f>
        <v>0</v>
      </c>
      <c r="I9" s="457"/>
    </row>
    <row r="10" spans="1:14" s="1024" customFormat="1" ht="27" customHeight="1">
      <c r="A10" s="1015">
        <v>1</v>
      </c>
      <c r="B10" s="460" t="s">
        <v>1737</v>
      </c>
      <c r="C10" s="460" t="s">
        <v>1738</v>
      </c>
      <c r="D10" s="1073" t="s">
        <v>1739</v>
      </c>
      <c r="E10" s="1016" t="s">
        <v>142</v>
      </c>
      <c r="F10" s="1074">
        <f>SUM(F11)</f>
        <v>10.5</v>
      </c>
      <c r="G10" s="3092" t="s">
        <v>1761</v>
      </c>
      <c r="H10" s="3093"/>
      <c r="I10" s="153" t="s">
        <v>112</v>
      </c>
      <c r="J10" s="1021"/>
      <c r="K10" s="1013"/>
      <c r="L10" s="238"/>
      <c r="N10" s="990"/>
    </row>
    <row r="11" spans="1:14" s="1024" customFormat="1" ht="13.5" customHeight="1">
      <c r="A11" s="1015"/>
      <c r="B11" s="471"/>
      <c r="C11" s="1016"/>
      <c r="D11" s="466" t="s">
        <v>1740</v>
      </c>
      <c r="E11" s="1016"/>
      <c r="F11" s="1017">
        <v>10.5</v>
      </c>
      <c r="G11" s="1018"/>
      <c r="H11" s="1019"/>
      <c r="I11" s="1020"/>
      <c r="J11" s="1021"/>
      <c r="K11" s="1022"/>
      <c r="L11" s="1023"/>
    </row>
    <row r="12" spans="1:14" s="1024" customFormat="1" ht="13.5" customHeight="1">
      <c r="A12" s="1015"/>
      <c r="B12" s="1016"/>
      <c r="C12" s="1016"/>
      <c r="D12" s="466" t="s">
        <v>1664</v>
      </c>
      <c r="E12" s="1016"/>
      <c r="F12" s="1016"/>
      <c r="G12" s="1018"/>
      <c r="H12" s="1019"/>
      <c r="I12" s="1020"/>
      <c r="J12" s="1021"/>
      <c r="K12" s="1023"/>
      <c r="L12" s="1023"/>
    </row>
    <row r="13" spans="1:14" s="1024" customFormat="1" ht="13.5" customHeight="1">
      <c r="A13" s="1015"/>
      <c r="B13" s="1016"/>
      <c r="C13" s="1016"/>
      <c r="D13" s="466" t="s">
        <v>1741</v>
      </c>
      <c r="E13" s="1016"/>
      <c r="F13" s="1016"/>
      <c r="G13" s="1018"/>
      <c r="H13" s="1019"/>
      <c r="I13" s="1020"/>
      <c r="J13" s="1021"/>
      <c r="K13" s="1023"/>
      <c r="L13" s="1023"/>
    </row>
    <row r="14" spans="1:14" s="1024" customFormat="1" ht="13.5" customHeight="1">
      <c r="A14" s="1015"/>
      <c r="B14" s="1016"/>
      <c r="C14" s="1016"/>
      <c r="D14" s="466" t="s">
        <v>1742</v>
      </c>
      <c r="E14" s="1016"/>
      <c r="F14" s="1016"/>
      <c r="G14" s="1018"/>
      <c r="H14" s="1019"/>
      <c r="I14" s="1020"/>
      <c r="J14" s="1021"/>
      <c r="K14" s="1023"/>
      <c r="L14" s="1023"/>
    </row>
    <row r="15" spans="1:14" s="1024" customFormat="1" ht="13.5" customHeight="1">
      <c r="A15" s="1015"/>
      <c r="B15" s="1016"/>
      <c r="C15" s="1016"/>
      <c r="D15" s="466" t="s">
        <v>1743</v>
      </c>
      <c r="E15" s="1016"/>
      <c r="F15" s="1016"/>
      <c r="G15" s="1018"/>
      <c r="H15" s="1019"/>
      <c r="I15" s="1020"/>
      <c r="J15" s="1021"/>
      <c r="K15" s="1023"/>
      <c r="L15" s="1023"/>
    </row>
    <row r="16" spans="1:14" s="1024" customFormat="1" ht="13.5" customHeight="1">
      <c r="A16" s="1015"/>
      <c r="B16" s="1016"/>
      <c r="C16" s="1016"/>
      <c r="D16" s="466" t="s">
        <v>1744</v>
      </c>
      <c r="E16" s="1016"/>
      <c r="F16" s="1016"/>
      <c r="G16" s="1018"/>
      <c r="H16" s="1019"/>
      <c r="I16" s="1020"/>
      <c r="J16" s="1021"/>
      <c r="K16" s="1023"/>
      <c r="L16" s="1023"/>
    </row>
    <row r="17" spans="1:12" s="1024" customFormat="1" ht="13.5" customHeight="1">
      <c r="A17" s="1015"/>
      <c r="B17" s="1016"/>
      <c r="C17" s="1016"/>
      <c r="D17" s="466" t="s">
        <v>1745</v>
      </c>
      <c r="E17" s="1016"/>
      <c r="F17" s="1016"/>
      <c r="G17" s="1018"/>
      <c r="H17" s="1019"/>
      <c r="I17" s="1020"/>
      <c r="J17" s="1021"/>
      <c r="K17" s="1023"/>
      <c r="L17" s="1023"/>
    </row>
    <row r="18" spans="1:12" s="1024" customFormat="1" ht="13.5" customHeight="1">
      <c r="A18" s="1015"/>
      <c r="B18" s="1016"/>
      <c r="C18" s="1016"/>
      <c r="D18" s="466" t="s">
        <v>1746</v>
      </c>
      <c r="E18" s="1016"/>
      <c r="F18" s="1016"/>
      <c r="G18" s="1018"/>
      <c r="H18" s="1019"/>
      <c r="I18" s="1020"/>
      <c r="J18" s="1021"/>
      <c r="K18" s="1023"/>
      <c r="L18" s="1023"/>
    </row>
    <row r="19" spans="1:12" s="1024" customFormat="1" ht="27" customHeight="1">
      <c r="A19" s="1015"/>
      <c r="B19" s="1016"/>
      <c r="C19" s="1016"/>
      <c r="D19" s="466" t="s">
        <v>1749</v>
      </c>
      <c r="E19" s="1016"/>
      <c r="F19" s="1016"/>
      <c r="G19" s="1018"/>
      <c r="H19" s="1019"/>
      <c r="I19" s="1020"/>
      <c r="J19" s="1022"/>
      <c r="K19" s="1023"/>
      <c r="L19" s="1023"/>
    </row>
    <row r="20" spans="1:12" s="1024" customFormat="1" ht="13.5" customHeight="1">
      <c r="A20" s="1015"/>
      <c r="B20" s="1016"/>
      <c r="C20" s="1016"/>
      <c r="D20" s="466" t="s">
        <v>1682</v>
      </c>
      <c r="E20" s="1016"/>
      <c r="F20" s="1016"/>
      <c r="G20" s="1018"/>
      <c r="H20" s="1019"/>
      <c r="I20" s="1020"/>
      <c r="J20" s="1022"/>
      <c r="K20" s="1023"/>
      <c r="L20" s="1023"/>
    </row>
    <row r="21" spans="1:12" s="238" customFormat="1" ht="13.5" customHeight="1">
      <c r="A21" s="1026"/>
      <c r="B21" s="455"/>
      <c r="C21" s="455">
        <v>8</v>
      </c>
      <c r="D21" s="455" t="s">
        <v>1750</v>
      </c>
      <c r="E21" s="455"/>
      <c r="F21" s="1006"/>
      <c r="G21" s="1007"/>
      <c r="H21" s="1007">
        <f>SUM(H22:H29)</f>
        <v>0</v>
      </c>
      <c r="I21" s="457"/>
    </row>
    <row r="22" spans="1:12" s="1024" customFormat="1" ht="13.5" customHeight="1">
      <c r="A22" s="1015">
        <v>2</v>
      </c>
      <c r="B22" s="460">
        <v>871</v>
      </c>
      <c r="C22" s="460" t="s">
        <v>1762</v>
      </c>
      <c r="D22" s="1073" t="s">
        <v>1763</v>
      </c>
      <c r="E22" s="1016" t="s">
        <v>142</v>
      </c>
      <c r="F22" s="1074">
        <f>SUM(F23)</f>
        <v>21</v>
      </c>
      <c r="G22" s="1018"/>
      <c r="H22" s="1019">
        <f>F22*G22</f>
        <v>0</v>
      </c>
      <c r="I22" s="153" t="s">
        <v>112</v>
      </c>
      <c r="J22" s="1021"/>
      <c r="K22" s="1022"/>
      <c r="L22" s="1023"/>
    </row>
    <row r="23" spans="1:12" s="1024" customFormat="1" ht="13.5" customHeight="1">
      <c r="A23" s="1015"/>
      <c r="B23" s="471"/>
      <c r="C23" s="1016"/>
      <c r="D23" s="466" t="s">
        <v>1764</v>
      </c>
      <c r="E23" s="1016"/>
      <c r="F23" s="1017">
        <f>10.5*2</f>
        <v>21</v>
      </c>
      <c r="G23" s="1018"/>
      <c r="H23" s="1019"/>
      <c r="I23" s="1020"/>
      <c r="J23" s="1021"/>
      <c r="K23" s="1022"/>
      <c r="L23" s="1023"/>
    </row>
    <row r="24" spans="1:12" s="1024" customFormat="1" ht="13.5" customHeight="1">
      <c r="A24" s="1015"/>
      <c r="B24" s="1016"/>
      <c r="C24" s="1016"/>
      <c r="D24" s="466" t="s">
        <v>1664</v>
      </c>
      <c r="E24" s="1016"/>
      <c r="F24" s="1016"/>
      <c r="G24" s="1018"/>
      <c r="H24" s="1019"/>
      <c r="I24" s="1020"/>
      <c r="J24" s="1022"/>
      <c r="K24" s="1023"/>
      <c r="L24" s="1023"/>
    </row>
    <row r="25" spans="1:12" s="1024" customFormat="1" ht="13.5" customHeight="1">
      <c r="A25" s="1015"/>
      <c r="B25" s="1016"/>
      <c r="C25" s="1016"/>
      <c r="D25" s="466" t="s">
        <v>1765</v>
      </c>
      <c r="E25" s="1016"/>
      <c r="F25" s="1016"/>
      <c r="G25" s="1018"/>
      <c r="H25" s="1019"/>
      <c r="I25" s="1020"/>
      <c r="J25" s="1022"/>
      <c r="K25" s="1023"/>
      <c r="L25" s="1023"/>
    </row>
    <row r="26" spans="1:12" s="1024" customFormat="1" ht="13.5" customHeight="1">
      <c r="A26" s="1015"/>
      <c r="B26" s="1016"/>
      <c r="C26" s="1016"/>
      <c r="D26" s="466" t="s">
        <v>1766</v>
      </c>
      <c r="E26" s="1016"/>
      <c r="F26" s="1016"/>
      <c r="G26" s="1018"/>
      <c r="H26" s="1019"/>
      <c r="I26" s="1020"/>
      <c r="J26" s="1022"/>
      <c r="K26" s="1023"/>
      <c r="L26" s="1023"/>
    </row>
    <row r="27" spans="1:12" s="1024" customFormat="1" ht="13.5" customHeight="1">
      <c r="A27" s="1015"/>
      <c r="B27" s="1016"/>
      <c r="C27" s="1016"/>
      <c r="D27" s="466" t="s">
        <v>1767</v>
      </c>
      <c r="E27" s="1016"/>
      <c r="F27" s="1016"/>
      <c r="G27" s="1018"/>
      <c r="H27" s="1019"/>
      <c r="I27" s="1020"/>
      <c r="J27" s="1022"/>
      <c r="K27" s="1023"/>
      <c r="L27" s="1023"/>
    </row>
    <row r="28" spans="1:12" s="1024" customFormat="1" ht="13.5" customHeight="1">
      <c r="A28" s="1015"/>
      <c r="B28" s="1016"/>
      <c r="C28" s="1016"/>
      <c r="D28" s="466" t="s">
        <v>1768</v>
      </c>
      <c r="E28" s="1016"/>
      <c r="F28" s="1016"/>
      <c r="G28" s="1018"/>
      <c r="H28" s="1019"/>
      <c r="I28" s="1020"/>
      <c r="J28" s="1022"/>
      <c r="K28" s="1023"/>
      <c r="L28" s="1023"/>
    </row>
    <row r="29" spans="1:12" s="1024" customFormat="1" ht="13.5" customHeight="1">
      <c r="A29" s="1015"/>
      <c r="B29" s="1016"/>
      <c r="C29" s="1016"/>
      <c r="D29" s="466" t="s">
        <v>1672</v>
      </c>
      <c r="E29" s="1016"/>
      <c r="F29" s="1016"/>
      <c r="G29" s="1018"/>
      <c r="H29" s="1019"/>
      <c r="I29" s="1020"/>
      <c r="J29" s="1022"/>
      <c r="K29" s="1023"/>
      <c r="L29" s="1023"/>
    </row>
    <row r="30" spans="1:12" s="463" customFormat="1" ht="13.5" customHeight="1">
      <c r="A30" s="1005"/>
      <c r="B30" s="1005"/>
      <c r="C30" s="455" t="s">
        <v>363</v>
      </c>
      <c r="D30" s="455" t="s">
        <v>364</v>
      </c>
      <c r="E30" s="455"/>
      <c r="F30" s="1006"/>
      <c r="G30" s="1007"/>
      <c r="H30" s="1007">
        <f>SUM(H31:H33)</f>
        <v>0</v>
      </c>
      <c r="I30" s="457"/>
      <c r="J30" s="1008"/>
    </row>
    <row r="31" spans="1:12" s="463" customFormat="1" ht="13.5" customHeight="1">
      <c r="A31" s="1005">
        <v>3</v>
      </c>
      <c r="B31" s="471" t="s">
        <v>1727</v>
      </c>
      <c r="C31" s="460" t="s">
        <v>366</v>
      </c>
      <c r="D31" s="460" t="s">
        <v>1728</v>
      </c>
      <c r="E31" s="460" t="s">
        <v>49</v>
      </c>
      <c r="F31" s="1010">
        <f>F32</f>
        <v>1</v>
      </c>
      <c r="G31" s="1011"/>
      <c r="H31" s="1011">
        <f>F31*G31</f>
        <v>0</v>
      </c>
      <c r="I31" s="153" t="s">
        <v>112</v>
      </c>
      <c r="J31" s="238"/>
    </row>
    <row r="32" spans="1:12" s="463" customFormat="1" ht="13.5" customHeight="1">
      <c r="A32" s="1005"/>
      <c r="B32" s="471"/>
      <c r="C32" s="460"/>
      <c r="D32" s="466" t="s">
        <v>1769</v>
      </c>
      <c r="E32" s="460"/>
      <c r="F32" s="1027">
        <v>1</v>
      </c>
      <c r="G32" s="1011"/>
      <c r="H32" s="1011"/>
      <c r="I32" s="1028"/>
      <c r="J32" s="238"/>
    </row>
    <row r="33" spans="1:10" s="226" customFormat="1" ht="27" customHeight="1">
      <c r="A33" s="1030"/>
      <c r="B33" s="1031"/>
      <c r="C33" s="1031"/>
      <c r="D33" s="466" t="s">
        <v>1734</v>
      </c>
      <c r="E33" s="1031"/>
      <c r="F33" s="1031"/>
      <c r="G33" s="1032"/>
      <c r="H33" s="1011"/>
      <c r="I33" s="153"/>
      <c r="J33" s="238"/>
    </row>
    <row r="34" spans="1:10" ht="21" customHeight="1">
      <c r="A34" s="1038"/>
      <c r="B34" s="1039"/>
      <c r="C34" s="1039"/>
      <c r="D34" s="1039" t="s">
        <v>0</v>
      </c>
      <c r="E34" s="1039"/>
      <c r="F34" s="1040"/>
      <c r="G34" s="1041"/>
      <c r="H34" s="1041">
        <f>H8</f>
        <v>0</v>
      </c>
      <c r="I34" s="1042"/>
    </row>
    <row r="35" spans="1:10">
      <c r="A35" s="1043"/>
      <c r="B35" s="1043"/>
      <c r="C35" s="1044"/>
      <c r="D35" s="1044"/>
      <c r="E35" s="1045"/>
      <c r="F35" s="1046"/>
      <c r="G35" s="1047"/>
      <c r="H35" s="1047"/>
      <c r="I35" s="1048"/>
    </row>
    <row r="36" spans="1:10" ht="13.5" customHeight="1">
      <c r="A36" s="3088" t="s">
        <v>875</v>
      </c>
      <c r="B36" s="3089"/>
      <c r="C36" s="3090"/>
      <c r="D36" s="1078" t="s">
        <v>1770</v>
      </c>
      <c r="E36" s="1050"/>
      <c r="F36" s="1051"/>
      <c r="G36" s="1052"/>
      <c r="H36" s="1053">
        <f>H34</f>
        <v>0</v>
      </c>
      <c r="I36" s="1054"/>
    </row>
    <row r="37" spans="1:10" ht="13.5" customHeight="1">
      <c r="A37" s="1055"/>
      <c r="B37" s="1056"/>
      <c r="C37" s="1056"/>
      <c r="D37" s="1057"/>
      <c r="E37" s="1058"/>
      <c r="F37" s="1059"/>
      <c r="G37" s="1060"/>
      <c r="H37" s="1061"/>
      <c r="I37" s="1042"/>
    </row>
    <row r="38" spans="1:10" ht="13.5" customHeight="1">
      <c r="A38" s="1062" t="s">
        <v>1</v>
      </c>
      <c r="B38" s="1062"/>
      <c r="C38" s="1062"/>
      <c r="D38" s="1062"/>
      <c r="E38" s="1062"/>
      <c r="F38" s="1062"/>
      <c r="G38" s="1062"/>
      <c r="H38" s="1062"/>
      <c r="I38" s="1062"/>
    </row>
    <row r="39" spans="1:10" ht="27" customHeight="1">
      <c r="A39" s="3084" t="s">
        <v>877</v>
      </c>
      <c r="B39" s="3084"/>
      <c r="C39" s="3084"/>
      <c r="D39" s="3084"/>
      <c r="E39" s="3084"/>
      <c r="F39" s="3084"/>
      <c r="G39" s="3084"/>
      <c r="H39" s="1062"/>
      <c r="I39" s="1042"/>
    </row>
    <row r="40" spans="1:10" ht="93.75" customHeight="1">
      <c r="A40" s="3084" t="s">
        <v>104</v>
      </c>
      <c r="B40" s="3084"/>
      <c r="C40" s="3084"/>
      <c r="D40" s="3084"/>
      <c r="E40" s="3084"/>
      <c r="F40" s="3084"/>
      <c r="G40" s="3084"/>
      <c r="H40" s="1062"/>
      <c r="I40" s="1062"/>
    </row>
    <row r="41" spans="1:10" ht="13.5" customHeight="1">
      <c r="A41" s="3084" t="s">
        <v>105</v>
      </c>
      <c r="B41" s="3084"/>
      <c r="C41" s="3084"/>
      <c r="D41" s="3084"/>
      <c r="E41" s="3084"/>
      <c r="F41" s="3084"/>
      <c r="G41" s="3084"/>
      <c r="H41" s="1063"/>
      <c r="I41" s="1063"/>
    </row>
    <row r="42" spans="1:10" ht="13.5" customHeight="1">
      <c r="A42" s="3084" t="s">
        <v>106</v>
      </c>
      <c r="B42" s="3084"/>
      <c r="C42" s="3084"/>
      <c r="D42" s="3084"/>
      <c r="E42" s="3084"/>
      <c r="F42" s="3084"/>
      <c r="G42" s="3084"/>
      <c r="H42" s="1063"/>
      <c r="I42" s="1063"/>
    </row>
    <row r="43" spans="1:10" s="1287" customFormat="1" ht="94.5" customHeight="1">
      <c r="A43" s="3057" t="s">
        <v>1026</v>
      </c>
      <c r="B43" s="3057"/>
      <c r="C43" s="3057"/>
      <c r="D43" s="3057"/>
      <c r="E43" s="3057"/>
      <c r="F43" s="3057"/>
      <c r="G43" s="3057"/>
      <c r="H43" s="1368"/>
      <c r="I43" s="1733"/>
    </row>
  </sheetData>
  <mergeCells count="10">
    <mergeCell ref="A43:G43"/>
    <mergeCell ref="A40:G40"/>
    <mergeCell ref="A41:G41"/>
    <mergeCell ref="A42:G42"/>
    <mergeCell ref="A2:I2"/>
    <mergeCell ref="A3:D3"/>
    <mergeCell ref="A4:D4"/>
    <mergeCell ref="G10:H10"/>
    <mergeCell ref="A36:C36"/>
    <mergeCell ref="A39:G39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9" fitToHeight="9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D17E-2765-4F53-864D-464C33141CFC}">
  <sheetPr>
    <pageSetUpPr fitToPage="1"/>
  </sheetPr>
  <dimension ref="A1:N44"/>
  <sheetViews>
    <sheetView zoomScaleNormal="100" workbookViewId="0"/>
  </sheetViews>
  <sheetFormatPr defaultRowHeight="15"/>
  <cols>
    <col min="1" max="1" width="4.83203125" style="985" customWidth="1"/>
    <col min="2" max="2" width="5" style="985" customWidth="1"/>
    <col min="3" max="3" width="16.83203125" style="985" customWidth="1"/>
    <col min="4" max="4" width="75.83203125" style="985" customWidth="1"/>
    <col min="5" max="5" width="7.83203125" style="985" customWidth="1"/>
    <col min="6" max="6" width="11.83203125" style="985" customWidth="1"/>
    <col min="7" max="7" width="13.6640625" style="985" customWidth="1"/>
    <col min="8" max="8" width="18.33203125" style="985" customWidth="1"/>
    <col min="9" max="9" width="20.1640625" style="985" customWidth="1"/>
    <col min="10" max="16384" width="9.33203125" style="985"/>
  </cols>
  <sheetData>
    <row r="1" spans="1:14" ht="18">
      <c r="A1" s="133" t="s">
        <v>2956</v>
      </c>
      <c r="B1" s="982"/>
      <c r="C1" s="982"/>
      <c r="D1" s="983"/>
      <c r="E1" s="984"/>
      <c r="F1" s="984"/>
      <c r="G1" s="984"/>
      <c r="H1" s="984"/>
      <c r="I1" s="984"/>
    </row>
    <row r="2" spans="1:14" ht="13.5" customHeight="1">
      <c r="A2" s="3085" t="s">
        <v>1658</v>
      </c>
      <c r="B2" s="3086"/>
      <c r="C2" s="3086"/>
      <c r="D2" s="3086"/>
      <c r="E2" s="3086"/>
      <c r="F2" s="3086"/>
      <c r="G2" s="3086"/>
      <c r="H2" s="3086"/>
      <c r="I2" s="3086"/>
    </row>
    <row r="3" spans="1:14" s="989" customFormat="1" ht="13.5" customHeight="1">
      <c r="A3" s="3085" t="s">
        <v>1736</v>
      </c>
      <c r="B3" s="3091"/>
      <c r="C3" s="3091"/>
      <c r="D3" s="3091"/>
    </row>
    <row r="4" spans="1:14">
      <c r="A4" s="992"/>
      <c r="B4" s="992"/>
      <c r="C4" s="992"/>
      <c r="D4" s="993"/>
      <c r="E4" s="994"/>
      <c r="F4" s="992"/>
      <c r="G4" s="992"/>
      <c r="H4" s="992"/>
      <c r="I4" s="995"/>
    </row>
    <row r="5" spans="1:14" ht="22.5">
      <c r="A5" s="996" t="s">
        <v>119</v>
      </c>
      <c r="B5" s="996" t="s">
        <v>120</v>
      </c>
      <c r="C5" s="996" t="s">
        <v>121</v>
      </c>
      <c r="D5" s="996" t="s">
        <v>122</v>
      </c>
      <c r="E5" s="996" t="s">
        <v>123</v>
      </c>
      <c r="F5" s="996" t="s">
        <v>124</v>
      </c>
      <c r="G5" s="996" t="s">
        <v>125</v>
      </c>
      <c r="H5" s="997" t="s">
        <v>2</v>
      </c>
      <c r="I5" s="998" t="s">
        <v>46</v>
      </c>
    </row>
    <row r="6" spans="1:14">
      <c r="A6" s="996" t="s">
        <v>126</v>
      </c>
      <c r="B6" s="996" t="s">
        <v>127</v>
      </c>
      <c r="C6" s="996">
        <v>3</v>
      </c>
      <c r="D6" s="996">
        <v>4</v>
      </c>
      <c r="E6" s="996">
        <v>5</v>
      </c>
      <c r="F6" s="996">
        <v>6</v>
      </c>
      <c r="G6" s="996">
        <v>7</v>
      </c>
      <c r="H6" s="997">
        <v>8</v>
      </c>
      <c r="I6" s="998">
        <v>9</v>
      </c>
    </row>
    <row r="7" spans="1:14" s="1072" customFormat="1" ht="21" customHeight="1">
      <c r="A7" s="1066"/>
      <c r="B7" s="1066"/>
      <c r="C7" s="1000" t="s">
        <v>133</v>
      </c>
      <c r="D7" s="1000" t="s">
        <v>134</v>
      </c>
      <c r="E7" s="1067"/>
      <c r="F7" s="1068"/>
      <c r="G7" s="1069"/>
      <c r="H7" s="1070">
        <f>H8+H22+H31</f>
        <v>0</v>
      </c>
      <c r="I7" s="1071"/>
    </row>
    <row r="8" spans="1:14" s="238" customFormat="1" ht="13.5" customHeight="1">
      <c r="A8" s="1026"/>
      <c r="B8" s="455"/>
      <c r="C8" s="455" t="s">
        <v>126</v>
      </c>
      <c r="D8" s="455" t="s">
        <v>135</v>
      </c>
      <c r="E8" s="455"/>
      <c r="F8" s="1006"/>
      <c r="G8" s="1007"/>
      <c r="H8" s="1007">
        <f>SUM(H9:H21)</f>
        <v>0</v>
      </c>
      <c r="I8" s="457"/>
    </row>
    <row r="9" spans="1:14" s="1024" customFormat="1" ht="13.5" customHeight="1">
      <c r="A9" s="1015">
        <v>1</v>
      </c>
      <c r="B9" s="460" t="s">
        <v>1737</v>
      </c>
      <c r="C9" s="460" t="s">
        <v>1738</v>
      </c>
      <c r="D9" s="1073" t="s">
        <v>1739</v>
      </c>
      <c r="E9" s="1016" t="s">
        <v>142</v>
      </c>
      <c r="F9" s="1074">
        <f>SUM(F10)</f>
        <v>10.5</v>
      </c>
      <c r="G9" s="1018"/>
      <c r="H9" s="1019">
        <f>F9*G9</f>
        <v>0</v>
      </c>
      <c r="I9" s="153" t="s">
        <v>112</v>
      </c>
      <c r="J9" s="1021"/>
      <c r="K9" s="1013"/>
      <c r="L9" s="238"/>
      <c r="N9" s="990"/>
    </row>
    <row r="10" spans="1:14" s="1024" customFormat="1" ht="13.5" customHeight="1">
      <c r="A10" s="1015"/>
      <c r="B10" s="471"/>
      <c r="C10" s="1016"/>
      <c r="D10" s="466" t="s">
        <v>1740</v>
      </c>
      <c r="E10" s="1016"/>
      <c r="F10" s="1017">
        <v>10.5</v>
      </c>
      <c r="G10" s="1018"/>
      <c r="H10" s="1019"/>
      <c r="I10" s="1020"/>
      <c r="J10" s="1021"/>
      <c r="K10" s="1022"/>
      <c r="L10" s="1023"/>
    </row>
    <row r="11" spans="1:14" s="1024" customFormat="1" ht="13.5" customHeight="1">
      <c r="A11" s="1015"/>
      <c r="B11" s="1016"/>
      <c r="C11" s="1016"/>
      <c r="D11" s="466" t="s">
        <v>1664</v>
      </c>
      <c r="E11" s="1016"/>
      <c r="F11" s="1016"/>
      <c r="G11" s="1018"/>
      <c r="H11" s="1019"/>
      <c r="I11" s="1020"/>
      <c r="J11" s="1021"/>
      <c r="K11" s="1023"/>
      <c r="L11" s="1023"/>
    </row>
    <row r="12" spans="1:14" s="1024" customFormat="1" ht="13.5" customHeight="1">
      <c r="A12" s="1015"/>
      <c r="B12" s="1016"/>
      <c r="C12" s="1016"/>
      <c r="D12" s="466" t="s">
        <v>1741</v>
      </c>
      <c r="E12" s="1016"/>
      <c r="F12" s="1016"/>
      <c r="G12" s="1018"/>
      <c r="H12" s="1019"/>
      <c r="I12" s="1020"/>
      <c r="J12" s="1021"/>
      <c r="K12" s="1023"/>
      <c r="L12" s="1023"/>
    </row>
    <row r="13" spans="1:14" s="1024" customFormat="1" ht="13.5" customHeight="1">
      <c r="A13" s="1015"/>
      <c r="B13" s="1016"/>
      <c r="C13" s="1016"/>
      <c r="D13" s="466" t="s">
        <v>1742</v>
      </c>
      <c r="E13" s="1016"/>
      <c r="F13" s="1016"/>
      <c r="G13" s="1018"/>
      <c r="H13" s="1019"/>
      <c r="I13" s="1020"/>
      <c r="J13" s="1021"/>
      <c r="K13" s="1023"/>
      <c r="L13" s="1023"/>
    </row>
    <row r="14" spans="1:14" s="1024" customFormat="1" ht="13.5" customHeight="1">
      <c r="A14" s="1015"/>
      <c r="B14" s="1016"/>
      <c r="C14" s="1016"/>
      <c r="D14" s="466" t="s">
        <v>1743</v>
      </c>
      <c r="E14" s="1016"/>
      <c r="F14" s="1016"/>
      <c r="G14" s="1018"/>
      <c r="H14" s="1019"/>
      <c r="I14" s="1020"/>
      <c r="J14" s="1021"/>
      <c r="K14" s="1023"/>
      <c r="L14" s="1023"/>
    </row>
    <row r="15" spans="1:14" s="1024" customFormat="1" ht="13.5" customHeight="1">
      <c r="A15" s="1015"/>
      <c r="B15" s="1016"/>
      <c r="C15" s="1016"/>
      <c r="D15" s="466" t="s">
        <v>1744</v>
      </c>
      <c r="E15" s="1016"/>
      <c r="F15" s="1016"/>
      <c r="G15" s="1018"/>
      <c r="H15" s="1019"/>
      <c r="I15" s="1020"/>
      <c r="J15" s="1021"/>
      <c r="K15" s="1023"/>
      <c r="L15" s="1023"/>
    </row>
    <row r="16" spans="1:14" s="1024" customFormat="1" ht="13.5" customHeight="1">
      <c r="A16" s="1015"/>
      <c r="B16" s="1016"/>
      <c r="C16" s="1016"/>
      <c r="D16" s="466" t="s">
        <v>1745</v>
      </c>
      <c r="E16" s="1016"/>
      <c r="F16" s="1016"/>
      <c r="G16" s="1018"/>
      <c r="H16" s="1019"/>
      <c r="I16" s="1020"/>
      <c r="J16" s="1021"/>
      <c r="K16" s="1023"/>
      <c r="L16" s="1023"/>
    </row>
    <row r="17" spans="1:12" s="1024" customFormat="1" ht="13.5" customHeight="1">
      <c r="A17" s="1015"/>
      <c r="B17" s="1016"/>
      <c r="C17" s="1016"/>
      <c r="D17" s="466" t="s">
        <v>1746</v>
      </c>
      <c r="E17" s="1016"/>
      <c r="F17" s="1016"/>
      <c r="G17" s="1018"/>
      <c r="H17" s="1019"/>
      <c r="I17" s="1020"/>
      <c r="J17" s="1021"/>
      <c r="K17" s="1023"/>
      <c r="L17" s="1023"/>
    </row>
    <row r="18" spans="1:12" s="1024" customFormat="1" ht="13.5" customHeight="1">
      <c r="A18" s="1015"/>
      <c r="B18" s="1016"/>
      <c r="C18" s="1016"/>
      <c r="D18" s="466" t="s">
        <v>1747</v>
      </c>
      <c r="E18" s="1016"/>
      <c r="F18" s="1016"/>
      <c r="G18" s="1018"/>
      <c r="H18" s="1019"/>
      <c r="I18" s="1020"/>
      <c r="J18" s="1021"/>
      <c r="K18" s="1023"/>
      <c r="L18" s="1023"/>
    </row>
    <row r="19" spans="1:12" s="1024" customFormat="1" ht="13.5" customHeight="1">
      <c r="A19" s="1015"/>
      <c r="B19" s="1016"/>
      <c r="C19" s="1016"/>
      <c r="D19" s="466" t="s">
        <v>1748</v>
      </c>
      <c r="E19" s="1016"/>
      <c r="F19" s="1016"/>
      <c r="G19" s="1018"/>
      <c r="H19" s="1019"/>
      <c r="I19" s="1020"/>
      <c r="J19" s="1021"/>
      <c r="K19" s="1023"/>
      <c r="L19" s="1023"/>
    </row>
    <row r="20" spans="1:12" s="1024" customFormat="1" ht="27" customHeight="1">
      <c r="A20" s="1015"/>
      <c r="B20" s="1016"/>
      <c r="C20" s="1016"/>
      <c r="D20" s="466" t="s">
        <v>1749</v>
      </c>
      <c r="E20" s="1016"/>
      <c r="F20" s="1016"/>
      <c r="G20" s="1018"/>
      <c r="H20" s="1019"/>
      <c r="I20" s="1020"/>
      <c r="J20" s="1022"/>
      <c r="K20" s="1023"/>
      <c r="L20" s="1023"/>
    </row>
    <row r="21" spans="1:12" s="1024" customFormat="1" ht="13.5" customHeight="1">
      <c r="A21" s="1015"/>
      <c r="B21" s="1016"/>
      <c r="C21" s="1016"/>
      <c r="D21" s="466" t="s">
        <v>1682</v>
      </c>
      <c r="E21" s="1016"/>
      <c r="F21" s="1016"/>
      <c r="G21" s="1018"/>
      <c r="H21" s="1019"/>
      <c r="I21" s="1020"/>
      <c r="J21" s="1022"/>
      <c r="K21" s="1023"/>
      <c r="L21" s="1023"/>
    </row>
    <row r="22" spans="1:12" s="238" customFormat="1" ht="13.5" customHeight="1">
      <c r="A22" s="1026"/>
      <c r="B22" s="455"/>
      <c r="C22" s="455">
        <v>8</v>
      </c>
      <c r="D22" s="455" t="s">
        <v>1750</v>
      </c>
      <c r="E22" s="455"/>
      <c r="F22" s="1006"/>
      <c r="G22" s="1007"/>
      <c r="H22" s="1007">
        <f>SUM(H23:H30)</f>
        <v>0</v>
      </c>
      <c r="I22" s="457"/>
    </row>
    <row r="23" spans="1:12" s="1024" customFormat="1" ht="13.5" customHeight="1">
      <c r="A23" s="1015">
        <v>2</v>
      </c>
      <c r="B23" s="460">
        <v>851</v>
      </c>
      <c r="C23" s="460" t="s">
        <v>1751</v>
      </c>
      <c r="D23" s="1073" t="s">
        <v>1752</v>
      </c>
      <c r="E23" s="1016" t="s">
        <v>142</v>
      </c>
      <c r="F23" s="1074">
        <f>SUM(F24)</f>
        <v>21</v>
      </c>
      <c r="G23" s="1018"/>
      <c r="H23" s="1019">
        <f>F23*G23</f>
        <v>0</v>
      </c>
      <c r="I23" s="153" t="s">
        <v>112</v>
      </c>
      <c r="J23" s="1021"/>
      <c r="K23" s="1022"/>
      <c r="L23" s="1023"/>
    </row>
    <row r="24" spans="1:12" s="1024" customFormat="1" ht="13.5" customHeight="1">
      <c r="A24" s="1015"/>
      <c r="B24" s="471"/>
      <c r="C24" s="1016"/>
      <c r="D24" s="466" t="s">
        <v>1753</v>
      </c>
      <c r="E24" s="1016"/>
      <c r="F24" s="1017">
        <f>10.5*2</f>
        <v>21</v>
      </c>
      <c r="G24" s="1018"/>
      <c r="H24" s="1019"/>
      <c r="I24" s="1075"/>
      <c r="J24" s="1021"/>
      <c r="K24" s="1022"/>
      <c r="L24" s="1023"/>
    </row>
    <row r="25" spans="1:12" s="1024" customFormat="1" ht="13.5" customHeight="1">
      <c r="A25" s="1015"/>
      <c r="B25" s="471"/>
      <c r="C25" s="1016"/>
      <c r="D25" s="466" t="s">
        <v>1664</v>
      </c>
      <c r="E25" s="1016"/>
      <c r="F25" s="1017"/>
      <c r="G25" s="1018"/>
      <c r="H25" s="1019"/>
      <c r="I25" s="1075"/>
      <c r="J25" s="1021"/>
      <c r="K25" s="1022"/>
      <c r="L25" s="1023"/>
    </row>
    <row r="26" spans="1:12" s="1024" customFormat="1" ht="13.5" customHeight="1">
      <c r="A26" s="1015"/>
      <c r="B26" s="1016"/>
      <c r="C26" s="1016"/>
      <c r="D26" s="466" t="s">
        <v>1754</v>
      </c>
      <c r="E26" s="1016"/>
      <c r="F26" s="1016"/>
      <c r="G26" s="1018"/>
      <c r="H26" s="1019"/>
      <c r="I26" s="1020"/>
      <c r="J26" s="1021"/>
      <c r="K26" s="1023"/>
      <c r="L26" s="1023"/>
    </row>
    <row r="27" spans="1:12" s="1024" customFormat="1" ht="13.5" customHeight="1">
      <c r="A27" s="1015"/>
      <c r="B27" s="1016"/>
      <c r="C27" s="1016"/>
      <c r="D27" s="466" t="s">
        <v>1755</v>
      </c>
      <c r="E27" s="1016"/>
      <c r="F27" s="1016"/>
      <c r="G27" s="1018"/>
      <c r="H27" s="1019"/>
      <c r="I27" s="1020"/>
      <c r="J27" s="1021"/>
      <c r="K27" s="1023"/>
      <c r="L27" s="1023"/>
    </row>
    <row r="28" spans="1:12" s="1024" customFormat="1" ht="13.5" customHeight="1">
      <c r="A28" s="1015"/>
      <c r="B28" s="1016"/>
      <c r="C28" s="1016"/>
      <c r="D28" s="466" t="s">
        <v>1756</v>
      </c>
      <c r="E28" s="1016"/>
      <c r="F28" s="1016"/>
      <c r="G28" s="1018"/>
      <c r="H28" s="1019"/>
      <c r="I28" s="1020"/>
      <c r="J28" s="1021"/>
      <c r="K28" s="1023"/>
      <c r="L28" s="1023"/>
    </row>
    <row r="29" spans="1:12" s="1024" customFormat="1" ht="13.5" customHeight="1">
      <c r="A29" s="1015"/>
      <c r="B29" s="1016"/>
      <c r="C29" s="1016"/>
      <c r="D29" s="466" t="s">
        <v>1757</v>
      </c>
      <c r="E29" s="1016"/>
      <c r="F29" s="1016"/>
      <c r="G29" s="1018"/>
      <c r="H29" s="1019"/>
      <c r="I29" s="1020"/>
      <c r="J29" s="1021"/>
      <c r="K29" s="1023"/>
      <c r="L29" s="1023"/>
    </row>
    <row r="30" spans="1:12" s="1024" customFormat="1" ht="13.5" customHeight="1">
      <c r="A30" s="1015"/>
      <c r="B30" s="1016"/>
      <c r="C30" s="1016"/>
      <c r="D30" s="466" t="s">
        <v>1682</v>
      </c>
      <c r="E30" s="1016"/>
      <c r="F30" s="1016"/>
      <c r="G30" s="1018"/>
      <c r="H30" s="1019"/>
      <c r="I30" s="1020"/>
      <c r="J30" s="1021"/>
      <c r="K30" s="1023"/>
      <c r="L30" s="1023"/>
    </row>
    <row r="31" spans="1:12" s="463" customFormat="1" ht="13.5" customHeight="1">
      <c r="A31" s="1005"/>
      <c r="B31" s="1005"/>
      <c r="C31" s="455" t="s">
        <v>363</v>
      </c>
      <c r="D31" s="455" t="s">
        <v>364</v>
      </c>
      <c r="E31" s="455"/>
      <c r="F31" s="1006"/>
      <c r="G31" s="1007"/>
      <c r="H31" s="1007">
        <f>SUM(H32:H34)</f>
        <v>0</v>
      </c>
      <c r="I31" s="457"/>
      <c r="J31" s="1008"/>
    </row>
    <row r="32" spans="1:12" s="463" customFormat="1" ht="13.5" customHeight="1">
      <c r="A32" s="1005">
        <v>3</v>
      </c>
      <c r="B32" s="471" t="s">
        <v>1727</v>
      </c>
      <c r="C32" s="460" t="s">
        <v>366</v>
      </c>
      <c r="D32" s="460" t="s">
        <v>1728</v>
      </c>
      <c r="E32" s="460" t="s">
        <v>49</v>
      </c>
      <c r="F32" s="1010">
        <f>F33</f>
        <v>1</v>
      </c>
      <c r="G32" s="1011"/>
      <c r="H32" s="1011">
        <f>F32*G32</f>
        <v>0</v>
      </c>
      <c r="I32" s="153" t="s">
        <v>112</v>
      </c>
      <c r="J32" s="238"/>
    </row>
    <row r="33" spans="1:10" s="463" customFormat="1" ht="13.5" customHeight="1">
      <c r="A33" s="1005"/>
      <c r="B33" s="1076"/>
      <c r="C33" s="1077"/>
      <c r="D33" s="466" t="s">
        <v>1758</v>
      </c>
      <c r="E33" s="460"/>
      <c r="F33" s="1027">
        <v>1</v>
      </c>
      <c r="G33" s="1011"/>
      <c r="H33" s="1011"/>
      <c r="I33" s="1028"/>
      <c r="J33" s="238"/>
    </row>
    <row r="34" spans="1:10" s="226" customFormat="1" ht="27" customHeight="1">
      <c r="A34" s="1030"/>
      <c r="B34" s="1031"/>
      <c r="C34" s="1031"/>
      <c r="D34" s="466" t="s">
        <v>1734</v>
      </c>
      <c r="E34" s="1031"/>
      <c r="F34" s="1031"/>
      <c r="G34" s="1032"/>
      <c r="H34" s="1011"/>
      <c r="I34" s="153"/>
      <c r="J34" s="238"/>
    </row>
    <row r="35" spans="1:10" ht="21" customHeight="1">
      <c r="A35" s="1038"/>
      <c r="B35" s="1039"/>
      <c r="C35" s="1039"/>
      <c r="D35" s="1039" t="s">
        <v>0</v>
      </c>
      <c r="E35" s="1039"/>
      <c r="F35" s="1040"/>
      <c r="G35" s="1041"/>
      <c r="H35" s="1041">
        <f>H7</f>
        <v>0</v>
      </c>
      <c r="I35" s="1042"/>
    </row>
    <row r="36" spans="1:10">
      <c r="A36" s="1043"/>
      <c r="B36" s="1043"/>
      <c r="C36" s="1044"/>
      <c r="D36" s="1044"/>
      <c r="E36" s="1045"/>
      <c r="F36" s="1046"/>
      <c r="G36" s="1047"/>
      <c r="H36" s="1047"/>
      <c r="I36" s="1048"/>
    </row>
    <row r="37" spans="1:10" ht="13.5" customHeight="1">
      <c r="A37" s="3088" t="s">
        <v>875</v>
      </c>
      <c r="B37" s="3089"/>
      <c r="C37" s="3090"/>
      <c r="D37" s="1049" t="s">
        <v>1759</v>
      </c>
      <c r="E37" s="1050"/>
      <c r="F37" s="1051"/>
      <c r="G37" s="1052"/>
      <c r="H37" s="1053">
        <f>H35</f>
        <v>0</v>
      </c>
      <c r="I37" s="1054"/>
    </row>
    <row r="38" spans="1:10" ht="13.5" customHeight="1">
      <c r="A38" s="1055"/>
      <c r="B38" s="1056"/>
      <c r="C38" s="1056"/>
      <c r="D38" s="1057"/>
      <c r="E38" s="1058"/>
      <c r="F38" s="1059"/>
      <c r="G38" s="1060"/>
      <c r="H38" s="1061"/>
      <c r="I38" s="1042"/>
    </row>
    <row r="39" spans="1:10" ht="13.5" customHeight="1">
      <c r="A39" s="1062" t="s">
        <v>1</v>
      </c>
      <c r="B39" s="1062"/>
      <c r="C39" s="1062"/>
      <c r="D39" s="1062"/>
      <c r="E39" s="1062"/>
      <c r="F39" s="1062"/>
      <c r="G39" s="1062"/>
      <c r="H39" s="1062"/>
      <c r="I39" s="1062"/>
    </row>
    <row r="40" spans="1:10" ht="27" customHeight="1">
      <c r="A40" s="3084" t="s">
        <v>877</v>
      </c>
      <c r="B40" s="3084"/>
      <c r="C40" s="3084"/>
      <c r="D40" s="3084"/>
      <c r="E40" s="3084"/>
      <c r="F40" s="3084"/>
      <c r="G40" s="3084"/>
      <c r="H40" s="1062"/>
      <c r="I40" s="1042"/>
    </row>
    <row r="41" spans="1:10" ht="93.75" customHeight="1">
      <c r="A41" s="3084" t="s">
        <v>104</v>
      </c>
      <c r="B41" s="3084"/>
      <c r="C41" s="3084"/>
      <c r="D41" s="3084"/>
      <c r="E41" s="3084"/>
      <c r="F41" s="3084"/>
      <c r="G41" s="3084"/>
      <c r="H41" s="1062"/>
      <c r="I41" s="1062"/>
    </row>
    <row r="42" spans="1:10" ht="13.5" customHeight="1">
      <c r="A42" s="3084" t="s">
        <v>105</v>
      </c>
      <c r="B42" s="3084"/>
      <c r="C42" s="3084"/>
      <c r="D42" s="3084"/>
      <c r="E42" s="3084"/>
      <c r="F42" s="3084"/>
      <c r="G42" s="3084"/>
      <c r="H42" s="1063"/>
      <c r="I42" s="1063"/>
    </row>
    <row r="43" spans="1:10" ht="13.5" customHeight="1">
      <c r="A43" s="3084" t="s">
        <v>106</v>
      </c>
      <c r="B43" s="3084"/>
      <c r="C43" s="3084"/>
      <c r="D43" s="3084"/>
      <c r="E43" s="3084"/>
      <c r="F43" s="3084"/>
      <c r="G43" s="3084"/>
      <c r="H43" s="1063"/>
      <c r="I43" s="1063"/>
    </row>
    <row r="44" spans="1:10" s="1287" customFormat="1" ht="94.5" customHeight="1">
      <c r="A44" s="3057" t="s">
        <v>1026</v>
      </c>
      <c r="B44" s="3057"/>
      <c r="C44" s="3057"/>
      <c r="D44" s="3057"/>
      <c r="E44" s="3057"/>
      <c r="F44" s="3057"/>
      <c r="G44" s="3057"/>
      <c r="H44" s="1368"/>
      <c r="I44" s="1733"/>
    </row>
  </sheetData>
  <mergeCells count="8">
    <mergeCell ref="A44:G44"/>
    <mergeCell ref="A43:G43"/>
    <mergeCell ref="A2:I2"/>
    <mergeCell ref="A3:D3"/>
    <mergeCell ref="A37:C37"/>
    <mergeCell ref="A40:G40"/>
    <mergeCell ref="A41:G41"/>
    <mergeCell ref="A42:G4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9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43</vt:i4>
      </vt:variant>
    </vt:vector>
  </HeadingPairs>
  <TitlesOfParts>
    <vt:vector size="68" baseType="lpstr">
      <vt:lpstr>KL</vt:lpstr>
      <vt:lpstr>VRN</vt:lpstr>
      <vt:lpstr>D.1.1. ASŘ - BOURACÍ PRÁCE</vt:lpstr>
      <vt:lpstr>REKAPITULACE - NS</vt:lpstr>
      <vt:lpstr>D.1.1. ASŘ - NOVÝ STAV</vt:lpstr>
      <vt:lpstr>D.1.1. VÝPIS DVEŘÍ</vt:lpstr>
      <vt:lpstr>D.1.1.c.02 - VÝPIS OKEN</vt:lpstr>
      <vt:lpstr>D.1.1.c.04. VÝPIS TRUHLÁŘ.</vt:lpstr>
      <vt:lpstr>D.1.1.c.05. VÝPIS ZÁMEČN. VÝR.</vt:lpstr>
      <vt:lpstr>D.1.1.c.06. VÝPIS KLEMP.</vt:lpstr>
      <vt:lpstr>D.1.1.c.07 VÝPIS OSTAT.</vt:lpstr>
      <vt:lpstr>D.1.4.1. ZTI</vt:lpstr>
      <vt:lpstr>D.1.4.3. VZDUCHOTECHNIKA</vt:lpstr>
      <vt:lpstr>D.1.4.4. VYTÁPENÍ</vt:lpstr>
      <vt:lpstr>D.1.4.2. ODBĚR. PLYN. ZAŘÍZ.</vt:lpstr>
      <vt:lpstr>D.1.4.6. MĚŘENÍ A REGULACE</vt:lpstr>
      <vt:lpstr>D.1.4.7. SILNOPROUD</vt:lpstr>
      <vt:lpstr>D.1.4.8. EL. KOMUNIKACE</vt:lpstr>
      <vt:lpstr>REKAPITULACE - POZEMN.KOM.+SADO</vt:lpstr>
      <vt:lpstr>D.1.4.10.2. POZEMNÍ KOMUNIKACE</vt:lpstr>
      <vt:lpstr>SADOVÉ ÚPRAVY</vt:lpstr>
      <vt:lpstr>OPLOCENÍ</vt:lpstr>
      <vt:lpstr>REKAPITULACE - ROZVOD TEPLA</vt:lpstr>
      <vt:lpstr>D.2.2 VENKOVNÍ ROZVOD TEPLA-BP</vt:lpstr>
      <vt:lpstr>D.2.2. VENKOVNÍ ROZVOD TEPLA</vt:lpstr>
      <vt:lpstr>KL!CelkemObjekty</vt:lpstr>
      <vt:lpstr>KL!dadresa</vt:lpstr>
      <vt:lpstr>KL!DIČ</vt:lpstr>
      <vt:lpstr>KL!IČO</vt:lpstr>
      <vt:lpstr>KL!NazevObjektu</vt:lpstr>
      <vt:lpstr>KL!NazevStavby</vt:lpstr>
      <vt:lpstr>'D.1.4.6. MĚŘENÍ A REGULACE'!Názvy_tisku</vt:lpstr>
      <vt:lpstr>KL!Objednatel</vt:lpstr>
      <vt:lpstr>KL!Objekt</vt:lpstr>
      <vt:lpstr>'D.1.1. ASŘ - BOURACÍ PRÁCE'!Oblast_tisku</vt:lpstr>
      <vt:lpstr>'D.1.1. ASŘ - NOVÝ STAV'!Oblast_tisku</vt:lpstr>
      <vt:lpstr>'D.1.1. VÝPIS DVEŘÍ'!Oblast_tisku</vt:lpstr>
      <vt:lpstr>'D.1.1.c.02 - VÝPIS OKEN'!Oblast_tisku</vt:lpstr>
      <vt:lpstr>'D.1.1.c.04. VÝPIS TRUHLÁŘ.'!Oblast_tisku</vt:lpstr>
      <vt:lpstr>'D.1.1.c.05. VÝPIS ZÁMEČN. VÝR.'!Oblast_tisku</vt:lpstr>
      <vt:lpstr>'D.1.1.c.06. VÝPIS KLEMP.'!Oblast_tisku</vt:lpstr>
      <vt:lpstr>'D.1.1.c.07 VÝPIS OSTAT.'!Oblast_tisku</vt:lpstr>
      <vt:lpstr>'D.1.4.1. ZTI'!Oblast_tisku</vt:lpstr>
      <vt:lpstr>'D.1.4.10.2. POZEMNÍ KOMUNIKACE'!Oblast_tisku</vt:lpstr>
      <vt:lpstr>'D.1.4.2. ODBĚR. PLYN. ZAŘÍZ.'!Oblast_tisku</vt:lpstr>
      <vt:lpstr>'D.1.4.3. VZDUCHOTECHNIKA'!Oblast_tisku</vt:lpstr>
      <vt:lpstr>'D.1.4.4. VYTÁPENÍ'!Oblast_tisku</vt:lpstr>
      <vt:lpstr>'D.1.4.6. MĚŘENÍ A REGULACE'!Oblast_tisku</vt:lpstr>
      <vt:lpstr>'D.1.4.7. SILNOPROUD'!Oblast_tisku</vt:lpstr>
      <vt:lpstr>'D.1.4.8. EL. KOMUNIKACE'!Oblast_tisku</vt:lpstr>
      <vt:lpstr>'D.2.2 VENKOVNÍ ROZVOD TEPLA-BP'!Oblast_tisku</vt:lpstr>
      <vt:lpstr>'D.2.2. VENKOVNÍ ROZVOD TEPLA'!Oblast_tisku</vt:lpstr>
      <vt:lpstr>KL!Oblast_tisku</vt:lpstr>
      <vt:lpstr>OPLOCENÍ!Oblast_tisku</vt:lpstr>
      <vt:lpstr>'REKAPITULACE - NS'!Oblast_tisku</vt:lpstr>
      <vt:lpstr>'REKAPITULACE - POZEMN.KOM.+SADO'!Oblast_tisku</vt:lpstr>
      <vt:lpstr>'REKAPITULACE - ROZVOD TEPLA'!Oblast_tisku</vt:lpstr>
      <vt:lpstr>'SADOVÉ ÚPRAVY'!Oblast_tisku</vt:lpstr>
      <vt:lpstr>VRN!Oblast_tisku</vt:lpstr>
      <vt:lpstr>KL!oico</vt:lpstr>
      <vt:lpstr>'D.1.1.c.02 - VÝPIS OKEN'!Print_Area</vt:lpstr>
      <vt:lpstr>'D.1.1.c.04. VÝPIS TRUHLÁŘ.'!Print_Area</vt:lpstr>
      <vt:lpstr>'D.1.1.c.06. VÝPIS KLEMP.'!Print_Area</vt:lpstr>
      <vt:lpstr>KL!Print_Area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Kudlik Matej</dc:creator>
  <cp:lastModifiedBy>Piskáčková Pavlína</cp:lastModifiedBy>
  <cp:lastPrinted>2024-02-22T15:53:28Z</cp:lastPrinted>
  <dcterms:created xsi:type="dcterms:W3CDTF">2013-10-14T10:08:08Z</dcterms:created>
  <dcterms:modified xsi:type="dcterms:W3CDTF">2024-05-15T11:39:55Z</dcterms:modified>
</cp:coreProperties>
</file>