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60" windowHeight="9345" firstSheet="1" activeTab="3"/>
  </bookViews>
  <sheets>
    <sheet name="Kriteria" sheetId="1" state="hidden" r:id="rId1"/>
    <sheet name="1.Manuál" sheetId="2" r:id="rId2"/>
    <sheet name="2.Tabulky_Ceny" sheetId="3" r:id="rId3"/>
    <sheet name="3.Tabulky_Platby" sheetId="4" r:id="rId4"/>
  </sheets>
  <definedNames>
    <definedName name="Attention">'Kriteria'!$C$9</definedName>
    <definedName name="Cena">'2.Tabulky_Ceny'!$D$5</definedName>
    <definedName name="Cena_Dílčí_A">'2.Tabulky_Ceny'!$D$18</definedName>
    <definedName name="Cena_Dílčí_B">'2.Tabulky_Ceny'!$D$29</definedName>
    <definedName name="Cena_Licence">'2.Tabulky_Ceny'!$D$25</definedName>
    <definedName name="Cena_Maintenace">'2.Tabulky_Ceny'!$D$26</definedName>
    <definedName name="Cena_MAX">'Kriteria'!$C$2</definedName>
    <definedName name="Cena_Nabídka">'2.Tabulky_Ceny'!$D$5</definedName>
    <definedName name="Cena_Uživatel_DOD">'2.Tabulky_Ceny'!$D$37</definedName>
    <definedName name="Cena_Vícepráce">'2.Tabulky_Ceny'!$D$38</definedName>
    <definedName name="MAX_Licence">'Kriteria'!$C$4</definedName>
    <definedName name="MAX_Maintenance">'Kriteria'!$C$5</definedName>
    <definedName name="MAX_SML_0_Období">'Kriteria'!$C$3</definedName>
    <definedName name="MAX_Vícepráce">'Kriteria'!$C$7</definedName>
    <definedName name="_xlnm.Print_Area" localSheetId="2">'2.Tabulky_Ceny'!$A$1:$E$47</definedName>
    <definedName name="_xlnm.Print_Area" localSheetId="3">'3.Tabulky_Platby'!$A$1:$J$34</definedName>
    <definedName name="Uživatele_DOD">'Kriteria'!$C$6</definedName>
    <definedName name="VER_Podíl_Licence">'Kriteria'!$D$4</definedName>
    <definedName name="VER_Podíl_Maintenance">'Kriteria'!$D$5</definedName>
    <definedName name="Vícepráce_DOD">'Kriteria'!$C$8</definedName>
  </definedNames>
  <calcPr fullCalcOnLoad="1"/>
</workbook>
</file>

<file path=xl/comments3.xml><?xml version="1.0" encoding="utf-8"?>
<comments xmlns="http://schemas.openxmlformats.org/spreadsheetml/2006/main">
  <authors>
    <author>pozner.tomas</author>
  </authors>
  <commentList>
    <comment ref="D41" authorId="0">
      <text>
        <r>
          <rPr>
            <sz val="8"/>
            <rFont val="Tahoma"/>
            <family val="0"/>
          </rPr>
          <t>Do modře vybarvených polí napište požadované údaje. Barva se následně automaticky změní</t>
        </r>
      </text>
    </comment>
  </commentList>
</comments>
</file>

<file path=xl/comments4.xml><?xml version="1.0" encoding="utf-8"?>
<comments xmlns="http://schemas.openxmlformats.org/spreadsheetml/2006/main">
  <authors>
    <author>pozner.tomas</author>
  </authors>
  <commentList>
    <comment ref="D28" authorId="0">
      <text>
        <r>
          <rPr>
            <sz val="8"/>
            <rFont val="Tahoma"/>
            <family val="0"/>
          </rPr>
          <t xml:space="preserve">Do modře vybarvených polí napište púožadované údaje. Barva se následně automaticky změní
</t>
        </r>
      </text>
    </comment>
  </commentList>
</comments>
</file>

<file path=xl/sharedStrings.xml><?xml version="1.0" encoding="utf-8"?>
<sst xmlns="http://schemas.openxmlformats.org/spreadsheetml/2006/main" count="158" uniqueCount="95">
  <si>
    <t>0. období</t>
  </si>
  <si>
    <t>1. rok</t>
  </si>
  <si>
    <t>2. rok</t>
  </si>
  <si>
    <t>3. rok</t>
  </si>
  <si>
    <t>4. rok</t>
  </si>
  <si>
    <t>Licence</t>
  </si>
  <si>
    <t>Cílový koncept projektu</t>
  </si>
  <si>
    <t>Audit VKS</t>
  </si>
  <si>
    <t>Analýza procesů ŘK</t>
  </si>
  <si>
    <t>Návrh optimalizovaného stavu procesů a interních předpisů</t>
  </si>
  <si>
    <t>maximální podíl Licence / dílčí cena</t>
  </si>
  <si>
    <t>maximální podíl pod a main / dílčí cena</t>
  </si>
  <si>
    <t>Kompletní implementace SN včetně produktivního provozu s dohledem</t>
  </si>
  <si>
    <t>Položka
číslo</t>
  </si>
  <si>
    <t>Položka - název</t>
  </si>
  <si>
    <t>Podíl</t>
  </si>
  <si>
    <t>Cena za každého 1 dodatečného uživatele</t>
  </si>
  <si>
    <t>počet dodatečných uživatelů</t>
  </si>
  <si>
    <t>Celková nabídková cena = Dílčí nabídková cena (A) + Dílčí nabídková cena (B)</t>
  </si>
  <si>
    <t>Tabulka č. 5 - Platby v jednotlivých obdobích</t>
  </si>
  <si>
    <t>Tabulka č. 6 - Platby v 0 období</t>
  </si>
  <si>
    <t>MAX</t>
  </si>
  <si>
    <t>Platby 0 období celkem</t>
  </si>
  <si>
    <t>Termín</t>
  </si>
  <si>
    <t>Platby celkem za jednotlivá období</t>
  </si>
  <si>
    <t>maximální Celková cena</t>
  </si>
  <si>
    <t>Hláška při nesplnění podmínek</t>
  </si>
  <si>
    <t>MIMO LIMIT</t>
  </si>
  <si>
    <t>Tabulka č. 2 - Dílčí nabídková cena (A)</t>
  </si>
  <si>
    <t>Tabulka č. 3 - Dílčí nabídková cena (B)</t>
  </si>
  <si>
    <t>Tabulka č. 4 - Jednotkové ceny</t>
  </si>
  <si>
    <t>Tabulka č. 1 - Rekapitulace nabídky</t>
  </si>
  <si>
    <t xml:space="preserve">Manuál k vyplnění tabulek č. 1 až 6 </t>
  </si>
  <si>
    <t>V některých uzamčených buňkách jsou definovány výpočtové vztahy, které zároveň plně reflektují podmínky zadavatele popsané v této zadávací dokumentaci (zejména omezení uvedené v kapitole 3.12.)</t>
  </si>
  <si>
    <t>Popis jednotlivých tabulek</t>
  </si>
  <si>
    <r>
      <t xml:space="preserve">Dílčí nabídková cena (A)  </t>
    </r>
    <r>
      <rPr>
        <b/>
        <sz val="8"/>
        <rFont val="Arial"/>
        <family val="2"/>
      </rPr>
      <t>[Kč]</t>
    </r>
  </si>
  <si>
    <r>
      <t xml:space="preserve">Dílčí nabídková cena (B)  </t>
    </r>
    <r>
      <rPr>
        <b/>
        <sz val="8"/>
        <rFont val="Arial"/>
        <family val="2"/>
      </rPr>
      <t>[Kč]</t>
    </r>
  </si>
  <si>
    <r>
      <t>Celková nabídková cena</t>
    </r>
    <r>
      <rPr>
        <b/>
        <sz val="8"/>
        <rFont val="Arial"/>
        <family val="2"/>
      </rPr>
      <t xml:space="preserve">   [Kč]</t>
    </r>
  </si>
  <si>
    <t>Podrobnější vysvětlení či význam některých položek je uveden v příloze č. 4a</t>
  </si>
  <si>
    <t>V tomto manuálu je popisován pouze způsob výpočtu hodnot v nepřístupných buňkách, případně informace o automatických funkcích</t>
  </si>
  <si>
    <t>Ostatní buňky (nepodbarvené žlutě) jsou vždy uzamčeny proti úpravám</t>
  </si>
  <si>
    <t>T</t>
  </si>
  <si>
    <t>Tabulka</t>
  </si>
  <si>
    <t>P</t>
  </si>
  <si>
    <t>Položka</t>
  </si>
  <si>
    <t>Význam zkratky</t>
  </si>
  <si>
    <t>Zkratka</t>
  </si>
  <si>
    <t>Typ</t>
  </si>
  <si>
    <t>Popis</t>
  </si>
  <si>
    <t>Vzorec</t>
  </si>
  <si>
    <t>Data</t>
  </si>
  <si>
    <t>V případě kdy nebudou dodržena nastavená omezení uvedené v kapitole 3.12, či jiné podmínky z této ZD, nebude dovolen takové hodnoty navstupovat, nebo se objeví v položce celkové nabídkové ceny hláška "MIMO LIMIT". Zároveň bude u nedodržené položky zobrazen popis.</t>
  </si>
  <si>
    <t>Hodnota je zadána uchazečem, přičemž musí být zadáno kladné číslo nebo 0</t>
  </si>
  <si>
    <t>maximální objem úhrady zadavatele v 0 období</t>
  </si>
  <si>
    <t>0 období - nevyplňuje se</t>
  </si>
  <si>
    <t>4 rok - vždy vyplněna hodnota vypočtená jako T3_P1 - součet hodnot uvedených za 1 až 3 rok</t>
  </si>
  <si>
    <t>0 období - součet všech hodnot ve sloupci "0 období"</t>
  </si>
  <si>
    <t>4 rok - vždy vyplněna hodnota vypočtená jako T3_P2 minus součet hodnot uvedených za 1 až 3 rok</t>
  </si>
  <si>
    <t>Cena bez DPH</t>
  </si>
  <si>
    <t>Tabulka č. 1 - Rekapitulace</t>
  </si>
  <si>
    <t>Audit vnitřního kontrolního systému</t>
  </si>
  <si>
    <t>Cena za podporu produktivního provozu a maintenance</t>
  </si>
  <si>
    <t>Veškeré požadované vstupy jsou podbarvené žlutou barvou, do těchto buněk je umožněno vstupovat hodnoty, přičemž obecně platí, že musí být vloženo celé číslo (bez desetinných míst).</t>
  </si>
  <si>
    <t>Jméno oprávněného zástupce uchazeče:</t>
  </si>
  <si>
    <t>Funkce oprávněného zástupce uchazeče:</t>
  </si>
  <si>
    <t>Podpis oprávněného zástupce uchazeče:</t>
  </si>
  <si>
    <t>Datum:</t>
  </si>
  <si>
    <t>………………………………………..</t>
  </si>
  <si>
    <t>počet hodin víceprací</t>
  </si>
  <si>
    <r>
      <t>Cena za 1 hodinu víceprace</t>
    </r>
    <r>
      <rPr>
        <sz val="8"/>
        <rFont val="Arial"/>
        <family val="2"/>
      </rPr>
      <t xml:space="preserve">    [Kč / 1 hod]</t>
    </r>
  </si>
  <si>
    <t xml:space="preserve">Analýzy a návrhy integračních vazeb a potřeb </t>
  </si>
  <si>
    <t>Analýza procesů řídící kontroly</t>
  </si>
  <si>
    <t>Například zápis T2_P7 znamená hodnota v tabulce č. 2 - Dílčí nabídková cena (A), položka č. 7</t>
  </si>
  <si>
    <t>Hodnota je součtem T2_P7 a T3_P5</t>
  </si>
  <si>
    <t xml:space="preserve"> 1 až 6</t>
  </si>
  <si>
    <t>1 rok - součet všech hodnot (položky 1 až 6+7+8) ve sloupci "1 rok"</t>
  </si>
  <si>
    <t>2 rok - součet všech hodnot (položky 1 až 6+7+8) ve sloupci "2 rok"</t>
  </si>
  <si>
    <t>3 rok - součet všech hodnot (položky 1 až 6+7+8) ve sloupci "3 rok"</t>
  </si>
  <si>
    <t>4 rok - součet všech hodnot (položky 1 až 6+7+8) ve sloupci "4 rok"</t>
  </si>
  <si>
    <t>Platba bez DPH - součet všech hodnot  (položky 1 až 6+7+8) ve sloupci "Cena celkem bez DPH"</t>
  </si>
  <si>
    <t>Platba bez DPH - vyplněna hodnota vypočtená jako T5_P9 v 0 období minus součet hodnot plateb bez DPH v položkách 1 až 4</t>
  </si>
  <si>
    <t xml:space="preserve">Platby celkem za "0 období" </t>
  </si>
  <si>
    <t>Po akceptaci cílového konceptu projektu ze strany objednatele</t>
  </si>
  <si>
    <t>Po akceptaci auditu vnitřního kontrolního systému ze strany objednatele</t>
  </si>
  <si>
    <t>Po akceptaci analýzy procesů řídící kontroly ze strany objednatele</t>
  </si>
  <si>
    <t>Po akceptaci návrhu optimalizovaného stavu procesů a interních předpisů  ze strany objednatele</t>
  </si>
  <si>
    <t xml:space="preserve">Kompletní implementace softwarového nástroje včetně cílového konceptu KISN a produktivního provozu s dohledem </t>
  </si>
  <si>
    <t>Analýzy a návrhy integračních vazeb a potřeb</t>
  </si>
  <si>
    <t>Po akceptaci kompletní implementace softwarového nástroje včetně cílového konceptu KISN a produktivního provozu s dohledem ze strany objednatele</t>
  </si>
  <si>
    <t>Po akceptaci analýzy a návrhy integračních vazeb a potřeb ze strany objednatele</t>
  </si>
  <si>
    <t>Hodnota
bez DPH</t>
  </si>
  <si>
    <t>Dílčí nabídková cena (B) bez DPH v Kč je součet položek 1 až 4 uvedených v tabulce č. 3</t>
  </si>
  <si>
    <t>Dílčí nabídková cena (A) bez DPH v Kč je za veškeré položky 1 až 6 uvedené v tabulce č. 2</t>
  </si>
  <si>
    <t>maximální jednotková cena Vícepráce</t>
  </si>
  <si>
    <t>Cena za podporu produktivního provozu a maintenance v tabulce č. 3 je celkem za 4 roky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</si>
</sst>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#,##0.0"/>
    <numFmt numFmtId="169" formatCode="#,##0.000"/>
    <numFmt numFmtId="170" formatCode="#,##0.0000"/>
    <numFmt numFmtId="171" formatCode="0.000%"/>
    <numFmt numFmtId="172" formatCode="0.0000%"/>
    <numFmt numFmtId="173" formatCode="[$-405]d\.\ mmmm\ yyyy"/>
  </numFmts>
  <fonts count="5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justify" vertical="center" wrapText="1"/>
      <protection hidden="1"/>
    </xf>
    <xf numFmtId="3" fontId="1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3" fontId="9" fillId="0" borderId="10" xfId="0" applyNumberFormat="1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justify" vertical="center" wrapText="1"/>
      <protection hidden="1"/>
    </xf>
    <xf numFmtId="3" fontId="9" fillId="0" borderId="0" xfId="0" applyNumberFormat="1" applyFont="1" applyBorder="1" applyAlignment="1" applyProtection="1">
      <alignment horizontal="right" vertical="center" wrapText="1"/>
      <protection hidden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left" vertical="center" wrapText="1"/>
      <protection hidden="1"/>
    </xf>
    <xf numFmtId="3" fontId="3" fillId="33" borderId="1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horizontal="right" vertical="center" wrapText="1"/>
      <protection hidden="1"/>
    </xf>
    <xf numFmtId="3" fontId="9" fillId="0" borderId="10" xfId="0" applyNumberFormat="1" applyFont="1" applyFill="1" applyBorder="1" applyAlignment="1" applyProtection="1">
      <alignment horizontal="right" vertical="center" wrapText="1"/>
      <protection hidden="1"/>
    </xf>
    <xf numFmtId="9" fontId="9" fillId="0" borderId="10" xfId="0" applyNumberFormat="1" applyFont="1" applyBorder="1" applyAlignment="1" applyProtection="1">
      <alignment horizontal="center" vertical="center"/>
      <protection hidden="1"/>
    </xf>
    <xf numFmtId="9" fontId="5" fillId="0" borderId="10" xfId="0" applyNumberFormat="1" applyFont="1" applyBorder="1" applyAlignment="1" applyProtection="1">
      <alignment horizontal="center" vertical="center"/>
      <protection hidden="1"/>
    </xf>
    <xf numFmtId="3" fontId="5" fillId="0" borderId="10" xfId="0" applyNumberFormat="1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vertical="center"/>
      <protection hidden="1"/>
    </xf>
    <xf numFmtId="3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7" fillId="35" borderId="0" xfId="0" applyFont="1" applyFill="1" applyAlignment="1" applyProtection="1">
      <alignment vertical="center"/>
      <protection hidden="1"/>
    </xf>
    <xf numFmtId="0" fontId="18" fillId="35" borderId="0" xfId="0" applyFont="1" applyFill="1" applyAlignment="1">
      <alignment/>
    </xf>
    <xf numFmtId="0" fontId="8" fillId="36" borderId="0" xfId="0" applyFont="1" applyFill="1" applyAlignment="1" applyProtection="1">
      <alignment horizontal="center" vertical="center"/>
      <protection hidden="1"/>
    </xf>
    <xf numFmtId="0" fontId="8" fillId="36" borderId="0" xfId="0" applyFont="1" applyFill="1" applyAlignment="1" applyProtection="1">
      <alignment horizontal="left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36" borderId="10" xfId="0" applyFont="1" applyFill="1" applyBorder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Alignment="1" applyProtection="1">
      <alignment/>
      <protection hidden="1"/>
    </xf>
    <xf numFmtId="14" fontId="5" fillId="37" borderId="0" xfId="0" applyNumberFormat="1" applyFont="1" applyFill="1" applyAlignment="1" applyProtection="1">
      <alignment horizontal="left" vertical="center"/>
      <protection hidden="1" locked="0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3" fontId="0" fillId="0" borderId="0" xfId="0" applyNumberFormat="1" applyAlignment="1" applyProtection="1">
      <alignment/>
      <protection hidden="1"/>
    </xf>
    <xf numFmtId="4" fontId="4" fillId="0" borderId="10" xfId="49" applyNumberFormat="1" applyFont="1" applyBorder="1" applyAlignment="1" applyProtection="1">
      <alignment horizontal="right" vertical="center" wrapText="1"/>
      <protection hidden="1"/>
    </xf>
    <xf numFmtId="172" fontId="4" fillId="0" borderId="10" xfId="49" applyNumberFormat="1" applyFont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9" fontId="8" fillId="0" borderId="0" xfId="49" applyFont="1" applyAlignment="1" applyProtection="1">
      <alignment/>
      <protection hidden="1"/>
    </xf>
    <xf numFmtId="3" fontId="8" fillId="0" borderId="0" xfId="0" applyNumberFormat="1" applyFont="1" applyAlignment="1" applyProtection="1">
      <alignment/>
      <protection hidden="1"/>
    </xf>
    <xf numFmtId="3" fontId="0" fillId="34" borderId="0" xfId="0" applyNumberFormat="1" applyFill="1" applyAlignment="1" applyProtection="1">
      <alignment/>
      <protection hidden="1"/>
    </xf>
    <xf numFmtId="9" fontId="0" fillId="34" borderId="0" xfId="49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5" fillId="38" borderId="0" xfId="0" applyFont="1" applyFill="1" applyAlignment="1" applyProtection="1">
      <alignment horizontal="left" vertical="center"/>
      <protection hidden="1"/>
    </xf>
    <xf numFmtId="0" fontId="15" fillId="37" borderId="0" xfId="0" applyFont="1" applyFill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 wrapText="1" indent="2"/>
      <protection hidden="1"/>
    </xf>
    <xf numFmtId="0" fontId="13" fillId="0" borderId="15" xfId="0" applyFont="1" applyBorder="1" applyAlignment="1" applyProtection="1">
      <alignment horizontal="left" vertical="center" wrapText="1" indent="2"/>
      <protection hidden="1"/>
    </xf>
    <xf numFmtId="16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3" fontId="5" fillId="0" borderId="11" xfId="0" applyNumberFormat="1" applyFont="1" applyBorder="1" applyAlignment="1" applyProtection="1">
      <alignment horizontal="right" vertical="center" wrapText="1"/>
      <protection hidden="1"/>
    </xf>
    <xf numFmtId="3" fontId="5" fillId="0" borderId="12" xfId="0" applyNumberFormat="1" applyFont="1" applyBorder="1" applyAlignment="1" applyProtection="1">
      <alignment horizontal="right" vertical="center" wrapText="1"/>
      <protection hidden="1"/>
    </xf>
    <xf numFmtId="3" fontId="5" fillId="0" borderId="13" xfId="0" applyNumberFormat="1" applyFont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3" fontId="9" fillId="0" borderId="11" xfId="0" applyNumberFormat="1" applyFont="1" applyBorder="1" applyAlignment="1" applyProtection="1">
      <alignment horizontal="right" vertical="center" wrapText="1"/>
      <protection hidden="1"/>
    </xf>
    <xf numFmtId="3" fontId="9" fillId="0" borderId="12" xfId="0" applyNumberFormat="1" applyFont="1" applyBorder="1" applyAlignment="1" applyProtection="1">
      <alignment horizontal="right" vertical="center" wrapText="1"/>
      <protection hidden="1"/>
    </xf>
    <xf numFmtId="3" fontId="9" fillId="0" borderId="13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4" fontId="5" fillId="37" borderId="0" xfId="0" applyNumberFormat="1" applyFont="1" applyFill="1" applyAlignment="1" applyProtection="1">
      <alignment horizontal="left" vertical="center"/>
      <protection hidden="1" locked="0"/>
    </xf>
    <xf numFmtId="0" fontId="0" fillId="0" borderId="10" xfId="0" applyBorder="1" applyAlignment="1" applyProtection="1">
      <alignment horizontal="left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RowColHeaders="0" zoomScalePageLayoutView="0" workbookViewId="0" topLeftCell="A1">
      <selection activeCell="C8" sqref="C8"/>
    </sheetView>
  </sheetViews>
  <sheetFormatPr defaultColWidth="9.140625" defaultRowHeight="12.75"/>
  <cols>
    <col min="1" max="1" width="1.7109375" style="0" customWidth="1"/>
    <col min="2" max="2" width="60.421875" style="0" bestFit="1" customWidth="1"/>
    <col min="3" max="3" width="13.57421875" style="0" customWidth="1"/>
    <col min="4" max="4" width="17.00390625" style="0" customWidth="1"/>
  </cols>
  <sheetData>
    <row r="1" spans="1:4" ht="12.75">
      <c r="A1" s="3"/>
      <c r="B1" s="3"/>
      <c r="C1" s="3"/>
      <c r="D1" s="3"/>
    </row>
    <row r="2" spans="1:4" ht="15">
      <c r="A2" s="3"/>
      <c r="B2" s="3" t="s">
        <v>25</v>
      </c>
      <c r="C2" s="64">
        <v>4000000</v>
      </c>
      <c r="D2" s="58">
        <f>+Cena_Dílčí_A+Cena_Dílčí_B</f>
        <v>1</v>
      </c>
    </row>
    <row r="3" spans="1:4" ht="12.75">
      <c r="A3" s="3"/>
      <c r="B3" s="3" t="s">
        <v>53</v>
      </c>
      <c r="C3" s="64">
        <v>1000000</v>
      </c>
      <c r="D3" s="3"/>
    </row>
    <row r="4" spans="1:4" ht="15">
      <c r="A4" s="3"/>
      <c r="B4" s="3" t="s">
        <v>10</v>
      </c>
      <c r="C4" s="65">
        <v>0.3</v>
      </c>
      <c r="D4" s="59">
        <f>IF(Cena_Dílčí_A=0,0,Cena_Licence/Cena_Dílčí_A)</f>
        <v>0</v>
      </c>
    </row>
    <row r="5" spans="1:4" ht="15">
      <c r="A5" s="3"/>
      <c r="B5" s="3" t="s">
        <v>11</v>
      </c>
      <c r="C5" s="65">
        <v>0.35</v>
      </c>
      <c r="D5" s="59">
        <f>IF(Cena_Dílčí_A=0,0,Cena_Maintenace/Cena_Dílčí_A)</f>
        <v>0</v>
      </c>
    </row>
    <row r="6" spans="1:4" ht="12.75">
      <c r="A6" s="3"/>
      <c r="B6" s="3" t="s">
        <v>17</v>
      </c>
      <c r="C6" s="66">
        <v>50</v>
      </c>
      <c r="D6" s="3"/>
    </row>
    <row r="7" spans="1:4" ht="12.75">
      <c r="A7" s="3"/>
      <c r="B7" s="3" t="s">
        <v>93</v>
      </c>
      <c r="C7" s="66">
        <v>1200</v>
      </c>
      <c r="D7" s="3"/>
    </row>
    <row r="8" spans="1:4" ht="12.75">
      <c r="A8" s="3"/>
      <c r="B8" s="3" t="s">
        <v>68</v>
      </c>
      <c r="C8" s="66">
        <v>700</v>
      </c>
      <c r="D8" s="3"/>
    </row>
    <row r="9" spans="1:4" ht="12.75">
      <c r="A9" s="3"/>
      <c r="B9" s="3" t="s">
        <v>26</v>
      </c>
      <c r="C9" s="3" t="s">
        <v>27</v>
      </c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60" t="s">
        <v>15</v>
      </c>
      <c r="D11" s="60" t="s">
        <v>21</v>
      </c>
    </row>
    <row r="12" spans="1:4" ht="12.75">
      <c r="A12" s="3"/>
      <c r="B12" s="61" t="s">
        <v>22</v>
      </c>
      <c r="C12" s="62">
        <f>SUM(C13:C18)</f>
        <v>1</v>
      </c>
      <c r="D12" s="63">
        <f>+MAX_SML_0_Období</f>
        <v>1000000</v>
      </c>
    </row>
    <row r="13" spans="1:4" ht="12.75">
      <c r="A13" s="3"/>
      <c r="B13" s="3" t="s">
        <v>6</v>
      </c>
      <c r="C13" s="65">
        <v>0.05</v>
      </c>
      <c r="D13" s="57">
        <f aca="true" t="shared" si="0" ref="D13:D18">+C13*MAX_SML_0_Období</f>
        <v>50000</v>
      </c>
    </row>
    <row r="14" spans="1:4" ht="12.75">
      <c r="A14" s="3"/>
      <c r="B14" s="3" t="s">
        <v>7</v>
      </c>
      <c r="C14" s="65">
        <v>0.1</v>
      </c>
      <c r="D14" s="57">
        <f t="shared" si="0"/>
        <v>100000</v>
      </c>
    </row>
    <row r="15" spans="1:4" ht="12.75">
      <c r="A15" s="3"/>
      <c r="B15" s="3" t="s">
        <v>8</v>
      </c>
      <c r="C15" s="65">
        <v>0.1</v>
      </c>
      <c r="D15" s="57">
        <f t="shared" si="0"/>
        <v>100000</v>
      </c>
    </row>
    <row r="16" spans="1:4" ht="12.75">
      <c r="A16" s="3"/>
      <c r="B16" s="3" t="s">
        <v>9</v>
      </c>
      <c r="C16" s="65">
        <v>0.25</v>
      </c>
      <c r="D16" s="57">
        <f t="shared" si="0"/>
        <v>250000</v>
      </c>
    </row>
    <row r="17" spans="1:4" ht="12.75">
      <c r="A17" s="3"/>
      <c r="B17" s="3" t="s">
        <v>12</v>
      </c>
      <c r="C17" s="65">
        <v>0.4</v>
      </c>
      <c r="D17" s="57">
        <f t="shared" si="0"/>
        <v>400000</v>
      </c>
    </row>
    <row r="18" spans="1:4" ht="12.75">
      <c r="A18" s="3"/>
      <c r="B18" s="3" t="s">
        <v>70</v>
      </c>
      <c r="C18" s="65">
        <v>0.1</v>
      </c>
      <c r="D18" s="57">
        <f t="shared" si="0"/>
        <v>100000</v>
      </c>
    </row>
  </sheetData>
  <sheetProtection password="EAA7" sheet="1" objects="1" scenarios="1" selectLockedCells="1" selectUnlockedCells="1"/>
  <conditionalFormatting sqref="D4">
    <cfRule type="cellIs" priority="1" dxfId="1" operator="greaterThan" stopIfTrue="1">
      <formula>MAX_Licence</formula>
    </cfRule>
    <cfRule type="cellIs" priority="2" dxfId="6" operator="lessThanOrEqual" stopIfTrue="1">
      <formula>MAX_Licence</formula>
    </cfRule>
  </conditionalFormatting>
  <conditionalFormatting sqref="D5">
    <cfRule type="cellIs" priority="3" dxfId="1" operator="greaterThan" stopIfTrue="1">
      <formula>MAX_Maintenance</formula>
    </cfRule>
    <cfRule type="cellIs" priority="4" dxfId="6" operator="lessThanOrEqual" stopIfTrue="1">
      <formula>MAX_Maintenance</formula>
    </cfRule>
  </conditionalFormatting>
  <conditionalFormatting sqref="D2">
    <cfRule type="cellIs" priority="5" dxfId="1" operator="greaterThan" stopIfTrue="1">
      <formula>Cena_MAX</formula>
    </cfRule>
    <cfRule type="cellIs" priority="6" dxfId="6" operator="lessThanOrEqual" stopIfTrue="1">
      <formula>Cena_MAX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3" width="10.7109375" style="2" customWidth="1"/>
    <col min="4" max="4" width="115.28125" style="0" customWidth="1"/>
    <col min="5" max="5" width="1.7109375" style="0" customWidth="1"/>
  </cols>
  <sheetData>
    <row r="1" spans="2:3" ht="4.5" customHeight="1">
      <c r="B1" s="36"/>
      <c r="C1" s="36"/>
    </row>
    <row r="2" spans="2:4" ht="18">
      <c r="B2" s="68" t="s">
        <v>32</v>
      </c>
      <c r="C2" s="68"/>
      <c r="D2" s="68"/>
    </row>
    <row r="3" ht="4.5" customHeight="1"/>
    <row r="4" spans="2:4" ht="15" customHeight="1">
      <c r="B4" s="47">
        <v>1</v>
      </c>
      <c r="C4" s="70" t="s">
        <v>39</v>
      </c>
      <c r="D4" s="70"/>
    </row>
    <row r="5" spans="2:4" ht="15" customHeight="1">
      <c r="B5" s="47">
        <v>2</v>
      </c>
      <c r="C5" s="70" t="s">
        <v>38</v>
      </c>
      <c r="D5" s="70"/>
    </row>
    <row r="6" spans="2:4" ht="30" customHeight="1">
      <c r="B6" s="47">
        <v>3</v>
      </c>
      <c r="C6" s="70" t="s">
        <v>62</v>
      </c>
      <c r="D6" s="70"/>
    </row>
    <row r="7" spans="2:4" ht="15" customHeight="1">
      <c r="B7" s="47">
        <v>4</v>
      </c>
      <c r="C7" s="70" t="s">
        <v>40</v>
      </c>
      <c r="D7" s="70"/>
    </row>
    <row r="8" spans="2:4" ht="30" customHeight="1">
      <c r="B8" s="47">
        <v>5</v>
      </c>
      <c r="C8" s="70" t="s">
        <v>33</v>
      </c>
      <c r="D8" s="70"/>
    </row>
    <row r="9" spans="2:4" ht="30" customHeight="1">
      <c r="B9" s="47">
        <v>6</v>
      </c>
      <c r="C9" s="70" t="s">
        <v>51</v>
      </c>
      <c r="D9" s="70"/>
    </row>
    <row r="10" ht="4.5" customHeight="1"/>
    <row r="11" spans="2:4" ht="18">
      <c r="B11" s="67" t="s">
        <v>34</v>
      </c>
      <c r="C11" s="67"/>
      <c r="D11" s="67"/>
    </row>
    <row r="12" ht="4.5" customHeight="1"/>
    <row r="13" spans="2:4" ht="25.5" customHeight="1">
      <c r="B13" s="41" t="s">
        <v>46</v>
      </c>
      <c r="C13" s="76" t="s">
        <v>45</v>
      </c>
      <c r="D13" s="77"/>
    </row>
    <row r="14" spans="2:4" ht="12.75">
      <c r="B14" s="42" t="s">
        <v>41</v>
      </c>
      <c r="C14" s="43" t="s">
        <v>42</v>
      </c>
      <c r="D14" s="74" t="s">
        <v>72</v>
      </c>
    </row>
    <row r="15" spans="2:4" ht="12.75">
      <c r="B15" s="42" t="s">
        <v>43</v>
      </c>
      <c r="C15" s="43" t="s">
        <v>44</v>
      </c>
      <c r="D15" s="75"/>
    </row>
    <row r="16" ht="4.5" customHeight="1"/>
    <row r="17" spans="2:4" ht="15.75">
      <c r="B17" s="37" t="s">
        <v>31</v>
      </c>
      <c r="C17" s="37"/>
      <c r="D17" s="38"/>
    </row>
    <row r="18" spans="2:3" ht="4.5" customHeight="1">
      <c r="B18" s="33"/>
      <c r="C18" s="33"/>
    </row>
    <row r="19" spans="2:4" ht="12.75">
      <c r="B19" s="44" t="s">
        <v>44</v>
      </c>
      <c r="C19" s="44" t="s">
        <v>47</v>
      </c>
      <c r="D19" s="45" t="s">
        <v>48</v>
      </c>
    </row>
    <row r="20" ht="4.5" customHeight="1"/>
    <row r="21" spans="2:4" ht="12.75">
      <c r="B21" s="42">
        <v>1</v>
      </c>
      <c r="C21" s="42" t="s">
        <v>49</v>
      </c>
      <c r="D21" s="43" t="s">
        <v>73</v>
      </c>
    </row>
    <row r="22" ht="4.5" customHeight="1"/>
    <row r="23" spans="2:4" ht="15.75">
      <c r="B23" s="37" t="s">
        <v>28</v>
      </c>
      <c r="C23" s="37"/>
      <c r="D23" s="38"/>
    </row>
    <row r="24" spans="2:4" ht="4.5" customHeight="1">
      <c r="B24" s="36"/>
      <c r="C24" s="36"/>
      <c r="D24" s="33"/>
    </row>
    <row r="25" spans="2:4" ht="12.75">
      <c r="B25" s="39" t="s">
        <v>44</v>
      </c>
      <c r="C25" s="39" t="s">
        <v>47</v>
      </c>
      <c r="D25" s="40" t="s">
        <v>48</v>
      </c>
    </row>
    <row r="26" ht="4.5" customHeight="1"/>
    <row r="27" spans="2:4" ht="12.75">
      <c r="B27" s="42">
        <v>7</v>
      </c>
      <c r="C27" s="42" t="s">
        <v>50</v>
      </c>
      <c r="D27" s="43" t="str">
        <f>+"Hodnota je zadána uchazečem, přičemž musí být zadáno číslo v intervalu od 1 maximálně však do výše "&amp;TEXT(Cena_MAX,"# ##")</f>
        <v>Hodnota je zadána uchazečem, přičemž musí být zadáno číslo v intervalu od 1 maximálně však do výše 4 000 000</v>
      </c>
    </row>
    <row r="28" ht="4.5" customHeight="1"/>
    <row r="29" spans="2:4" ht="15.75">
      <c r="B29" s="37" t="s">
        <v>29</v>
      </c>
      <c r="C29" s="37"/>
      <c r="D29" s="38"/>
    </row>
    <row r="30" ht="4.5" customHeight="1"/>
    <row r="31" spans="2:4" ht="12.75">
      <c r="B31" s="39" t="s">
        <v>44</v>
      </c>
      <c r="C31" s="39" t="s">
        <v>47</v>
      </c>
      <c r="D31" s="40" t="s">
        <v>48</v>
      </c>
    </row>
    <row r="32" ht="4.5" customHeight="1"/>
    <row r="33" spans="2:4" ht="12.75">
      <c r="B33" s="42">
        <v>1</v>
      </c>
      <c r="C33" s="42" t="s">
        <v>50</v>
      </c>
      <c r="D33" s="43" t="str">
        <f>+"Hodnota je zadána uchazečem, přičemž musí být zadáno číslo v intervalu od 0 maximálně však do výše "&amp;TEXT(MAX_Licence,"0%")&amp;" z T2_P7"</f>
        <v>Hodnota je zadána uchazečem, přičemž musí být zadáno číslo v intervalu od 0 maximálně však do výše 30% z T2_P7</v>
      </c>
    </row>
    <row r="34" spans="2:4" ht="12.75">
      <c r="B34" s="42">
        <v>2</v>
      </c>
      <c r="C34" s="42" t="s">
        <v>50</v>
      </c>
      <c r="D34" s="43" t="str">
        <f>+"Hodnota je zadána uchazečem, přičemž musí být zadáno číslo v intervalu od 0 maximálně však do výše "&amp;TEXT(MAX_Maintenance,"0%")&amp;" z T2_P7"</f>
        <v>Hodnota je zadána uchazečem, přičemž musí být zadáno číslo v intervalu od 0 maximálně však do výše 35% z T2_P7</v>
      </c>
    </row>
    <row r="35" spans="2:4" ht="12.75">
      <c r="B35" s="42">
        <v>3</v>
      </c>
      <c r="C35" s="42" t="s">
        <v>49</v>
      </c>
      <c r="D35" s="43" t="str">
        <f>+"Hodnota je součinem čísla "&amp;TEXT(Uživatele_DOD,"##")&amp;" a T4_P1"</f>
        <v>Hodnota je součinem čísla 50 a T4_P1</v>
      </c>
    </row>
    <row r="36" spans="2:4" ht="12.75">
      <c r="B36" s="42">
        <v>4</v>
      </c>
      <c r="C36" s="42" t="s">
        <v>49</v>
      </c>
      <c r="D36" s="43" t="str">
        <f>+"Hodnota je součinem čísla "&amp;TEXT(Vícepráce_DOD,"##")&amp;" a T4_P2"</f>
        <v>Hodnota je součinem čísla 700 a T4_P2</v>
      </c>
    </row>
    <row r="37" spans="2:4" ht="12.75">
      <c r="B37" s="42">
        <v>5</v>
      </c>
      <c r="C37" s="42" t="s">
        <v>49</v>
      </c>
      <c r="D37" s="43" t="str">
        <f>+"Hodnota je součtem T3_P1,T3_P2, T3_P3 a T3_P4"</f>
        <v>Hodnota je součtem T3_P1,T3_P2, T3_P3 a T3_P4</v>
      </c>
    </row>
    <row r="38" ht="4.5" customHeight="1"/>
    <row r="39" spans="2:4" ht="15.75">
      <c r="B39" s="37" t="s">
        <v>30</v>
      </c>
      <c r="C39" s="37"/>
      <c r="D39" s="38"/>
    </row>
    <row r="40" spans="2:3" ht="4.5" customHeight="1">
      <c r="B40" s="36"/>
      <c r="C40" s="36"/>
    </row>
    <row r="41" spans="2:4" ht="12.75">
      <c r="B41" s="39" t="s">
        <v>44</v>
      </c>
      <c r="C41" s="39" t="s">
        <v>47</v>
      </c>
      <c r="D41" s="40" t="s">
        <v>48</v>
      </c>
    </row>
    <row r="42" ht="4.5" customHeight="1"/>
    <row r="43" spans="2:4" ht="12.75">
      <c r="B43" s="42">
        <v>1</v>
      </c>
      <c r="C43" s="42" t="s">
        <v>50</v>
      </c>
      <c r="D43" s="43" t="s">
        <v>52</v>
      </c>
    </row>
    <row r="44" spans="2:4" ht="12.75">
      <c r="B44" s="42">
        <v>2</v>
      </c>
      <c r="C44" s="42" t="s">
        <v>50</v>
      </c>
      <c r="D44" s="43" t="s">
        <v>52</v>
      </c>
    </row>
    <row r="45" ht="4.5" customHeight="1"/>
    <row r="46" spans="2:4" ht="15.75">
      <c r="B46" s="37" t="s">
        <v>19</v>
      </c>
      <c r="C46" s="37"/>
      <c r="D46" s="38"/>
    </row>
    <row r="47" spans="2:3" ht="4.5" customHeight="1">
      <c r="B47" s="36"/>
      <c r="C47" s="36"/>
    </row>
    <row r="48" spans="2:4" ht="12.75">
      <c r="B48" s="39" t="s">
        <v>44</v>
      </c>
      <c r="C48" s="39" t="s">
        <v>47</v>
      </c>
      <c r="D48" s="40" t="s">
        <v>48</v>
      </c>
    </row>
    <row r="49" ht="4.5" customHeight="1"/>
    <row r="50" spans="2:4" ht="25.5">
      <c r="B50" s="78" t="s">
        <v>74</v>
      </c>
      <c r="C50" s="71" t="s">
        <v>49</v>
      </c>
      <c r="D50" s="46" t="str">
        <f>+"0 období - Pokud je T2_P7 menší nebo rovna "&amp;TEXT(MAX_SML_0_Období,"## #")&amp;" potom je vyplněno stejnou hodnotou jako je T2_P7, jestliže je T2_P7 vyšší, potom je vždy vyplněna hodnota "&amp;TEXT(MAX_SML_0_Období,"## #")</f>
        <v>0 období - Pokud je T2_P7 menší nebo rovna 1 000 000 potom je vyplněno stejnou hodnotou jako je T2_P7, jestliže je T2_P7 vyšší, potom je vždy vyplněna hodnota 1 000 000</v>
      </c>
    </row>
    <row r="51" spans="2:4" ht="25.5">
      <c r="B51" s="79"/>
      <c r="C51" s="72"/>
      <c r="D51" s="46" t="str">
        <f>+"1 rok - Pokud je T2_P7 menší nebo rovna "&amp;TEXT(MAX_SML_0_Období,"## #")&amp;" potom je vyplněna hodnota 0, jestliže je T2_P7 vyšší, potom je vždy vyplněna hodnota vypočtená jako (T2_P7 - "&amp;TEXT(MAX_SML_0_Období,"## #")&amp;") / 4 s tím, že výsledek je zaokrouhlen na celé koruny"</f>
        <v>1 rok - Pokud je T2_P7 menší nebo rovna 1 000 000 potom je vyplněna hodnota 0, jestliže je T2_P7 vyšší, potom je vždy vyplněna hodnota vypočtená jako (T2_P7 - 1 000 000) / 4 s tím, že výsledek je zaokrouhlen na celé koruny</v>
      </c>
    </row>
    <row r="52" spans="2:4" ht="25.5">
      <c r="B52" s="79"/>
      <c r="C52" s="72"/>
      <c r="D52" s="46" t="str">
        <f>+"2 rok - Pokud je T2_P7 menší nebo rovna "&amp;TEXT(MAX_SML_0_Období,"## #")&amp;" potom je vyplněna hodnota 0, jestliže je T2_P7 vyšší, potom je vždy vyplněna hodnota vypočtená jako (T2_P7 - "&amp;TEXT(MAX_SML_0_Období,"## #")&amp;") / 4 s tím, že výsledek je zaokrouhlen na celé koruny"</f>
        <v>2 rok - Pokud je T2_P7 menší nebo rovna 1 000 000 potom je vyplněna hodnota 0, jestliže je T2_P7 vyšší, potom je vždy vyplněna hodnota vypočtená jako (T2_P7 - 1 000 000) / 4 s tím, že výsledek je zaokrouhlen na celé koruny</v>
      </c>
    </row>
    <row r="53" spans="2:4" ht="25.5">
      <c r="B53" s="79"/>
      <c r="C53" s="72"/>
      <c r="D53" s="46" t="str">
        <f>+"3 rok - Pokud je T2_P7 menší nebo rovna "&amp;TEXT(MAX_SML_0_Období,"## #")&amp;" potom je vyplněna hodnota 0, jestliže je T2_P7 vyšší, potom je vždy vyplněna hodnota vypočtená jako (T2_P7 - "&amp;TEXT(MAX_SML_0_Období,"## #")&amp;") / 4 s tím, že výsledek je zaokrouhlen na celé koruny"</f>
        <v>3 rok - Pokud je T2_P7 menší nebo rovna 1 000 000 potom je vyplněna hodnota 0, jestliže je T2_P7 vyšší, potom je vždy vyplněna hodnota vypočtená jako (T2_P7 - 1 000 000) / 4 s tím, že výsledek je zaokrouhlen na celé koruny</v>
      </c>
    </row>
    <row r="54" spans="2:4" ht="25.5">
      <c r="B54" s="79"/>
      <c r="C54" s="72"/>
      <c r="D54" s="46" t="str">
        <f>+"4 rok - Pokud je T2_P7 menší nebo rovna "&amp;TEXT(MAX_SML_0_Období,"## #")&amp;" potom je vyplněna hodnota 0, jestliže je T2_P7 vyšší, potom je vždy vyplněna hodnota vypočtená jako T2_P7 - součet hodnot uvedených za 1 až 3 rok"</f>
        <v>4 rok - Pokud je T2_P7 menší nebo rovna 1 000 000 potom je vyplněna hodnota 0, jestliže je T2_P7 vyšší, potom je vždy vyplněna hodnota vypočtená jako T2_P7 - součet hodnot uvedených za 1 až 3 rok</v>
      </c>
    </row>
    <row r="55" spans="2:4" ht="25.5">
      <c r="B55" s="80"/>
      <c r="C55" s="73"/>
      <c r="D55" s="46" t="str">
        <f>+"Platba bez DPH - vyplněna hodnota vypočtená jako součet hodnot uvedených za 0 období + 1 až 4 rok ; hodnota musí být vždy rovna T2_P7"</f>
        <v>Platba bez DPH - vyplněna hodnota vypočtená jako součet hodnot uvedených za 0 období + 1 až 4 rok ; hodnota musí být vždy rovna T2_P7</v>
      </c>
    </row>
    <row r="56" spans="2:4" ht="12.75">
      <c r="B56" s="71">
        <v>7</v>
      </c>
      <c r="C56" s="71" t="s">
        <v>49</v>
      </c>
      <c r="D56" s="46" t="s">
        <v>54</v>
      </c>
    </row>
    <row r="57" spans="2:4" ht="12.75">
      <c r="B57" s="72"/>
      <c r="C57" s="72"/>
      <c r="D57" s="46" t="str">
        <f>+"1 rok - vždy vyplněna hodnota vypočtená jako T3_P1 / 4 s tím, že výsledek je zaokrouhlen na celé koruny"</f>
        <v>1 rok - vždy vyplněna hodnota vypočtená jako T3_P1 / 4 s tím, že výsledek je zaokrouhlen na celé koruny</v>
      </c>
    </row>
    <row r="58" spans="2:4" ht="12.75">
      <c r="B58" s="72"/>
      <c r="C58" s="72"/>
      <c r="D58" s="46" t="str">
        <f>+"2 rok - vždy vyplněna hodnota vypočtená jako T3_P1 / 4 s tím, že výsledek je zaokrouhlen na celé koruny"</f>
        <v>2 rok - vždy vyplněna hodnota vypočtená jako T3_P1 / 4 s tím, že výsledek je zaokrouhlen na celé koruny</v>
      </c>
    </row>
    <row r="59" spans="2:4" ht="12.75">
      <c r="B59" s="72"/>
      <c r="C59" s="72"/>
      <c r="D59" s="46" t="str">
        <f>+"3 rok - vždy vyplněna hodnota vypočtená jako T3_P1 / 4 s tím, že výsledek je zaokrouhlen na celé koruny"</f>
        <v>3 rok - vždy vyplněna hodnota vypočtená jako T3_P1 / 4 s tím, že výsledek je zaokrouhlen na celé koruny</v>
      </c>
    </row>
    <row r="60" spans="2:4" ht="12.75">
      <c r="B60" s="72"/>
      <c r="C60" s="72"/>
      <c r="D60" s="46" t="s">
        <v>55</v>
      </c>
    </row>
    <row r="61" spans="2:4" ht="12.75">
      <c r="B61" s="73"/>
      <c r="C61" s="73"/>
      <c r="D61" s="46" t="str">
        <f>+"Platba bez DPH - vyplněna hodnota vypočtená jako součet hodnot uvedených za 1 až 4 rok ; hodnota musí být vždy rovna T3_P1"</f>
        <v>Platba bez DPH - vyplněna hodnota vypočtená jako součet hodnot uvedených za 1 až 4 rok ; hodnota musí být vždy rovna T3_P1</v>
      </c>
    </row>
    <row r="62" spans="2:4" ht="12.75">
      <c r="B62" s="71">
        <v>8</v>
      </c>
      <c r="C62" s="71" t="s">
        <v>49</v>
      </c>
      <c r="D62" s="46" t="s">
        <v>54</v>
      </c>
    </row>
    <row r="63" spans="2:4" ht="12.75">
      <c r="B63" s="72"/>
      <c r="C63" s="72"/>
      <c r="D63" s="46" t="str">
        <f>+"1 rok - vždy vyplněna hodnota vypočtená jako T3_P2 / 4 s tím, že výsledek je zaokrouhlen na celé koruny"</f>
        <v>1 rok - vždy vyplněna hodnota vypočtená jako T3_P2 / 4 s tím, že výsledek je zaokrouhlen na celé koruny</v>
      </c>
    </row>
    <row r="64" spans="2:4" ht="12.75">
      <c r="B64" s="72"/>
      <c r="C64" s="72"/>
      <c r="D64" s="46" t="str">
        <f>+"2 rok - vždy vyplněna hodnota vypočtená jako T3_P2 / 4 s tím, že výsledek je zaokrouhlen na celé koruny"</f>
        <v>2 rok - vždy vyplněna hodnota vypočtená jako T3_P2 / 4 s tím, že výsledek je zaokrouhlen na celé koruny</v>
      </c>
    </row>
    <row r="65" spans="2:4" ht="12.75">
      <c r="B65" s="72"/>
      <c r="C65" s="72"/>
      <c r="D65" s="46" t="str">
        <f>+"3 rok - vždy vyplněna hodnota vypočtená jako T3_P2 / 4 s tím, že výsledek je zaokrouhlen na celé koruny"</f>
        <v>3 rok - vždy vyplněna hodnota vypočtená jako T3_P2 / 4 s tím, že výsledek je zaokrouhlen na celé koruny</v>
      </c>
    </row>
    <row r="66" spans="2:4" ht="12.75">
      <c r="B66" s="72"/>
      <c r="C66" s="72"/>
      <c r="D66" s="46" t="s">
        <v>57</v>
      </c>
    </row>
    <row r="67" spans="2:4" ht="12.75">
      <c r="B67" s="73"/>
      <c r="C67" s="73"/>
      <c r="D67" s="46" t="str">
        <f>+"Platba bez DPH - vyplněna hodnota vypočtená jako součet hodnot uvedených za 1 až 4 rok ; hodnota musí být vždy rovna T3_P2"</f>
        <v>Platba bez DPH - vyplněna hodnota vypočtená jako součet hodnot uvedených za 1 až 4 rok ; hodnota musí být vždy rovna T3_P2</v>
      </c>
    </row>
    <row r="68" spans="2:4" ht="12.75">
      <c r="B68" s="69">
        <v>9</v>
      </c>
      <c r="C68" s="69" t="s">
        <v>49</v>
      </c>
      <c r="D68" s="48" t="s">
        <v>56</v>
      </c>
    </row>
    <row r="69" spans="2:4" ht="12.75">
      <c r="B69" s="69"/>
      <c r="C69" s="69"/>
      <c r="D69" s="48" t="s">
        <v>75</v>
      </c>
    </row>
    <row r="70" spans="2:4" ht="12.75">
      <c r="B70" s="69"/>
      <c r="C70" s="69"/>
      <c r="D70" s="48" t="s">
        <v>76</v>
      </c>
    </row>
    <row r="71" spans="2:4" ht="12.75">
      <c r="B71" s="69"/>
      <c r="C71" s="69"/>
      <c r="D71" s="48" t="s">
        <v>77</v>
      </c>
    </row>
    <row r="72" spans="2:4" ht="12.75">
      <c r="B72" s="69"/>
      <c r="C72" s="69"/>
      <c r="D72" s="48" t="s">
        <v>78</v>
      </c>
    </row>
    <row r="73" spans="2:4" ht="12.75">
      <c r="B73" s="69"/>
      <c r="C73" s="69"/>
      <c r="D73" s="48" t="s">
        <v>79</v>
      </c>
    </row>
    <row r="74" ht="4.5" customHeight="1"/>
    <row r="75" spans="2:4" ht="15.75">
      <c r="B75" s="37" t="s">
        <v>20</v>
      </c>
      <c r="C75" s="37"/>
      <c r="D75" s="38"/>
    </row>
    <row r="76" spans="2:3" ht="4.5" customHeight="1">
      <c r="B76" s="36"/>
      <c r="C76" s="36"/>
    </row>
    <row r="77" spans="2:4" ht="12.75">
      <c r="B77" s="39" t="s">
        <v>44</v>
      </c>
      <c r="C77" s="39" t="s">
        <v>47</v>
      </c>
      <c r="D77" s="40" t="s">
        <v>48</v>
      </c>
    </row>
    <row r="78" ht="4.5" customHeight="1"/>
    <row r="79" spans="2:4" ht="25.5">
      <c r="B79" s="47">
        <v>1</v>
      </c>
      <c r="C79" s="47" t="s">
        <v>49</v>
      </c>
      <c r="D79" s="48" t="str">
        <f>"Platba bez DPH - vždy vyplněna hodnota vypočtená jako součin zadavatelem stanoveného podílu ve výši "&amp;TEXT(Kriteria!C13,"0%")&amp;" a T5_P9 za 0 období s tím, že výsledek je zaokrouhlen na celé koruny"</f>
        <v>Platba bez DPH - vždy vyplněna hodnota vypočtená jako součin zadavatelem stanoveného podílu ve výši 5% a T5_P9 za 0 období s tím, že výsledek je zaokrouhlen na celé koruny</v>
      </c>
    </row>
    <row r="80" spans="2:4" ht="25.5">
      <c r="B80" s="47">
        <v>2</v>
      </c>
      <c r="C80" s="47" t="s">
        <v>49</v>
      </c>
      <c r="D80" s="48" t="str">
        <f>"Platba bez DPH - vždy vyplněna hodnota vypočtená jako součin zadavatelem stanoveného podílu ve výši "&amp;TEXT(Kriteria!C14,"0%")&amp;" a T5_P9 za 0 období s tím, že výsledek je zaokrouhlen na celé koruny"</f>
        <v>Platba bez DPH - vždy vyplněna hodnota vypočtená jako součin zadavatelem stanoveného podílu ve výši 10% a T5_P9 za 0 období s tím, že výsledek je zaokrouhlen na celé koruny</v>
      </c>
    </row>
    <row r="81" spans="2:4" ht="25.5">
      <c r="B81" s="47">
        <v>3</v>
      </c>
      <c r="C81" s="47" t="s">
        <v>49</v>
      </c>
      <c r="D81" s="48" t="str">
        <f>"Platba bez DPH - vždy vyplněna hodnota vypočtená jako součin zadavatelem stanoveného podílu ve výši "&amp;TEXT(Kriteria!C15,"0%")&amp;" a T5_P9 za 0 období s tím, že výsledek je zaokrouhlen na celé koruny"</f>
        <v>Platba bez DPH - vždy vyplněna hodnota vypočtená jako součin zadavatelem stanoveného podílu ve výši 10% a T5_P9 za 0 období s tím, že výsledek je zaokrouhlen na celé koruny</v>
      </c>
    </row>
    <row r="82" spans="2:4" ht="25.5">
      <c r="B82" s="47">
        <v>4</v>
      </c>
      <c r="C82" s="47" t="s">
        <v>49</v>
      </c>
      <c r="D82" s="48" t="str">
        <f>"Platba bez DPH - vždy vyplněna hodnota vypočtená jako součin zadavatelem stanoveného podílu ve výši "&amp;TEXT(Kriteria!C16,"0%")&amp;" a T5_P9 za 0 období s tím, že výsledek je zaokrouhlen na celé koruny"</f>
        <v>Platba bez DPH - vždy vyplněna hodnota vypočtená jako součin zadavatelem stanoveného podílu ve výši 25% a T5_P9 za 0 období s tím, že výsledek je zaokrouhlen na celé koruny</v>
      </c>
    </row>
    <row r="83" spans="2:4" ht="25.5">
      <c r="B83" s="47">
        <v>5</v>
      </c>
      <c r="C83" s="47" t="s">
        <v>49</v>
      </c>
      <c r="D83" s="48" t="str">
        <f>"Platba bez DPH - vždy vyplněna hodnota vypočtená jako součin zadavatelem stanoveného podílu ve výši "&amp;TEXT(Kriteria!C17,"0%")&amp;" a T5_P9 za 0 období s tím, že výsledek je zaokrouhlen na celé koruny"</f>
        <v>Platba bez DPH - vždy vyplněna hodnota vypočtená jako součin zadavatelem stanoveného podílu ve výši 40% a T5_P9 za 0 období s tím, že výsledek je zaokrouhlen na celé koruny</v>
      </c>
    </row>
    <row r="84" spans="2:4" ht="15" customHeight="1">
      <c r="B84" s="47">
        <v>6</v>
      </c>
      <c r="C84" s="47" t="s">
        <v>49</v>
      </c>
      <c r="D84" s="46" t="s">
        <v>80</v>
      </c>
    </row>
    <row r="85" spans="2:4" ht="25.5">
      <c r="B85" s="47">
        <v>7</v>
      </c>
      <c r="C85" s="47" t="s">
        <v>49</v>
      </c>
      <c r="D85" s="48" t="str">
        <f>+"Platba bez DPH - vyplněna hodnota vypočtená jako součet hodnot plateb bez DPH uvedených za položky 1 až 6 ; hodnota musí být vždy rovna T5_P9"</f>
        <v>Platba bez DPH - vyplněna hodnota vypočtená jako součet hodnot plateb bez DPH uvedených za položky 1 až 6 ; hodnota musí být vždy rovna T5_P9</v>
      </c>
    </row>
    <row r="86" ht="4.5" customHeight="1"/>
  </sheetData>
  <sheetProtection password="EAA7" sheet="1" objects="1" scenarios="1"/>
  <mergeCells count="18">
    <mergeCell ref="B62:B67"/>
    <mergeCell ref="C62:C67"/>
    <mergeCell ref="D14:D15"/>
    <mergeCell ref="C13:D13"/>
    <mergeCell ref="C50:C55"/>
    <mergeCell ref="B50:B55"/>
    <mergeCell ref="B56:B61"/>
    <mergeCell ref="C56:C61"/>
    <mergeCell ref="B11:D11"/>
    <mergeCell ref="B2:D2"/>
    <mergeCell ref="B68:B73"/>
    <mergeCell ref="C68:C73"/>
    <mergeCell ref="C4:D4"/>
    <mergeCell ref="C5:D5"/>
    <mergeCell ref="C6:D6"/>
    <mergeCell ref="C7:D7"/>
    <mergeCell ref="C8:D8"/>
    <mergeCell ref="C9:D9"/>
  </mergeCells>
  <printOptions horizontalCentered="1"/>
  <pageMargins left="0.1968503937007874" right="0.1968503937007874" top="0.4724409448818898" bottom="0.3937007874015748" header="0.15748031496062992" footer="0.15748031496062992"/>
  <pageSetup fitToHeight="2" fitToWidth="1" horizontalDpi="600" verticalDpi="600" orientation="landscape" paperSize="9" scale="92" r:id="rId1"/>
  <headerFooter alignWithMargins="0">
    <oddHeader>&amp;L&amp;"Arial,Tučné"Příloha č. 4b - Cenová nabídka - detailní&amp;R&amp;"Arial,Tučné"Zadávací dokumentace k veřejné zakázce „Nový systém řídící kontroly pro SML“</oddHeader>
    <oddFooter>&amp;L&amp;"Arial,Tučné"&amp;D  &amp;T&amp;C&amp;"Arial,Tučné"stránka č. &amp;P z celkem &amp;N&amp;R&amp;"Arial,Tučné"&amp;A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showRowColHeaders="0" zoomScalePageLayoutView="0" workbookViewId="0" topLeftCell="A19">
      <selection activeCell="D26" sqref="D26"/>
    </sheetView>
  </sheetViews>
  <sheetFormatPr defaultColWidth="9.140625" defaultRowHeight="12.75"/>
  <cols>
    <col min="1" max="1" width="1.7109375" style="0" customWidth="1"/>
    <col min="3" max="3" width="44.57421875" style="0" customWidth="1"/>
    <col min="4" max="4" width="29.8515625" style="1" customWidth="1"/>
    <col min="5" max="5" width="1.7109375" style="0" customWidth="1"/>
    <col min="6" max="6" width="53.7109375" style="0" bestFit="1" customWidth="1"/>
  </cols>
  <sheetData>
    <row r="1" spans="1:8" ht="4.5" customHeight="1">
      <c r="A1" s="3"/>
      <c r="B1" s="3"/>
      <c r="C1" s="3"/>
      <c r="D1" s="4"/>
      <c r="E1" s="3"/>
      <c r="F1" s="3"/>
      <c r="G1" s="3"/>
      <c r="H1" s="3"/>
    </row>
    <row r="2" spans="1:8" ht="18">
      <c r="A2" s="3"/>
      <c r="B2" s="27" t="s">
        <v>59</v>
      </c>
      <c r="C2" s="5"/>
      <c r="D2" s="3"/>
      <c r="E2" s="6"/>
      <c r="F2" s="6"/>
      <c r="G2" s="6"/>
      <c r="H2" s="6"/>
    </row>
    <row r="3" spans="1:8" ht="4.5" customHeight="1">
      <c r="A3" s="3"/>
      <c r="B3" s="5"/>
      <c r="C3" s="5"/>
      <c r="D3" s="7"/>
      <c r="E3" s="3"/>
      <c r="F3" s="3"/>
      <c r="G3" s="3"/>
      <c r="H3" s="3"/>
    </row>
    <row r="4" spans="1:8" ht="45">
      <c r="A4" s="3"/>
      <c r="B4" s="22" t="s">
        <v>13</v>
      </c>
      <c r="C4" s="9" t="s">
        <v>14</v>
      </c>
      <c r="D4" s="9" t="s">
        <v>58</v>
      </c>
      <c r="E4" s="3"/>
      <c r="F4" s="3"/>
      <c r="G4" s="3"/>
      <c r="H4" s="3"/>
    </row>
    <row r="5" spans="1:8" ht="23.25">
      <c r="A5" s="3"/>
      <c r="B5" s="25">
        <v>1</v>
      </c>
      <c r="C5" s="26" t="s">
        <v>37</v>
      </c>
      <c r="D5" s="12">
        <f>IF(OR(Cena_Dílčí_A+Cena_Dílčí_B&gt;Cena_MAX,VER_Podíl_Licence&gt;MAX_Licence,VER_Podíl_Maintenance&gt;MAX_Maintenance),+Attention,+Cena_Dílčí_A+D29)</f>
        <v>1</v>
      </c>
      <c r="E5" s="3"/>
      <c r="F5" s="49">
        <f>IF(Cena_Dílčí_A+Cena_Dílčí_B&gt;Cena_MAX,"Překročena maximální nabídková cena","")</f>
      </c>
      <c r="G5" s="3"/>
      <c r="H5" s="3"/>
    </row>
    <row r="6" spans="1:8" ht="4.5" customHeight="1">
      <c r="A6" s="3"/>
      <c r="B6" s="3"/>
      <c r="C6" s="3"/>
      <c r="D6" s="4"/>
      <c r="E6" s="3"/>
      <c r="F6" s="3"/>
      <c r="G6" s="3"/>
      <c r="H6" s="3"/>
    </row>
    <row r="7" spans="1:8" ht="12.75">
      <c r="A7" s="3"/>
      <c r="B7" s="13" t="s">
        <v>18</v>
      </c>
      <c r="C7" s="3"/>
      <c r="D7" s="4"/>
      <c r="E7" s="3"/>
      <c r="F7" s="3"/>
      <c r="G7" s="3"/>
      <c r="H7" s="3"/>
    </row>
    <row r="8" spans="1:8" ht="12" customHeight="1">
      <c r="A8" s="3"/>
      <c r="B8" s="3"/>
      <c r="C8" s="3"/>
      <c r="D8" s="4"/>
      <c r="E8" s="3"/>
      <c r="F8" s="3"/>
      <c r="G8" s="3"/>
      <c r="H8" s="3"/>
    </row>
    <row r="9" spans="1:8" ht="18">
      <c r="A9" s="3"/>
      <c r="B9" s="27" t="s">
        <v>28</v>
      </c>
      <c r="C9" s="5"/>
      <c r="D9" s="7"/>
      <c r="E9" s="3"/>
      <c r="F9" s="3"/>
      <c r="G9" s="3"/>
      <c r="H9" s="3"/>
    </row>
    <row r="10" spans="1:8" ht="4.5" customHeight="1">
      <c r="A10" s="3"/>
      <c r="B10" s="14"/>
      <c r="C10" s="5"/>
      <c r="D10" s="7"/>
      <c r="E10" s="3"/>
      <c r="F10" s="3"/>
      <c r="G10" s="3"/>
      <c r="H10" s="3"/>
    </row>
    <row r="11" spans="1:8" ht="45">
      <c r="A11" s="3"/>
      <c r="B11" s="22" t="s">
        <v>13</v>
      </c>
      <c r="C11" s="9" t="s">
        <v>14</v>
      </c>
      <c r="D11" s="9" t="s">
        <v>58</v>
      </c>
      <c r="E11" s="3"/>
      <c r="F11" s="3"/>
      <c r="G11" s="3"/>
      <c r="H11" s="3"/>
    </row>
    <row r="12" spans="1:8" ht="15">
      <c r="A12" s="3"/>
      <c r="B12" s="15">
        <v>1</v>
      </c>
      <c r="C12" s="82" t="s">
        <v>6</v>
      </c>
      <c r="D12" s="82"/>
      <c r="E12" s="3"/>
      <c r="F12" s="3"/>
      <c r="G12" s="3"/>
      <c r="H12" s="3"/>
    </row>
    <row r="13" spans="1:8" ht="15">
      <c r="A13" s="3"/>
      <c r="B13" s="15">
        <v>2</v>
      </c>
      <c r="C13" s="82" t="s">
        <v>60</v>
      </c>
      <c r="D13" s="82"/>
      <c r="E13" s="3"/>
      <c r="F13" s="3"/>
      <c r="G13" s="3"/>
      <c r="H13" s="3"/>
    </row>
    <row r="14" spans="1:8" ht="15">
      <c r="A14" s="3"/>
      <c r="B14" s="15">
        <v>3</v>
      </c>
      <c r="C14" s="82" t="s">
        <v>71</v>
      </c>
      <c r="D14" s="82"/>
      <c r="E14" s="3"/>
      <c r="F14" s="3"/>
      <c r="G14" s="3"/>
      <c r="H14" s="3"/>
    </row>
    <row r="15" spans="1:8" ht="15">
      <c r="A15" s="3"/>
      <c r="B15" s="15">
        <v>4</v>
      </c>
      <c r="C15" s="82" t="s">
        <v>9</v>
      </c>
      <c r="D15" s="82"/>
      <c r="E15" s="3"/>
      <c r="F15" s="3"/>
      <c r="G15" s="3"/>
      <c r="H15" s="3"/>
    </row>
    <row r="16" spans="1:8" ht="30" customHeight="1">
      <c r="A16" s="3"/>
      <c r="B16" s="8">
        <v>5</v>
      </c>
      <c r="C16" s="82" t="s">
        <v>86</v>
      </c>
      <c r="D16" s="82"/>
      <c r="E16" s="3"/>
      <c r="F16" s="3"/>
      <c r="G16" s="3"/>
      <c r="H16" s="3"/>
    </row>
    <row r="17" spans="1:8" ht="15" customHeight="1">
      <c r="A17" s="3"/>
      <c r="B17" s="8">
        <v>6</v>
      </c>
      <c r="C17" s="82" t="s">
        <v>87</v>
      </c>
      <c r="D17" s="82"/>
      <c r="E17" s="3"/>
      <c r="F17" s="3"/>
      <c r="G17" s="3"/>
      <c r="H17" s="3"/>
    </row>
    <row r="18" spans="1:8" ht="18">
      <c r="A18" s="3"/>
      <c r="B18" s="25">
        <v>7</v>
      </c>
      <c r="C18" s="26" t="s">
        <v>35</v>
      </c>
      <c r="D18" s="34">
        <v>1</v>
      </c>
      <c r="E18" s="3"/>
      <c r="F18" s="3"/>
      <c r="G18" s="3"/>
      <c r="H18" s="3"/>
    </row>
    <row r="19" spans="1:8" ht="4.5" customHeight="1">
      <c r="A19" s="3"/>
      <c r="B19" s="5"/>
      <c r="C19" s="5"/>
      <c r="D19" s="7"/>
      <c r="E19" s="3"/>
      <c r="F19" s="3"/>
      <c r="G19" s="3"/>
      <c r="H19" s="3"/>
    </row>
    <row r="20" spans="1:8" ht="12.75">
      <c r="A20" s="3"/>
      <c r="B20" s="17" t="s">
        <v>92</v>
      </c>
      <c r="C20" s="5"/>
      <c r="D20" s="7"/>
      <c r="E20" s="3"/>
      <c r="F20" s="3"/>
      <c r="G20" s="3"/>
      <c r="H20" s="3"/>
    </row>
    <row r="21" spans="1:8" ht="12.75">
      <c r="A21" s="3"/>
      <c r="B21" s="5"/>
      <c r="C21" s="5"/>
      <c r="D21" s="7"/>
      <c r="E21" s="3"/>
      <c r="F21" s="3"/>
      <c r="G21" s="3"/>
      <c r="H21" s="3"/>
    </row>
    <row r="22" spans="1:8" ht="18">
      <c r="A22" s="3"/>
      <c r="B22" s="27" t="s">
        <v>29</v>
      </c>
      <c r="C22" s="5"/>
      <c r="D22" s="7"/>
      <c r="E22" s="3"/>
      <c r="F22" s="3"/>
      <c r="G22" s="3"/>
      <c r="H22" s="3"/>
    </row>
    <row r="23" spans="1:8" ht="4.5" customHeight="1">
      <c r="A23" s="3"/>
      <c r="B23" s="5"/>
      <c r="C23" s="5"/>
      <c r="D23" s="7"/>
      <c r="E23" s="3"/>
      <c r="F23" s="3"/>
      <c r="G23" s="3"/>
      <c r="H23" s="3"/>
    </row>
    <row r="24" spans="1:8" ht="45">
      <c r="A24" s="3"/>
      <c r="B24" s="22" t="s">
        <v>13</v>
      </c>
      <c r="C24" s="9" t="s">
        <v>14</v>
      </c>
      <c r="D24" s="9" t="s">
        <v>58</v>
      </c>
      <c r="E24" s="3"/>
      <c r="F24" s="3"/>
      <c r="G24" s="3"/>
      <c r="H24" s="3"/>
    </row>
    <row r="25" spans="1:8" ht="15">
      <c r="A25" s="3"/>
      <c r="B25" s="15">
        <v>1</v>
      </c>
      <c r="C25" s="16" t="s">
        <v>5</v>
      </c>
      <c r="D25" s="35">
        <v>0</v>
      </c>
      <c r="E25" s="3"/>
      <c r="F25" s="49">
        <f>IF(VER_Podíl_Licence&gt;MAX_Licence,"Nesplněna podmínka maximálního podílu ve výši "&amp;TEXT(MAX_Licence,"0%")&amp;" z T2_P7","")</f>
      </c>
      <c r="G25" s="3"/>
      <c r="H25" s="3"/>
    </row>
    <row r="26" spans="1:8" ht="28.5">
      <c r="A26" s="3"/>
      <c r="B26" s="15">
        <v>2</v>
      </c>
      <c r="C26" s="16" t="s">
        <v>61</v>
      </c>
      <c r="D26" s="35">
        <v>0</v>
      </c>
      <c r="E26" s="3"/>
      <c r="F26" s="49">
        <f>IF(VER_Podíl_Maintenance&gt;MAX_Maintenance,"Nesplněna podmínka maximálního podílu ve výši "&amp;TEXT(MAX_Maintenance,"0%")&amp;" z T2_P7","")</f>
      </c>
      <c r="G26" s="3"/>
      <c r="H26" s="3"/>
    </row>
    <row r="27" spans="1:8" ht="15">
      <c r="A27" s="3"/>
      <c r="B27" s="15">
        <v>3</v>
      </c>
      <c r="C27" s="16" t="str">
        <f>+"Cena za "&amp;TEXT(Uživatele_DOD,0)&amp;" dodatečných uživatelů"</f>
        <v>Cena za 50 dodatečných uživatelů</v>
      </c>
      <c r="D27" s="28">
        <f>Uživatele_DOD*Cena_Uživatel_DOD</f>
        <v>0</v>
      </c>
      <c r="E27" s="3"/>
      <c r="F27" s="3"/>
      <c r="G27" s="3"/>
      <c r="H27" s="3"/>
    </row>
    <row r="28" spans="1:8" ht="15">
      <c r="A28" s="3"/>
      <c r="B28" s="15">
        <v>4</v>
      </c>
      <c r="C28" s="16" t="str">
        <f>+"Cena za "&amp;TEXT(Vícepráce_DOD,0)&amp;" hodin víceprací"</f>
        <v>Cena za 700 hodin víceprací</v>
      </c>
      <c r="D28" s="28">
        <f>+Vícepráce_DOD*Cena_Vícepráce</f>
        <v>0</v>
      </c>
      <c r="E28" s="3"/>
      <c r="F28" s="3"/>
      <c r="G28" s="3"/>
      <c r="H28" s="3"/>
    </row>
    <row r="29" spans="1:8" ht="18">
      <c r="A29" s="3"/>
      <c r="B29" s="25">
        <v>5</v>
      </c>
      <c r="C29" s="26" t="s">
        <v>36</v>
      </c>
      <c r="D29" s="18">
        <f>SUM(D25:D28)</f>
        <v>0</v>
      </c>
      <c r="E29" s="3"/>
      <c r="F29" s="3"/>
      <c r="G29" s="3"/>
      <c r="H29" s="3"/>
    </row>
    <row r="30" spans="1:8" ht="4.5" customHeight="1">
      <c r="A30" s="3"/>
      <c r="B30" s="19"/>
      <c r="C30" s="20"/>
      <c r="D30" s="21"/>
      <c r="E30" s="3"/>
      <c r="F30" s="3"/>
      <c r="G30" s="3"/>
      <c r="H30" s="3"/>
    </row>
    <row r="31" spans="1:8" ht="18">
      <c r="A31" s="3"/>
      <c r="B31" s="17" t="s">
        <v>91</v>
      </c>
      <c r="C31" s="20"/>
      <c r="D31" s="21"/>
      <c r="E31" s="3"/>
      <c r="F31" s="3"/>
      <c r="G31" s="3"/>
      <c r="H31" s="3"/>
    </row>
    <row r="32" spans="1:8" ht="18">
      <c r="A32" s="3"/>
      <c r="B32" s="17" t="s">
        <v>94</v>
      </c>
      <c r="C32" s="20"/>
      <c r="D32" s="21"/>
      <c r="E32" s="3"/>
      <c r="F32" s="3"/>
      <c r="G32" s="3"/>
      <c r="H32" s="3"/>
    </row>
    <row r="33" spans="1:8" ht="12.75">
      <c r="A33" s="3"/>
      <c r="B33" s="5"/>
      <c r="C33" s="5"/>
      <c r="D33" s="7"/>
      <c r="E33" s="3"/>
      <c r="F33" s="3"/>
      <c r="G33" s="3"/>
      <c r="H33" s="3"/>
    </row>
    <row r="34" spans="1:8" ht="18">
      <c r="A34" s="3"/>
      <c r="B34" s="27" t="s">
        <v>30</v>
      </c>
      <c r="C34" s="5"/>
      <c r="D34" s="7"/>
      <c r="E34" s="3"/>
      <c r="F34" s="3"/>
      <c r="G34" s="3"/>
      <c r="H34" s="3"/>
    </row>
    <row r="35" spans="1:8" ht="4.5" customHeight="1">
      <c r="A35" s="3"/>
      <c r="B35" s="5"/>
      <c r="C35" s="5"/>
      <c r="D35" s="7"/>
      <c r="E35" s="3"/>
      <c r="F35" s="3"/>
      <c r="G35" s="3"/>
      <c r="H35" s="3"/>
    </row>
    <row r="36" spans="1:8" ht="45">
      <c r="A36" s="3"/>
      <c r="B36" s="22" t="s">
        <v>13</v>
      </c>
      <c r="C36" s="9" t="s">
        <v>14</v>
      </c>
      <c r="D36" s="9" t="s">
        <v>58</v>
      </c>
      <c r="E36" s="3"/>
      <c r="F36" s="3"/>
      <c r="G36" s="3"/>
      <c r="H36" s="3"/>
    </row>
    <row r="37" spans="1:8" ht="28.5">
      <c r="A37" s="3"/>
      <c r="B37" s="15">
        <v>1</v>
      </c>
      <c r="C37" s="16" t="s">
        <v>16</v>
      </c>
      <c r="D37" s="35">
        <v>0</v>
      </c>
      <c r="E37" s="3"/>
      <c r="F37" s="3"/>
      <c r="G37" s="3"/>
      <c r="H37" s="3"/>
    </row>
    <row r="38" spans="1:8" ht="28.5">
      <c r="A38" s="3"/>
      <c r="B38" s="15">
        <v>2</v>
      </c>
      <c r="C38" s="16" t="s">
        <v>69</v>
      </c>
      <c r="D38" s="35">
        <v>0</v>
      </c>
      <c r="E38" s="3"/>
      <c r="F38" s="3"/>
      <c r="G38" s="3"/>
      <c r="H38" s="3"/>
    </row>
    <row r="39" ht="12.75"/>
    <row r="40" spans="2:6" ht="15" customHeight="1">
      <c r="B40" s="3"/>
      <c r="C40" s="3"/>
      <c r="D40" s="4"/>
      <c r="E40" s="3"/>
      <c r="F40" s="3"/>
    </row>
    <row r="41" spans="2:6" ht="19.5" customHeight="1">
      <c r="B41" s="81" t="s">
        <v>66</v>
      </c>
      <c r="C41" s="81"/>
      <c r="D41" s="53"/>
      <c r="E41" s="3"/>
      <c r="F41" s="52">
        <f>IF(LEN(D41)&gt;1,1,0)</f>
        <v>0</v>
      </c>
    </row>
    <row r="42" spans="2:6" ht="9.75" customHeight="1">
      <c r="B42" s="54"/>
      <c r="C42" s="55"/>
      <c r="D42" s="55"/>
      <c r="E42" s="3"/>
      <c r="F42" s="3"/>
    </row>
    <row r="43" spans="2:6" ht="19.5" customHeight="1">
      <c r="B43" s="81" t="s">
        <v>63</v>
      </c>
      <c r="C43" s="81"/>
      <c r="D43" s="53"/>
      <c r="E43" s="3"/>
      <c r="F43" s="52">
        <f>IF(LEN(D43)&gt;0,1,0)</f>
        <v>0</v>
      </c>
    </row>
    <row r="44" spans="2:6" ht="9.75" customHeight="1">
      <c r="B44" s="54"/>
      <c r="C44" s="55"/>
      <c r="D44" s="5"/>
      <c r="E44" s="3"/>
      <c r="F44" s="3"/>
    </row>
    <row r="45" spans="2:6" ht="19.5" customHeight="1">
      <c r="B45" s="81" t="s">
        <v>64</v>
      </c>
      <c r="C45" s="81"/>
      <c r="D45" s="53"/>
      <c r="E45" s="3"/>
      <c r="F45" s="52">
        <f>IF(LEN(D45)&gt;0,1,0)</f>
        <v>0</v>
      </c>
    </row>
    <row r="46" spans="2:6" ht="79.5" customHeight="1">
      <c r="B46" s="54"/>
      <c r="C46" s="55"/>
      <c r="D46" s="55"/>
      <c r="E46" s="3"/>
      <c r="F46" s="3"/>
    </row>
    <row r="47" spans="2:6" ht="15" customHeight="1">
      <c r="B47" s="81" t="s">
        <v>65</v>
      </c>
      <c r="C47" s="81"/>
      <c r="D47" s="56" t="s">
        <v>67</v>
      </c>
      <c r="E47" s="3"/>
      <c r="F47" s="3"/>
    </row>
    <row r="48" spans="2:6" ht="15">
      <c r="B48" s="50"/>
      <c r="C48" s="51"/>
      <c r="D48" s="51"/>
      <c r="E48" s="3"/>
      <c r="F48" s="3"/>
    </row>
    <row r="49" spans="2:6" ht="12.75">
      <c r="B49" s="3"/>
      <c r="C49" s="3"/>
      <c r="D49" s="4"/>
      <c r="E49" s="3"/>
      <c r="F49" s="3"/>
    </row>
    <row r="50" spans="2:6" ht="12.75">
      <c r="B50" s="3"/>
      <c r="C50" s="3"/>
      <c r="D50" s="4"/>
      <c r="E50" s="3"/>
      <c r="F50" s="3"/>
    </row>
    <row r="51" spans="2:6" ht="12.75">
      <c r="B51" s="3"/>
      <c r="C51" s="3"/>
      <c r="D51" s="4"/>
      <c r="E51" s="3"/>
      <c r="F51" s="3"/>
    </row>
  </sheetData>
  <sheetProtection password="EAA7" sheet="1" objects="1" scenarios="1"/>
  <mergeCells count="10">
    <mergeCell ref="B41:C41"/>
    <mergeCell ref="B43:C43"/>
    <mergeCell ref="B45:C45"/>
    <mergeCell ref="B47:C47"/>
    <mergeCell ref="C17:D17"/>
    <mergeCell ref="C12:D12"/>
    <mergeCell ref="C13:D13"/>
    <mergeCell ref="C15:D15"/>
    <mergeCell ref="C14:D14"/>
    <mergeCell ref="C16:D16"/>
  </mergeCells>
  <conditionalFormatting sqref="D41">
    <cfRule type="cellIs" priority="1" dxfId="0" operator="greaterThan" stopIfTrue="1">
      <formula>40000</formula>
    </cfRule>
  </conditionalFormatting>
  <conditionalFormatting sqref="D45 D43">
    <cfRule type="expression" priority="2" dxfId="0" stopIfTrue="1">
      <formula>F43&gt;0</formula>
    </cfRule>
  </conditionalFormatting>
  <conditionalFormatting sqref="D5">
    <cfRule type="cellIs" priority="3" dxfId="1" operator="equal" stopIfTrue="1">
      <formula>"MIMO LIMIT"</formula>
    </cfRule>
  </conditionalFormatting>
  <dataValidations count="5">
    <dataValidation type="whole" allowBlank="1" showInputMessage="1" showErrorMessage="1" errorTitle="Nepovolený vstup" error="Je možno vložit celé číslo v intervalu od 1 až po hodnotu, která bude nižší nebo rovna maximální přípustné ceně" sqref="D18">
      <formula1>1</formula1>
      <formula2>Cena_MAX</formula2>
    </dataValidation>
    <dataValidation type="whole" allowBlank="1" showInputMessage="1" showErrorMessage="1" errorTitle="Nepovolený vstup" error="Je možno vložit celé kladné číslo, jehož hodnota bude nižší nebo rovna podmínce v ZD kapitola 3.12." sqref="D25:D26">
      <formula1>0</formula1>
      <formula2>Cena_MAX</formula2>
    </dataValidation>
    <dataValidation type="whole" operator="greaterThanOrEqual" allowBlank="1" showInputMessage="1" showErrorMessage="1" errorTitle="Nepovolený vstup" error="Je možno vložit pouze celé kladné číslo nebo 0" sqref="D37">
      <formula1>0</formula1>
    </dataValidation>
    <dataValidation type="date" allowBlank="1" showInputMessage="1" showErrorMessage="1" errorTitle="Nepovolený vstup" error="Nutno zadat pouze datum v intervalu od 1.4.2013 do 31.12.2013" sqref="D41">
      <formula1>41365</formula1>
      <formula2>41639</formula2>
    </dataValidation>
    <dataValidation type="whole" allowBlank="1" showInputMessage="1" showErrorMessage="1" errorTitle="Nepovolený vstup" error="Je možno vložit pouze celé kladné číslo od 0 do maximální hodnoty dle čl. 3.12. ZD" sqref="D38">
      <formula1>0</formula1>
      <formula2>MAX_Vícepráce</formula2>
    </dataValidation>
  </dataValidations>
  <printOptions horizontalCentered="1"/>
  <pageMargins left="0.1968503937007874" right="0.1968503937007874" top="0.4724409448818898" bottom="0.3937007874015748" header="0.15748031496062992" footer="0.15748031496062992"/>
  <pageSetup fitToHeight="2" fitToWidth="1" horizontalDpi="600" verticalDpi="600" orientation="portrait" paperSize="9" r:id="rId3"/>
  <headerFooter alignWithMargins="0">
    <oddHeader>&amp;L&amp;"Arial,Tučné"Příloha č. 4b - Cenová nabídka - detailní&amp;R&amp;"Arial,Tučné"&amp;8Zadávací dokumentace k veřejné zakázce „Nový systém řídící kontroly pro SML“</oddHeader>
    <oddFooter>&amp;L&amp;"Arial,Tučné"&amp;D  &amp;T&amp;C&amp;"Arial,Tučné"stránka č. 1 z celkem 2&amp;R&amp;"Arial,Tučné"&amp;A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showRowColHeaders="0" tabSelected="1" zoomScalePageLayoutView="0" workbookViewId="0" topLeftCell="A1">
      <selection activeCell="E13" sqref="E13"/>
    </sheetView>
  </sheetViews>
  <sheetFormatPr defaultColWidth="9.140625" defaultRowHeight="12.75"/>
  <cols>
    <col min="1" max="1" width="1.7109375" style="0" customWidth="1"/>
    <col min="3" max="3" width="52.57421875" style="0" customWidth="1"/>
    <col min="4" max="8" width="14.7109375" style="0" customWidth="1"/>
    <col min="9" max="9" width="14.7109375" style="1" customWidth="1"/>
    <col min="10" max="10" width="2.140625" style="0" customWidth="1"/>
  </cols>
  <sheetData>
    <row r="1" spans="1:10" ht="4.5" customHeight="1">
      <c r="A1" s="3"/>
      <c r="B1" s="3"/>
      <c r="C1" s="3"/>
      <c r="D1" s="3"/>
      <c r="E1" s="3"/>
      <c r="F1" s="3"/>
      <c r="G1" s="3"/>
      <c r="H1" s="3"/>
      <c r="I1" s="4"/>
      <c r="J1" s="3"/>
    </row>
    <row r="2" spans="1:10" ht="18">
      <c r="A2" s="3"/>
      <c r="B2" s="27" t="s">
        <v>19</v>
      </c>
      <c r="C2" s="5"/>
      <c r="D2" s="3"/>
      <c r="E2" s="86">
        <f>IF(Cena_Nabídka=Attention,Attention,"")</f>
      </c>
      <c r="F2" s="86"/>
      <c r="G2" s="86"/>
      <c r="H2" s="86"/>
      <c r="I2" s="86"/>
      <c r="J2" s="3"/>
    </row>
    <row r="3" spans="1:10" ht="4.5" customHeight="1">
      <c r="A3" s="3"/>
      <c r="B3" s="5"/>
      <c r="C3" s="5"/>
      <c r="D3" s="5"/>
      <c r="E3" s="5"/>
      <c r="F3" s="5"/>
      <c r="G3" s="5"/>
      <c r="H3" s="5"/>
      <c r="I3" s="7"/>
      <c r="J3" s="3"/>
    </row>
    <row r="4" spans="1:10" ht="45">
      <c r="A4" s="3"/>
      <c r="B4" s="22" t="s">
        <v>13</v>
      </c>
      <c r="C4" s="9" t="s">
        <v>14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90</v>
      </c>
      <c r="J4" s="3"/>
    </row>
    <row r="5" spans="1:10" ht="15" customHeight="1">
      <c r="A5" s="3"/>
      <c r="B5" s="15">
        <v>1</v>
      </c>
      <c r="C5" s="23" t="str">
        <f>+'2.Tabulky_Ceny'!C12:D12</f>
        <v>Cílový koncept projektu</v>
      </c>
      <c r="D5" s="87">
        <f>IF(Cena_Nabídka=Attention,0,IF(Cena_Dílčí_A&gt;MAX_SML_0_Období,MAX_SML_0_Období,Cena_Dílčí_A))</f>
        <v>1</v>
      </c>
      <c r="E5" s="87">
        <f>IF(Cena_Nabídka=Attention,0,IF(Cena_Dílčí_A&gt;MAX_SML_0_Období,ROUND((Cena_Dílčí_A-MAX_SML_0_Období)/4,0),0))</f>
        <v>0</v>
      </c>
      <c r="F5" s="87">
        <f>IF(Cena_Nabídka=Attention,0,IF(Cena_Dílčí_A&gt;MAX_SML_0_Období,ROUND((Cena_Dílčí_A-MAX_SML_0_Období)/4,0),0))</f>
        <v>0</v>
      </c>
      <c r="G5" s="87">
        <f>IF(Cena_Nabídka=Attention,0,IF(Cena_Dílčí_A&gt;MAX_SML_0_Období,ROUND((Cena_Dílčí_A-MAX_SML_0_Období)/4,0),0))</f>
        <v>0</v>
      </c>
      <c r="H5" s="87">
        <f>IF(Cena_Nabídka=Attention,0,IF(Cena_Dílčí_A&gt;MAX_SML_0_Období,Cena_Dílčí_A-MAX_SML_0_Období-SUM(E5:G9,0),0))</f>
        <v>0</v>
      </c>
      <c r="I5" s="91">
        <f>SUM(D5:H9)</f>
        <v>1</v>
      </c>
      <c r="J5" s="3"/>
    </row>
    <row r="6" spans="1:10" ht="15" customHeight="1">
      <c r="A6" s="3"/>
      <c r="B6" s="15">
        <v>2</v>
      </c>
      <c r="C6" s="23" t="str">
        <f>+'2.Tabulky_Ceny'!C13:D13</f>
        <v>Audit vnitřního kontrolního systému</v>
      </c>
      <c r="D6" s="88"/>
      <c r="E6" s="88"/>
      <c r="F6" s="88"/>
      <c r="G6" s="88"/>
      <c r="H6" s="88"/>
      <c r="I6" s="92"/>
      <c r="J6" s="3"/>
    </row>
    <row r="7" spans="1:10" ht="15" customHeight="1">
      <c r="A7" s="3"/>
      <c r="B7" s="15">
        <v>3</v>
      </c>
      <c r="C7" s="23" t="str">
        <f>+'2.Tabulky_Ceny'!C14:D14</f>
        <v>Analýza procesů řídící kontroly</v>
      </c>
      <c r="D7" s="88"/>
      <c r="E7" s="88"/>
      <c r="F7" s="88"/>
      <c r="G7" s="88"/>
      <c r="H7" s="88"/>
      <c r="I7" s="92"/>
      <c r="J7" s="3"/>
    </row>
    <row r="8" spans="1:10" ht="15" customHeight="1">
      <c r="A8" s="3"/>
      <c r="B8" s="15">
        <v>4</v>
      </c>
      <c r="C8" s="23" t="str">
        <f>+'2.Tabulky_Ceny'!C15:D15</f>
        <v>Návrh optimalizovaného stavu procesů a interních předpisů</v>
      </c>
      <c r="D8" s="88"/>
      <c r="E8" s="88"/>
      <c r="F8" s="88"/>
      <c r="G8" s="88"/>
      <c r="H8" s="88"/>
      <c r="I8" s="92"/>
      <c r="J8" s="3"/>
    </row>
    <row r="9" spans="1:10" ht="30" customHeight="1">
      <c r="A9" s="3"/>
      <c r="B9" s="15">
        <v>5</v>
      </c>
      <c r="C9" s="23" t="str">
        <f>+'2.Tabulky_Ceny'!C16:D16</f>
        <v>Kompletní implementace softwarového nástroje včetně cílového konceptu KISN a produktivního provozu s dohledem </v>
      </c>
      <c r="D9" s="88"/>
      <c r="E9" s="88"/>
      <c r="F9" s="88"/>
      <c r="G9" s="88"/>
      <c r="H9" s="88"/>
      <c r="I9" s="92"/>
      <c r="J9" s="3"/>
    </row>
    <row r="10" spans="1:10" ht="18" customHeight="1">
      <c r="A10" s="3"/>
      <c r="B10" s="15">
        <v>6</v>
      </c>
      <c r="C10" s="23" t="str">
        <f>+'2.Tabulky_Ceny'!C17:D17</f>
        <v>Analýzy a návrhy integračních vazeb a potřeb</v>
      </c>
      <c r="D10" s="89"/>
      <c r="E10" s="89"/>
      <c r="F10" s="89"/>
      <c r="G10" s="89"/>
      <c r="H10" s="89"/>
      <c r="I10" s="93"/>
      <c r="J10" s="3"/>
    </row>
    <row r="11" spans="1:10" ht="18">
      <c r="A11" s="3"/>
      <c r="B11" s="15">
        <v>7</v>
      </c>
      <c r="C11" s="23" t="str">
        <f>+'2.Tabulky_Ceny'!C25</f>
        <v>Licence</v>
      </c>
      <c r="D11" s="24"/>
      <c r="E11" s="32">
        <f>IF(Cena_Nabídka=Attention,0,+ROUND(Cena_Licence/4,0))</f>
        <v>0</v>
      </c>
      <c r="F11" s="32">
        <f>IF(Cena_Nabídka=Attention,0,+ROUND(Cena_Licence/4,0))</f>
        <v>0</v>
      </c>
      <c r="G11" s="32">
        <f>IF(Cena_Nabídka=Attention,0,+ROUND(Cena_Licence/4,0))</f>
        <v>0</v>
      </c>
      <c r="H11" s="32">
        <f>IF(Cena_Nabídka=Attention,0,+Cena_Licence-SUM('3.Tabulky_Platby'!E11:G11))</f>
        <v>0</v>
      </c>
      <c r="I11" s="29">
        <f>SUM(E11:H11)</f>
        <v>0</v>
      </c>
      <c r="J11" s="3"/>
    </row>
    <row r="12" spans="1:10" ht="25.5">
      <c r="A12" s="3"/>
      <c r="B12" s="15">
        <v>8</v>
      </c>
      <c r="C12" s="23" t="str">
        <f>+'2.Tabulky_Ceny'!C26</f>
        <v>Cena za podporu produktivního provozu a maintenance</v>
      </c>
      <c r="D12" s="24"/>
      <c r="E12" s="32">
        <f>IF(Cena_Nabídka=Attention,0,ROUND(Cena_Maintenace/4,0))</f>
        <v>0</v>
      </c>
      <c r="F12" s="32">
        <f>IF(Cena_Nabídka=Attention,0,ROUND(Cena_Maintenace/4,0))</f>
        <v>0</v>
      </c>
      <c r="G12" s="32">
        <f>IF(Cena_Nabídka=Attention,0,ROUND(Cena_Maintenace/4,0))</f>
        <v>0</v>
      </c>
      <c r="H12" s="32">
        <f>IF(Cena_Nabídka=Attention,0,+Cena_Maintenace-SUM('3.Tabulky_Platby'!E12:G12))</f>
        <v>0</v>
      </c>
      <c r="I12" s="29">
        <f>SUM(E12:H12)</f>
        <v>0</v>
      </c>
      <c r="J12" s="3"/>
    </row>
    <row r="13" spans="1:10" ht="36">
      <c r="A13" s="3"/>
      <c r="B13" s="10">
        <v>9</v>
      </c>
      <c r="C13" s="11" t="s">
        <v>24</v>
      </c>
      <c r="D13" s="18">
        <f aca="true" t="shared" si="0" ref="D13:I13">SUM(D5:D12)</f>
        <v>1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  <c r="I13" s="18">
        <f t="shared" si="0"/>
        <v>1</v>
      </c>
      <c r="J13" s="3"/>
    </row>
    <row r="14" spans="1:10" ht="4.5" customHeight="1">
      <c r="A14" s="3"/>
      <c r="B14" s="19"/>
      <c r="C14" s="20"/>
      <c r="D14" s="20"/>
      <c r="E14" s="20"/>
      <c r="F14" s="20"/>
      <c r="G14" s="20"/>
      <c r="H14" s="20"/>
      <c r="I14" s="21"/>
      <c r="J14" s="3"/>
    </row>
    <row r="15" spans="1:10" ht="4.5" customHeight="1">
      <c r="A15" s="3"/>
      <c r="B15" s="19"/>
      <c r="C15" s="20"/>
      <c r="D15" s="20"/>
      <c r="E15" s="20"/>
      <c r="F15" s="20"/>
      <c r="G15" s="20"/>
      <c r="H15" s="20"/>
      <c r="I15" s="21"/>
      <c r="J15" s="3"/>
    </row>
    <row r="16" spans="1:10" ht="18">
      <c r="A16" s="3"/>
      <c r="B16" s="27" t="s">
        <v>20</v>
      </c>
      <c r="C16" s="5"/>
      <c r="D16" s="5"/>
      <c r="E16" s="86">
        <f>IF(Cena_Nabídka=Attention,Attention,"")</f>
      </c>
      <c r="F16" s="86"/>
      <c r="G16" s="86"/>
      <c r="H16" s="86"/>
      <c r="I16" s="86"/>
      <c r="J16" s="3"/>
    </row>
    <row r="17" spans="1:10" ht="4.5" customHeight="1">
      <c r="A17" s="3"/>
      <c r="B17" s="5"/>
      <c r="C17" s="5"/>
      <c r="D17" s="5"/>
      <c r="E17" s="3"/>
      <c r="F17" s="3"/>
      <c r="G17" s="3"/>
      <c r="H17" s="3"/>
      <c r="I17" s="3"/>
      <c r="J17" s="3"/>
    </row>
    <row r="18" spans="1:10" ht="45">
      <c r="A18" s="3"/>
      <c r="B18" s="22" t="s">
        <v>13</v>
      </c>
      <c r="C18" s="9" t="s">
        <v>14</v>
      </c>
      <c r="D18" s="9" t="s">
        <v>15</v>
      </c>
      <c r="E18" s="9" t="s">
        <v>90</v>
      </c>
      <c r="F18" s="90" t="s">
        <v>23</v>
      </c>
      <c r="G18" s="90"/>
      <c r="H18" s="90"/>
      <c r="I18" s="90"/>
      <c r="J18" s="3"/>
    </row>
    <row r="19" spans="1:10" ht="15.75">
      <c r="A19" s="3"/>
      <c r="B19" s="15">
        <v>1</v>
      </c>
      <c r="C19" s="23" t="str">
        <f>+'2.Tabulky_Ceny'!C12:D12</f>
        <v>Cílový koncept projektu</v>
      </c>
      <c r="D19" s="31">
        <f>+Kriteria!C13</f>
        <v>0.05</v>
      </c>
      <c r="E19" s="32">
        <f>ROUND(+$D$5*Kriteria!C13,0)</f>
        <v>0</v>
      </c>
      <c r="F19" s="83" t="s">
        <v>82</v>
      </c>
      <c r="G19" s="84"/>
      <c r="H19" s="84"/>
      <c r="I19" s="85"/>
      <c r="J19" s="3"/>
    </row>
    <row r="20" spans="1:10" ht="30" customHeight="1">
      <c r="A20" s="3"/>
      <c r="B20" s="15">
        <v>2</v>
      </c>
      <c r="C20" s="23" t="str">
        <f>+'2.Tabulky_Ceny'!C13:D13</f>
        <v>Audit vnitřního kontrolního systému</v>
      </c>
      <c r="D20" s="31">
        <f>+Kriteria!C14</f>
        <v>0.1</v>
      </c>
      <c r="E20" s="32">
        <f>ROUND(+$D$5*Kriteria!C14,0)</f>
        <v>0</v>
      </c>
      <c r="F20" s="83" t="s">
        <v>83</v>
      </c>
      <c r="G20" s="84"/>
      <c r="H20" s="84"/>
      <c r="I20" s="85"/>
      <c r="J20" s="3"/>
    </row>
    <row r="21" spans="1:10" ht="15.75">
      <c r="A21" s="3"/>
      <c r="B21" s="15">
        <v>3</v>
      </c>
      <c r="C21" s="23" t="str">
        <f>+'2.Tabulky_Ceny'!C14:D14</f>
        <v>Analýza procesů řídící kontroly</v>
      </c>
      <c r="D21" s="31">
        <f>+Kriteria!C15</f>
        <v>0.1</v>
      </c>
      <c r="E21" s="32">
        <f>ROUND(+$D$5*Kriteria!C15,0)</f>
        <v>0</v>
      </c>
      <c r="F21" s="83" t="s">
        <v>84</v>
      </c>
      <c r="G21" s="84"/>
      <c r="H21" s="84"/>
      <c r="I21" s="85"/>
      <c r="J21" s="3"/>
    </row>
    <row r="22" spans="1:10" ht="30" customHeight="1">
      <c r="A22" s="3"/>
      <c r="B22" s="15">
        <v>4</v>
      </c>
      <c r="C22" s="23" t="str">
        <f>+'2.Tabulky_Ceny'!C15:D15</f>
        <v>Návrh optimalizovaného stavu procesů a interních předpisů</v>
      </c>
      <c r="D22" s="31">
        <f>+Kriteria!C16</f>
        <v>0.25</v>
      </c>
      <c r="E22" s="32">
        <f>ROUND(+$D$5*Kriteria!C16,0)</f>
        <v>0</v>
      </c>
      <c r="F22" s="83" t="s">
        <v>85</v>
      </c>
      <c r="G22" s="84"/>
      <c r="H22" s="84"/>
      <c r="I22" s="85"/>
      <c r="J22" s="3"/>
    </row>
    <row r="23" spans="1:10" ht="45" customHeight="1">
      <c r="A23" s="3"/>
      <c r="B23" s="15">
        <v>5</v>
      </c>
      <c r="C23" s="23" t="str">
        <f>+'2.Tabulky_Ceny'!C16:D16</f>
        <v>Kompletní implementace softwarového nástroje včetně cílového konceptu KISN a produktivního provozu s dohledem </v>
      </c>
      <c r="D23" s="31">
        <f>+Kriteria!C17</f>
        <v>0.4</v>
      </c>
      <c r="E23" s="32">
        <f>ROUND(+$D$5*Kriteria!C17,0)</f>
        <v>0</v>
      </c>
      <c r="F23" s="83" t="s">
        <v>88</v>
      </c>
      <c r="G23" s="84"/>
      <c r="H23" s="84"/>
      <c r="I23" s="85"/>
      <c r="J23" s="3"/>
    </row>
    <row r="24" spans="1:10" ht="30" customHeight="1">
      <c r="A24" s="3"/>
      <c r="B24" s="15">
        <v>6</v>
      </c>
      <c r="C24" s="23" t="str">
        <f>+'2.Tabulky_Ceny'!C17:D17</f>
        <v>Analýzy a návrhy integračních vazeb a potřeb</v>
      </c>
      <c r="D24" s="31">
        <f>+Kriteria!C18</f>
        <v>0.1</v>
      </c>
      <c r="E24" s="32">
        <f>+D5-SUM(E19:E23)</f>
        <v>1</v>
      </c>
      <c r="F24" s="83" t="s">
        <v>89</v>
      </c>
      <c r="G24" s="84"/>
      <c r="H24" s="84"/>
      <c r="I24" s="85"/>
      <c r="J24" s="3"/>
    </row>
    <row r="25" spans="1:10" ht="18">
      <c r="A25" s="3"/>
      <c r="B25" s="10">
        <v>7</v>
      </c>
      <c r="C25" s="11" t="s">
        <v>81</v>
      </c>
      <c r="D25" s="30">
        <f>SUM(D19:D24)</f>
        <v>1</v>
      </c>
      <c r="E25" s="18">
        <f>SUM(E19:E24)</f>
        <v>1</v>
      </c>
      <c r="F25" s="96"/>
      <c r="G25" s="96"/>
      <c r="H25" s="96"/>
      <c r="I25" s="96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4"/>
      <c r="J26" s="3"/>
    </row>
    <row r="27" ht="12.75"/>
    <row r="28" spans="2:6" ht="19.5" customHeight="1">
      <c r="B28" s="81" t="s">
        <v>66</v>
      </c>
      <c r="C28" s="81"/>
      <c r="D28" s="95"/>
      <c r="E28" s="95"/>
      <c r="F28" s="52">
        <f>IF(LEN(D28)&gt;1,1,0)</f>
        <v>0</v>
      </c>
    </row>
    <row r="29" spans="2:6" ht="9.75" customHeight="1">
      <c r="B29" s="54"/>
      <c r="C29" s="55"/>
      <c r="D29" s="55"/>
      <c r="E29" s="3"/>
      <c r="F29" s="3"/>
    </row>
    <row r="30" spans="2:6" ht="19.5" customHeight="1">
      <c r="B30" s="81" t="s">
        <v>63</v>
      </c>
      <c r="C30" s="81"/>
      <c r="D30" s="95"/>
      <c r="E30" s="95"/>
      <c r="F30" s="52">
        <f>IF(LEN(D30)&gt;0,1,0)</f>
        <v>0</v>
      </c>
    </row>
    <row r="31" spans="2:6" ht="9.75" customHeight="1">
      <c r="B31" s="54"/>
      <c r="C31" s="55"/>
      <c r="D31" s="5"/>
      <c r="E31" s="3"/>
      <c r="F31" s="3"/>
    </row>
    <row r="32" spans="2:6" ht="19.5" customHeight="1">
      <c r="B32" s="81" t="s">
        <v>64</v>
      </c>
      <c r="C32" s="81"/>
      <c r="D32" s="95"/>
      <c r="E32" s="95"/>
      <c r="F32" s="52">
        <f>IF(LEN(D32)&gt;0,1,0)</f>
        <v>0</v>
      </c>
    </row>
    <row r="33" spans="2:6" ht="79.5" customHeight="1">
      <c r="B33" s="54"/>
      <c r="C33" s="55"/>
      <c r="D33" s="55"/>
      <c r="E33" s="3"/>
      <c r="F33" s="3"/>
    </row>
    <row r="34" spans="2:6" ht="15.75">
      <c r="B34" s="81" t="s">
        <v>65</v>
      </c>
      <c r="C34" s="81"/>
      <c r="D34" s="94" t="s">
        <v>67</v>
      </c>
      <c r="E34" s="94"/>
      <c r="F34" s="3"/>
    </row>
    <row r="35" spans="2:6" ht="15">
      <c r="B35" s="50"/>
      <c r="C35" s="51"/>
      <c r="D35" s="51"/>
      <c r="E35" s="3"/>
      <c r="F35" s="3"/>
    </row>
    <row r="36" spans="2:6" ht="12.75">
      <c r="B36" s="3"/>
      <c r="C36" s="3"/>
      <c r="D36" s="4"/>
      <c r="E36" s="3"/>
      <c r="F36" s="3"/>
    </row>
  </sheetData>
  <sheetProtection password="EAA7" sheet="1" objects="1" scenarios="1"/>
  <mergeCells count="24">
    <mergeCell ref="D28:E28"/>
    <mergeCell ref="D30:E30"/>
    <mergeCell ref="F25:I25"/>
    <mergeCell ref="D32:E32"/>
    <mergeCell ref="F19:I19"/>
    <mergeCell ref="D34:E34"/>
    <mergeCell ref="B28:C28"/>
    <mergeCell ref="B30:C30"/>
    <mergeCell ref="B32:C32"/>
    <mergeCell ref="B34:C34"/>
    <mergeCell ref="F21:I21"/>
    <mergeCell ref="F22:I22"/>
    <mergeCell ref="F23:I23"/>
    <mergeCell ref="F24:I24"/>
    <mergeCell ref="F20:I20"/>
    <mergeCell ref="E2:I2"/>
    <mergeCell ref="E16:I16"/>
    <mergeCell ref="D5:D10"/>
    <mergeCell ref="E5:E10"/>
    <mergeCell ref="F18:I18"/>
    <mergeCell ref="F5:F10"/>
    <mergeCell ref="G5:G10"/>
    <mergeCell ref="H5:H10"/>
    <mergeCell ref="I5:I10"/>
  </mergeCells>
  <conditionalFormatting sqref="D32 D30">
    <cfRule type="expression" priority="1" dxfId="0" stopIfTrue="1">
      <formula>F30&gt;0</formula>
    </cfRule>
  </conditionalFormatting>
  <conditionalFormatting sqref="E16 E2">
    <cfRule type="cellIs" priority="2" dxfId="1" operator="equal" stopIfTrue="1">
      <formula>"MIMO LIMIT"</formula>
    </cfRule>
  </conditionalFormatting>
  <conditionalFormatting sqref="D28">
    <cfRule type="cellIs" priority="3" dxfId="0" operator="greaterThan" stopIfTrue="1">
      <formula>40000</formula>
    </cfRule>
  </conditionalFormatting>
  <dataValidations count="1">
    <dataValidation type="date" allowBlank="1" showInputMessage="1" showErrorMessage="1" errorTitle="Nepovolený vstup" error="Nutno zadat pouze datum v intervalu od 1.4.2013 do 31.12.2013" sqref="D28">
      <formula1>41365</formula1>
      <formula2>41639</formula2>
    </dataValidation>
  </dataValidations>
  <printOptions horizontalCentered="1"/>
  <pageMargins left="0.1968503937007874" right="0.1968503937007874" top="0.4724409448818898" bottom="0.3937007874015748" header="0.15748031496062992" footer="0.15748031496062992"/>
  <pageSetup fitToHeight="1" fitToWidth="1" horizontalDpi="600" verticalDpi="600" orientation="landscape" paperSize="9" scale="82" r:id="rId3"/>
  <headerFooter alignWithMargins="0">
    <oddHeader>&amp;L&amp;"Arial,Tučné"Příloha č. 4b - Cenová nabídka - detailní&amp;R&amp;"Arial,Tučné"Zadávací dokumentace k veřejné zakázce „Nový systém řídící kontroly pro SML“</oddHeader>
    <oddFooter>&amp;L&amp;"Arial,Tučné"&amp;D  &amp;T&amp;C&amp;"Arial,Tučné"stránka č. 2 z celkem 2&amp;R&amp;"Arial,Tučné"&amp;A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Zelenková Zuzana</cp:lastModifiedBy>
  <cp:lastPrinted>2013-03-12T18:57:26Z</cp:lastPrinted>
  <dcterms:created xsi:type="dcterms:W3CDTF">2013-02-11T14:16:23Z</dcterms:created>
  <dcterms:modified xsi:type="dcterms:W3CDTF">2013-06-18T12:30:12Z</dcterms:modified>
  <cp:category/>
  <cp:version/>
  <cp:contentType/>
  <cp:contentStatus/>
</cp:coreProperties>
</file>