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<sst xmlns="http://schemas.openxmlformats.org/spreadsheetml/2006/main" count="2880" uniqueCount="1021">
  <si>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</si>
  <si>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</si>
  <si>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</si>
  <si>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</si>
  <si>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</si>
  <si>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</si>
  <si>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</si>
  <si>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</si>
  <si>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</si>
  <si>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</si>
  <si>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</si>
  <si>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</si>
  <si>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</si>
  <si>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</si>
  <si>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</si>
  <si>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</si>
  <si>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</si>
  <si>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</si>
  <si>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</si>
  <si>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</si>
  <si>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</si>
  <si>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</si>
  <si>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</si>
  <si>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</si>
  <si>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</si>
  <si>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</si>
  <si>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</si>
  <si>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</si>
  <si>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</si>
  <si>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</si>
  <si>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</si>
  <si>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</si>
  <si>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</si>
  <si>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</si>
  <si>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</si>
  <si>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</si>
  <si>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</si>
  <si>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</si>
  <si>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</si>
  <si>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</si>
  <si>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</si>
  <si>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</si>
  <si>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</si>
  <si>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</si>
  <si>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</si>
  <si>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</si>
  <si>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</si>
  <si>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</si>
  <si>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</si>
  <si>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</si>
  <si>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</si>
  <si>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</si>
  <si>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</si>
  <si>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</si>
  <si>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</si>
  <si>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</si>
  <si>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</si>
  <si>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</si>
  <si>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</si>
  <si>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</si>
  <si>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</si>
  <si>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</si>
  <si>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</si>
  <si>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</si>
  <si>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</si>
  <si>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</si>
  <si>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</si>
  <si>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</si>
  <si>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</si>
  <si>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</si>
  <si>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</si>
  <si>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</si>
  <si>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</si>
  <si>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</si>
  <si>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</si>
  <si>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</si>
  <si>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</si>
  <si>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</si>
  <si>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</si>
  <si>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</si>
  <si>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</si>
  <si>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</si>
  <si>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</si>
  <si>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</si>
  <si>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</si>
  <si>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</si>
  <si>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</si>
  <si>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</si>
  <si>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</si>
  <si>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</si>
  <si>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</si>
  <si>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</si>
  <si>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</si>
  <si>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</si>
  <si>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</si>
  <si>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</si>
  <si>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</si>
  <si>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</si>
  <si>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</si>
  <si>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</si>
  <si>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</si>
  <si>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</si>
  <si>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</si>
  <si>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</si>
  <si>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</si>
  <si>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</si>
  <si>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</si>
  <si>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</si>
  <si>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</si>
  <si>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</si>
  <si>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</si>
  <si>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</si>
  <si>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</si>
  <si>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</si>
  <si>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</si>
  <si>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</si>
  <si>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</si>
  <si>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</si>
  <si>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</si>
  <si>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</si>
  <si>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</si>
  <si>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</si>
  <si>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</si>
  <si>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</si>
  <si>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</si>
  <si>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</si>
  <si>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</si>
  <si>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</si>
  <si>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</si>
  <si>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</si>
  <si>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</si>
  <si>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</si>
  <si>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</si>
  <si>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</si>
  <si>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</si>
  <si>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</si>
  <si>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</si>
  <si>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</si>
  <si>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</si>
  <si>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</si>
  <si>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</si>
  <si>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</si>
  <si>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</si>
  <si>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</si>
  <si>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</si>
  <si>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</si>
  <si>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</si>
  <si>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</si>
  <si>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</si>
  <si>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</si>
  <si>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</si>
  <si>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</si>
  <si>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</si>
  <si>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</si>
  <si>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</si>
  <si>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</si>
  <si>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</si>
  <si>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</si>
  <si>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</si>
  <si>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</si>
  <si>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</si>
  <si>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</si>
  <si>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</si>
  <si>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</si>
  <si>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</si>
  <si>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</si>
  <si>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</si>
  <si>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</si>
  <si>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</si>
  <si>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</si>
  <si>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</si>
  <si>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</si>
  <si>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</si>
  <si>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</si>
  <si>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</si>
  <si>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</si>
  <si>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</si>
  <si>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</si>
  <si>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</si>
  <si>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</si>
  <si>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</si>
  <si>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</si>
  <si>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</si>
  <si>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</si>
  <si>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</si>
  <si>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</si>
  <si>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</si>
  <si>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</si>
  <si>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</si>
  <si>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</si>
  <si>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</si>
  <si>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</si>
  <si>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</si>
  <si>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</si>
  <si>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</si>
  <si>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</si>
  <si>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</si>
  <si>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</si>
  <si>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</si>
  <si>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</si>
  <si>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</si>
  <si>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</si>
  <si>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</si>
  <si>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</si>
  <si>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</si>
  <si>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</si>
  <si>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</si>
  <si>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</si>
  <si>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</si>
  <si>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</si>
  <si>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</si>
  <si>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Poznámka:</t>
  </si>
  <si>
    <t>Kód</t>
  </si>
  <si>
    <t>A</t>
  </si>
  <si>
    <t>767914830R00</t>
  </si>
  <si>
    <t>966086341R00</t>
  </si>
  <si>
    <t>S</t>
  </si>
  <si>
    <t>979082111R00</t>
  </si>
  <si>
    <t>979083117R00</t>
  </si>
  <si>
    <t>979083191R00</t>
  </si>
  <si>
    <t>979086112R00</t>
  </si>
  <si>
    <t>979990001R00</t>
  </si>
  <si>
    <t>113106121R00</t>
  </si>
  <si>
    <t>113201111R00</t>
  </si>
  <si>
    <t>113108305R00</t>
  </si>
  <si>
    <t>113108442R00</t>
  </si>
  <si>
    <t>113109415R00</t>
  </si>
  <si>
    <t>113204111R00</t>
  </si>
  <si>
    <t>113107320R00</t>
  </si>
  <si>
    <t>113106111R00</t>
  </si>
  <si>
    <t>766</t>
  </si>
  <si>
    <t>76682R-01</t>
  </si>
  <si>
    <t>76682R-02</t>
  </si>
  <si>
    <t>76682R-03</t>
  </si>
  <si>
    <t>76682R-04</t>
  </si>
  <si>
    <t>767996802R00</t>
  </si>
  <si>
    <t>767996801R00</t>
  </si>
  <si>
    <t>961044111R00</t>
  </si>
  <si>
    <t>766121210R00</t>
  </si>
  <si>
    <t>783122210R00</t>
  </si>
  <si>
    <t>767995R-05</t>
  </si>
  <si>
    <t>767995R-06</t>
  </si>
  <si>
    <t>767995R-07</t>
  </si>
  <si>
    <t>767995R-08</t>
  </si>
  <si>
    <t>591100020RA0</t>
  </si>
  <si>
    <t>917832111RT5</t>
  </si>
  <si>
    <t>564651111R-45</t>
  </si>
  <si>
    <t>564651111R-46</t>
  </si>
  <si>
    <t>564651111R-47</t>
  </si>
  <si>
    <t>564861111RT2</t>
  </si>
  <si>
    <t>564801111R00</t>
  </si>
  <si>
    <t>916561111RT7</t>
  </si>
  <si>
    <t>918101111R00</t>
  </si>
  <si>
    <t>911340126R-48</t>
  </si>
  <si>
    <t>900100002RAA</t>
  </si>
  <si>
    <t>900100002RA0</t>
  </si>
  <si>
    <t>592331840</t>
  </si>
  <si>
    <t>59233185</t>
  </si>
  <si>
    <t>55342601</t>
  </si>
  <si>
    <t>55342600</t>
  </si>
  <si>
    <t>121101100R00</t>
  </si>
  <si>
    <t>122201101R00</t>
  </si>
  <si>
    <t>175101209R00</t>
  </si>
  <si>
    <t>901      R00</t>
  </si>
  <si>
    <t>904      R00</t>
  </si>
  <si>
    <t>904      R03</t>
  </si>
  <si>
    <t>H22</t>
  </si>
  <si>
    <t>998227111R00</t>
  </si>
  <si>
    <t>112100010RA0</t>
  </si>
  <si>
    <t>112100011RA0</t>
  </si>
  <si>
    <t>112100012RA0</t>
  </si>
  <si>
    <t>112100013RA0</t>
  </si>
  <si>
    <t>112101122R00</t>
  </si>
  <si>
    <t>112101124R00</t>
  </si>
  <si>
    <t>112201111R00</t>
  </si>
  <si>
    <t>112201112R00</t>
  </si>
  <si>
    <t>112201113R00</t>
  </si>
  <si>
    <t>112201114R00</t>
  </si>
  <si>
    <t>112201116R00</t>
  </si>
  <si>
    <t>112201117R00</t>
  </si>
  <si>
    <t>111201101R00</t>
  </si>
  <si>
    <t>162301405R00</t>
  </si>
  <si>
    <t>162301406R00</t>
  </si>
  <si>
    <t>162301407R00</t>
  </si>
  <si>
    <t>162301401R00</t>
  </si>
  <si>
    <t>162301402R00</t>
  </si>
  <si>
    <t>162301403R00</t>
  </si>
  <si>
    <t>162301404R00</t>
  </si>
  <si>
    <t>162301415R00</t>
  </si>
  <si>
    <t>162301416R00</t>
  </si>
  <si>
    <t>162301417R00</t>
  </si>
  <si>
    <t>162301411R00</t>
  </si>
  <si>
    <t>162301412R00</t>
  </si>
  <si>
    <t>162301413R00</t>
  </si>
  <si>
    <t>162301414R00</t>
  </si>
  <si>
    <t>162301421R00</t>
  </si>
  <si>
    <t>162301422R00</t>
  </si>
  <si>
    <t>162301423R00</t>
  </si>
  <si>
    <t>162301424R00</t>
  </si>
  <si>
    <t>1858044R-47</t>
  </si>
  <si>
    <t>1858044R-48</t>
  </si>
  <si>
    <t>1858044R-49</t>
  </si>
  <si>
    <t>1858044R-50</t>
  </si>
  <si>
    <t>1858044R-51</t>
  </si>
  <si>
    <t>183403114R00</t>
  </si>
  <si>
    <t>183205111R00</t>
  </si>
  <si>
    <t>1858045R-52</t>
  </si>
  <si>
    <t>183101112R00</t>
  </si>
  <si>
    <t>184102112R00</t>
  </si>
  <si>
    <t>183101111R00</t>
  </si>
  <si>
    <t>183101215R00</t>
  </si>
  <si>
    <t>184102114R00</t>
  </si>
  <si>
    <t>184801121R00</t>
  </si>
  <si>
    <t>184202112R00</t>
  </si>
  <si>
    <t>184202111R00</t>
  </si>
  <si>
    <t>185802114R00</t>
  </si>
  <si>
    <t>185802R-53</t>
  </si>
  <si>
    <t>185851111R00</t>
  </si>
  <si>
    <t>184211111R00</t>
  </si>
  <si>
    <t>184921096R00</t>
  </si>
  <si>
    <t>184921097R00</t>
  </si>
  <si>
    <t>181101122R00</t>
  </si>
  <si>
    <t>183403153R00</t>
  </si>
  <si>
    <t>181101911R00</t>
  </si>
  <si>
    <t>180402111R00</t>
  </si>
  <si>
    <t>185804311R00</t>
  </si>
  <si>
    <t>185804312R00</t>
  </si>
  <si>
    <t>H23</t>
  </si>
  <si>
    <t>998231311R00</t>
  </si>
  <si>
    <t>02650112</t>
  </si>
  <si>
    <t>026503204</t>
  </si>
  <si>
    <t>02650113</t>
  </si>
  <si>
    <t>02653460</t>
  </si>
  <si>
    <t>02656022</t>
  </si>
  <si>
    <t>02656037</t>
  </si>
  <si>
    <t>02650087</t>
  </si>
  <si>
    <t>02656012</t>
  </si>
  <si>
    <t>02652374</t>
  </si>
  <si>
    <t>02651278</t>
  </si>
  <si>
    <t>02651785</t>
  </si>
  <si>
    <t>02653247</t>
  </si>
  <si>
    <t>02656002</t>
  </si>
  <si>
    <t>02654935</t>
  </si>
  <si>
    <t>02656018</t>
  </si>
  <si>
    <t>02656015</t>
  </si>
  <si>
    <t>10311104.A</t>
  </si>
  <si>
    <t>10331100</t>
  </si>
  <si>
    <t>25191158</t>
  </si>
  <si>
    <t>25191R-54</t>
  </si>
  <si>
    <t>911353111R-09</t>
  </si>
  <si>
    <t>911353111R-10</t>
  </si>
  <si>
    <t>911351243R00</t>
  </si>
  <si>
    <t>58152370</t>
  </si>
  <si>
    <t>28329928</t>
  </si>
  <si>
    <t>338952111R-11</t>
  </si>
  <si>
    <t>338952111R-12</t>
  </si>
  <si>
    <t>564811113R00</t>
  </si>
  <si>
    <t>722</t>
  </si>
  <si>
    <t>722171211R00</t>
  </si>
  <si>
    <t>722202217R00</t>
  </si>
  <si>
    <t>725</t>
  </si>
  <si>
    <t>725819202R00</t>
  </si>
  <si>
    <t>917411111R00</t>
  </si>
  <si>
    <t>M46</t>
  </si>
  <si>
    <t>460200133RT2</t>
  </si>
  <si>
    <t>460570133R00</t>
  </si>
  <si>
    <t>693650211</t>
  </si>
  <si>
    <t>59691019.A</t>
  </si>
  <si>
    <t>91134012R-14</t>
  </si>
  <si>
    <t>911340126R-16</t>
  </si>
  <si>
    <t>911340126R-20</t>
  </si>
  <si>
    <t>911340126R-21</t>
  </si>
  <si>
    <t>9113401R-24</t>
  </si>
  <si>
    <t>121101101R00</t>
  </si>
  <si>
    <t>171101105R00</t>
  </si>
  <si>
    <t>338952115R00</t>
  </si>
  <si>
    <t>3389521R-25</t>
  </si>
  <si>
    <t>338920021R00</t>
  </si>
  <si>
    <t>564231111R00</t>
  </si>
  <si>
    <t>639571210R00</t>
  </si>
  <si>
    <t>59218708</t>
  </si>
  <si>
    <t>58333665</t>
  </si>
  <si>
    <t>69366202</t>
  </si>
  <si>
    <t>911340126R-27</t>
  </si>
  <si>
    <t>911340126R00</t>
  </si>
  <si>
    <t>591110011RA0</t>
  </si>
  <si>
    <t>722202512R00</t>
  </si>
  <si>
    <t>911340126R-29</t>
  </si>
  <si>
    <t>460200133R00</t>
  </si>
  <si>
    <t>460560133R00</t>
  </si>
  <si>
    <t>911340126R-31</t>
  </si>
  <si>
    <t>911340126R-32</t>
  </si>
  <si>
    <t>911340126R-35</t>
  </si>
  <si>
    <t>911340126R-36</t>
  </si>
  <si>
    <t>911340126R-38</t>
  </si>
  <si>
    <t>911340126R-41</t>
  </si>
  <si>
    <t>911340126R-42</t>
  </si>
  <si>
    <t>911340126R-43</t>
  </si>
  <si>
    <t>911340126R-44</t>
  </si>
  <si>
    <t>MATEŘSKÁ ŠKOLKA MOTÝLEK</t>
  </si>
  <si>
    <t>REKONSTRUKCE ZAHRADY</t>
  </si>
  <si>
    <t>LIBEREC</t>
  </si>
  <si>
    <t>Zkrácený popis</t>
  </si>
  <si>
    <t>Rozměry</t>
  </si>
  <si>
    <t>DEMOLICE-OPLOCENÍ</t>
  </si>
  <si>
    <t>Konstrukce doplňkové stavební (zámečnické)</t>
  </si>
  <si>
    <t>Demontáž oplocení rámového H do 2 m</t>
  </si>
  <si>
    <t>333,6   sloupky,plotové pole,brány a branky zůstávají,zasypat výkopy</t>
  </si>
  <si>
    <t>Bourání konstrukcí</t>
  </si>
  <si>
    <t>Bourání kvádříků beton. ložné pl. 0,20 m2, H 25 cm</t>
  </si>
  <si>
    <t>333,6/2   podhrabové desky oplocení</t>
  </si>
  <si>
    <t>Přesuny sutí</t>
  </si>
  <si>
    <t>Vnitrostaveništní doprava suti do 10 m</t>
  </si>
  <si>
    <t>16,096   </t>
  </si>
  <si>
    <t>Vodorovné přemístění suti na skládku do 6000 m</t>
  </si>
  <si>
    <t>Příplatek za dalších započatých 1000 m nad 6000 m</t>
  </si>
  <si>
    <t>16,096*9   </t>
  </si>
  <si>
    <t>Nakládání nebo překládání suti a vybouraných hmot</t>
  </si>
  <si>
    <t>Poplatek za skládku stavební suti</t>
  </si>
  <si>
    <t>DEMOLICE-ZPEVNĚNÉ PLOCHY</t>
  </si>
  <si>
    <t>Přípravné a přidružené práce</t>
  </si>
  <si>
    <t>Rozebrání dlažeb z betonových dlaždic na sucho</t>
  </si>
  <si>
    <t>7,2   </t>
  </si>
  <si>
    <t>Vytrhání obrubníků chodníkových a parkových</t>
  </si>
  <si>
    <t>7,2   1</t>
  </si>
  <si>
    <t>Odstranění asfaltové vrstvy s kostkami</t>
  </si>
  <si>
    <t>291,3   2</t>
  </si>
  <si>
    <t>Rozrytí krytu,kamenivo bez zhut.,se živič. pojivem</t>
  </si>
  <si>
    <t>Odstranění podkladu pl.nad 50 m2, beton, tl. 15 cm</t>
  </si>
  <si>
    <t>667   3-chodníky</t>
  </si>
  <si>
    <t>Vytrhání obrubníků zahradních</t>
  </si>
  <si>
    <t>506   3</t>
  </si>
  <si>
    <t>337,991   </t>
  </si>
  <si>
    <t>337,991   drtička odpadu ul.U ZETKY</t>
  </si>
  <si>
    <t>DEMOLICE HERNÍ PRVKY A TECHNICKÉ</t>
  </si>
  <si>
    <t>Odstranění písku pl. 50 m2,kam.těžené tl.20 cm</t>
  </si>
  <si>
    <t>3,4*3,4*6   č.2 pískoviště  6x využije stavba,bez přesunu</t>
  </si>
  <si>
    <t>Rozebrání dlažeb -ohniště</t>
  </si>
  <si>
    <t>1,2   č.19 ohniště</t>
  </si>
  <si>
    <t>Konstrukce truhlářské</t>
  </si>
  <si>
    <t>Demontáž konstrukcí dřevěných</t>
  </si>
  <si>
    <t>1   č.3 mašinka s vagony včetně betonových prahů</t>
  </si>
  <si>
    <t>Demontáž dř.domků</t>
  </si>
  <si>
    <t>4   č.7 dřevěné domky</t>
  </si>
  <si>
    <t>Demontáž ptačí budky</t>
  </si>
  <si>
    <t>1   č.17 ptačí budka</t>
  </si>
  <si>
    <t>Demontáž tabulí</t>
  </si>
  <si>
    <t>2   č.9tabule</t>
  </si>
  <si>
    <t>Demontáž atypických ocelových konstr. do100 kg</t>
  </si>
  <si>
    <t>60   č.8 žebříček,včetně základových patek</t>
  </si>
  <si>
    <t>Demontáž atypických ocelových konstr. do 50 kg</t>
  </si>
  <si>
    <t>2*15   cedule č.15 č18 včetně patek</t>
  </si>
  <si>
    <t>25   č.6 kovová konstrukce po houpačkách</t>
  </si>
  <si>
    <t>65   č.8 stará průlezka</t>
  </si>
  <si>
    <t>25   č.10 hrazda</t>
  </si>
  <si>
    <t>4*20   č.20 sušáky na prádlo</t>
  </si>
  <si>
    <t>Bourání základů z betonu prostého</t>
  </si>
  <si>
    <t>(3,4*4)*0,2*0,4*6   č.2betonové pískoviště  6x včetně dřevoplastových desek na sezení</t>
  </si>
  <si>
    <t>Bourání základů z betonu prostého,včetně záhozů po vybouraných patkách</t>
  </si>
  <si>
    <t>0,10   č.8žebříček</t>
  </si>
  <si>
    <t>0,05   č.15 a18 cedule</t>
  </si>
  <si>
    <t>1,25   č.3mašinka</t>
  </si>
  <si>
    <t>0,25   č.6 po houpačkách</t>
  </si>
  <si>
    <t>0,10   č.8 průlezka</t>
  </si>
  <si>
    <t>0,10   č.10 hrazda</t>
  </si>
  <si>
    <t>0,10   č.9 tabule</t>
  </si>
  <si>
    <t>0,5   č.20 sušáky prádla</t>
  </si>
  <si>
    <t>49,313   </t>
  </si>
  <si>
    <t>PŘESUNY A OPRAVY HERNÍCH PRVKŮ</t>
  </si>
  <si>
    <t>Výměna desky basket</t>
  </si>
  <si>
    <t>1,2*1,4   č.4koš na basket výměna deska s vodovzdorné překlížky</t>
  </si>
  <si>
    <t>Nátěr syntetický OK "A" 1x + 2x email</t>
  </si>
  <si>
    <t>4,80   č.4 konstrukce ocelová -stojan,s očištěním a odmaštěním</t>
  </si>
  <si>
    <t>Výroba a montáž kov. atypických konstr.přeložení dle PD</t>
  </si>
  <si>
    <t>3   č.5 přemístění pérových houpaček</t>
  </si>
  <si>
    <t>Přeložení tunel LEV</t>
  </si>
  <si>
    <t>3   č.11 přesunout tunel LEV</t>
  </si>
  <si>
    <t>Přemístění věž s klouzačkou</t>
  </si>
  <si>
    <t>2   č.1 věž se skluzavkou č.B</t>
  </si>
  <si>
    <t>snížení podesty na 1m</t>
  </si>
  <si>
    <t>2   č.12 a č.1 snížit podestu na 1m</t>
  </si>
  <si>
    <t>POVRCHY NOVÉ CHODNÍKY</t>
  </si>
  <si>
    <t>Kryty pozemních komunikací, letišť a ploch dlážděných (předlažby)</t>
  </si>
  <si>
    <t>Chodník z dlažby zámkové, podklad štěrkodrť</t>
  </si>
  <si>
    <t>330,2   včetně zemních prací,pokládky,dodávky,podkladů</t>
  </si>
  <si>
    <t>Doplňující konstrukce a práce na  zpevněných plochách</t>
  </si>
  <si>
    <t>Osazení stojat. obrub. bet.bez opěry,lože z C12/15</t>
  </si>
  <si>
    <t>387,2   včetně betonu a obrubníku z polyuretanu</t>
  </si>
  <si>
    <t>HŘIŠTĚ,CHODNÍK,MLHOVIŠTĚ</t>
  </si>
  <si>
    <t>Podkladní vrstvy komunikací, letišť a ploch</t>
  </si>
  <si>
    <t>Hřiště s povrchem dle PD z polyuretanu</t>
  </si>
  <si>
    <t>1   očištění plochy,penetrace podkladu,povrch,grafika</t>
  </si>
  <si>
    <t>Úprava povrchu přisekání plošných nerovností,přisekání tvaru</t>
  </si>
  <si>
    <t>170   hřiště</t>
  </si>
  <si>
    <t>Chodníky s litou povrchovou úpravou dle PD</t>
  </si>
  <si>
    <t>1   </t>
  </si>
  <si>
    <t>Podklad ze štěrkodrti po zhutnění tloušťky 20 cm</t>
  </si>
  <si>
    <t>108   chodníky</t>
  </si>
  <si>
    <t>Podklad ze štěrkodrti 0/4 po zhutnění tloušťky 3 cm</t>
  </si>
  <si>
    <t>Osazení záhon.obrubníků do lože z C 12/15 s opěrou</t>
  </si>
  <si>
    <t>74   chodníky</t>
  </si>
  <si>
    <t>Betonové doplnění tvaru mlhoviště</t>
  </si>
  <si>
    <t>(0,2*0,2+0,4*0,4)*13,2   doplnění tvaru mlhoviště dle PD,zaoblení st.hran</t>
  </si>
  <si>
    <t>Litý povrch mlhoviště dle PD</t>
  </si>
  <si>
    <t>OPLOCENÍ</t>
  </si>
  <si>
    <t>Hodinové zúčtovací sazby (HZS)</t>
  </si>
  <si>
    <t>Oplocení -svařované-průmyslové panely montáže a dodávka</t>
  </si>
  <si>
    <t>3,336   celková montáž oplocení svařované panely  2d,sloupky,vzpěry,</t>
  </si>
  <si>
    <t>Oplocení z poplastovaného pletiva, ocelové sloupky uvnitř areálu</t>
  </si>
  <si>
    <t>0,0307+0,010   výška 120cm,montáž,doddávka dle PD,uvnitř areálu</t>
  </si>
  <si>
    <t>Ostatní materiál</t>
  </si>
  <si>
    <t>Deska podhrabová hladká 2450/200/50</t>
  </si>
  <si>
    <t>333,6/2,5   včetně osazení</t>
  </si>
  <si>
    <t>;ztratné 1%; 1,3344   </t>
  </si>
  <si>
    <t>Patka pro ocelový sloupek POS 26/26/35 ZP</t>
  </si>
  <si>
    <t>134   </t>
  </si>
  <si>
    <t>;ztratné 1%; 1,34   </t>
  </si>
  <si>
    <t>Branka ocelová h = 1250 mm š = 1000 mm+1000mm, 2 sloupky</t>
  </si>
  <si>
    <t>1   dvoukřídlá dle PD</t>
  </si>
  <si>
    <t>Branka ocelová h = 1000 mm š = 1000 mm+750mm, 2 sloupky</t>
  </si>
  <si>
    <t>1   dvoukřídlá,dle PD</t>
  </si>
  <si>
    <t>TERENNÍ ÚPRAVY</t>
  </si>
  <si>
    <t>Odkopávky a prokopávky</t>
  </si>
  <si>
    <t>Sejmutí ornice, pl. do 400 m2, přemístění do 50 m</t>
  </si>
  <si>
    <t>1,6   pískoviště B</t>
  </si>
  <si>
    <t>3,5+4,6   zahrádky C1+C2</t>
  </si>
  <si>
    <t>3   pískoviště B3</t>
  </si>
  <si>
    <t>2,3   pískoviště B4</t>
  </si>
  <si>
    <t>1,5   hrazda</t>
  </si>
  <si>
    <t>6,4   houpačka I+O 4x</t>
  </si>
  <si>
    <t>4,6   loď</t>
  </si>
  <si>
    <t>2,5   houpačka W</t>
  </si>
  <si>
    <t>2   dopadová zona č.12</t>
  </si>
  <si>
    <t>11,4   kopečky</t>
  </si>
  <si>
    <t>Odkopávky nezapažené v hor. 3 do 100 m3</t>
  </si>
  <si>
    <t>4,8   pískovištš B1</t>
  </si>
  <si>
    <t>6   pískoviště B3</t>
  </si>
  <si>
    <t>6,9   pískoviště B4</t>
  </si>
  <si>
    <t>3   hrazda H</t>
  </si>
  <si>
    <t>6,4   houpačky I</t>
  </si>
  <si>
    <t>6,4   houpačky O</t>
  </si>
  <si>
    <t>9,2   loď R</t>
  </si>
  <si>
    <t>5   houpačka W</t>
  </si>
  <si>
    <t>4   č.12 dopadová zona</t>
  </si>
  <si>
    <t>1,7   kopečky</t>
  </si>
  <si>
    <t>Konstrukce ze zemin</t>
  </si>
  <si>
    <t>Dosypání po demolicích zpevněných ploch- ornice tl.20cm</t>
  </si>
  <si>
    <t>393   393*0,2=79,4 m3 nákup</t>
  </si>
  <si>
    <t>OSTATNÍ</t>
  </si>
  <si>
    <t>HZS geodetické zaměření a vytyčení</t>
  </si>
  <si>
    <t>30   </t>
  </si>
  <si>
    <t>Hzs-certifikace prvků</t>
  </si>
  <si>
    <t>1   certifikace všech nainstalovaných prvků pro bezpečné užívání zahrady</t>
  </si>
  <si>
    <t>Hzs-vytyčení inž.sítí</t>
  </si>
  <si>
    <t>8   </t>
  </si>
  <si>
    <t>Komunikace pozemní a letiště</t>
  </si>
  <si>
    <t>Přesun hmot, povrchy,kryt dlážděný,umělý</t>
  </si>
  <si>
    <t>1,536+96,802+19,544+1,411+0,054+22,308+10+2,86+16,944   </t>
  </si>
  <si>
    <t>12,504+0,621+0,035+221,085+62,370+127,158+32,559   </t>
  </si>
  <si>
    <t>ZALOŽENÍ VEGETAČNÍCH PRVKŮ</t>
  </si>
  <si>
    <t>Kácení stromů 20-30 cm, naložení a odvoz do 1 km</t>
  </si>
  <si>
    <t>2   </t>
  </si>
  <si>
    <t>Kácení stromů 30-40 cm, naložení a odvoz do 1 km</t>
  </si>
  <si>
    <t>4   </t>
  </si>
  <si>
    <t>Kácení stromů 40-50 cm, naložení a odvoz do 1 km</t>
  </si>
  <si>
    <t>Kácení stromů 700 cm, naložení a odvoz do 1 km</t>
  </si>
  <si>
    <t>Kácení stromů 80 cm, naložení a odvoz do 1 km</t>
  </si>
  <si>
    <t>Kácení stromů jehličnatých o průměru kmene 30-50cm</t>
  </si>
  <si>
    <t>Kácení stromů jehličnatých o průměru kmene 70-90cm</t>
  </si>
  <si>
    <t>Odstranění pařezů o průměru do 20 cm, svah 1:5</t>
  </si>
  <si>
    <t>2   zasypání jámy</t>
  </si>
  <si>
    <t>Odstranění pařezů o průměru do 30 cm, svah 1:5</t>
  </si>
  <si>
    <t>1   zasypání jámy</t>
  </si>
  <si>
    <t>Odstranění pařezů o průměru do 40 cm, svah 1:5</t>
  </si>
  <si>
    <t>3   zasypání jámy</t>
  </si>
  <si>
    <t>Odstranění pařezů o průměru do 50 cm, svah 1:5</t>
  </si>
  <si>
    <t>9   </t>
  </si>
  <si>
    <t>Odstranění pařezů o průměru do 70 cm, svah 1:5</t>
  </si>
  <si>
    <t>6   </t>
  </si>
  <si>
    <t>Odstranění pařezů o průměru do 80 cm, svah 1:5</t>
  </si>
  <si>
    <t>Odstranění křovin i s kořeny na ploše do 1000 m2</t>
  </si>
  <si>
    <t>55   </t>
  </si>
  <si>
    <t>Přemístění výkopku</t>
  </si>
  <si>
    <t>Vod.přemístění větví jehlič., D 30cm  do 5000 m</t>
  </si>
  <si>
    <t>Vod.přemístění větví jehlič., D 50cm  do 5000 m</t>
  </si>
  <si>
    <t>Vod.přemístění větví jehlič., D 70cm  do 5000 m</t>
  </si>
  <si>
    <t>Vod.přemístění větví listnatých, D 30cm  do 5000 m</t>
  </si>
  <si>
    <t>Vod.přemístění větví listnatých, D 50cm  do 5000 m</t>
  </si>
  <si>
    <t>Vod.přemístění větví listnatých, D 70cm  do 5000 m</t>
  </si>
  <si>
    <t>Vod.přemístění větví listnatých, D 90cm  do 5000 m</t>
  </si>
  <si>
    <t>Vod.přemístění kmenů jehlič., D 30cm  do 5000 m</t>
  </si>
  <si>
    <t>Vod.přemístění kmenů jehlič., D 50cm  do 5000 m</t>
  </si>
  <si>
    <t>Vod.přemístění kmenů jehlič., D 70cm  do 5000 m</t>
  </si>
  <si>
    <t>Vod.přemístění kmenů listnatých, D 30cm  do 5000 m</t>
  </si>
  <si>
    <t>Vod.přemístění kmenů listnatých, D 50cm  do 5000 m</t>
  </si>
  <si>
    <t>Vod.přemístění kmenů listnatých, D 70cm  do 5000 m</t>
  </si>
  <si>
    <t>Vod.přemístění kmenů listnatých, D 90cm  do 5000 m</t>
  </si>
  <si>
    <t>Vodorovné přemístění pařezů  D 30 cm do 5000 m</t>
  </si>
  <si>
    <t>3   </t>
  </si>
  <si>
    <t>Vodorovné přemístění pařezů  D 50 cm do 5000 m</t>
  </si>
  <si>
    <t>15   </t>
  </si>
  <si>
    <t>Vodorovné přemístění pařezů  D 70 cm do 5000 m</t>
  </si>
  <si>
    <t>Vodorovné přemístění pařezů  D 90 cm do 5000 m</t>
  </si>
  <si>
    <t>Povrchové úpravy terénu a ošetření stromů</t>
  </si>
  <si>
    <t>Řez stromů prováděný lezeckou technikou zdravotní</t>
  </si>
  <si>
    <t>9+4+3   </t>
  </si>
  <si>
    <t>Řez stromů prováděný lezeckou technikou redukční</t>
  </si>
  <si>
    <t>Řez stromů výchovný výšky do 9m</t>
  </si>
  <si>
    <t>Řez a tvarování živých plotů a stěn přímých výšky do 3m</t>
  </si>
  <si>
    <t>110   </t>
  </si>
  <si>
    <t>Odstranění vzniklého biologického odpadu,uložení na skládku</t>
  </si>
  <si>
    <t>15   jen větve,dřevo patří Lesům Liberec</t>
  </si>
  <si>
    <t>Zahradnický substrát</t>
  </si>
  <si>
    <t>3,4   </t>
  </si>
  <si>
    <t>Obdělání půdy kultivátorováním v rovině</t>
  </si>
  <si>
    <t>125   mimo kořenový prostor stávajících stromů</t>
  </si>
  <si>
    <t>Založení záhonu v rovině/svah 1 : 5, hor. 1 - 2</t>
  </si>
  <si>
    <t>125   </t>
  </si>
  <si>
    <t>Vytyčení stanovišť rostlin podle osazovacího plánu</t>
  </si>
  <si>
    <t>289   </t>
  </si>
  <si>
    <t>Hloub. jamek bez výměny půdy do 0,02 m3, svah 1:5</t>
  </si>
  <si>
    <t>83   </t>
  </si>
  <si>
    <t>Výsadba dřevin s balem D do 30 cm, v rovině</t>
  </si>
  <si>
    <t>89   </t>
  </si>
  <si>
    <t>Hloub. jamek bez výměny půdy do 0,01 m3, svah 1:5</t>
  </si>
  <si>
    <t>175   </t>
  </si>
  <si>
    <t>Hloub. jamek s výměnou 50% půdy do 0,4 m3 sv.1:5</t>
  </si>
  <si>
    <t>6+25   </t>
  </si>
  <si>
    <t>Výsadba dřevin s balem D do 50 cm, v rovině</t>
  </si>
  <si>
    <t>25   </t>
  </si>
  <si>
    <t>Ošetřování vysazených dřevin soliterních, v rovině</t>
  </si>
  <si>
    <t>Ukotvení dřeviny kůly D do 10 cm, dl. do 3 m</t>
  </si>
  <si>
    <t>7   </t>
  </si>
  <si>
    <t>Ukotvení dřeviny kůly D do 10 cm, dl. do 2 m</t>
  </si>
  <si>
    <t>18   </t>
  </si>
  <si>
    <t>Hnojení umělým hnojivem k rostlinám v rovině</t>
  </si>
  <si>
    <t>0,0125   </t>
  </si>
  <si>
    <t>Nátěr kmenů proti korní spále,včetně materiálů</t>
  </si>
  <si>
    <t>Dovoz vody pro zálivku rostlin do 6 km</t>
  </si>
  <si>
    <t>2,6   </t>
  </si>
  <si>
    <t>Zhotovení závlahové mísy</t>
  </si>
  <si>
    <t>22   </t>
  </si>
  <si>
    <t>Mulčování rostlin tl. do 0,15 m rovina</t>
  </si>
  <si>
    <t>160   </t>
  </si>
  <si>
    <t>Mulčovací kůra</t>
  </si>
  <si>
    <t>13,3   </t>
  </si>
  <si>
    <t>Plošná úprava terénu přez 500m2 zemina 1-4tř</t>
  </si>
  <si>
    <t>3711   </t>
  </si>
  <si>
    <t>1984   </t>
  </si>
  <si>
    <t>Obdělání půdy hrabáním, v rovině</t>
  </si>
  <si>
    <t>Převrstvení plochy zeminou vrstva tl.50mm</t>
  </si>
  <si>
    <t>1727   oblast kořenového systému stávajících dřevin</t>
  </si>
  <si>
    <t>Založení trávníku parkového výsevem v rovině</t>
  </si>
  <si>
    <t>Zalití rostlin vodou plochy do 20 m2</t>
  </si>
  <si>
    <t>3,7   </t>
  </si>
  <si>
    <t>Zalití rostlin vodou plochy nad 20 m2</t>
  </si>
  <si>
    <t>1,5   </t>
  </si>
  <si>
    <t>5,2   </t>
  </si>
  <si>
    <t>Plochy a úpravy území</t>
  </si>
  <si>
    <t>Přesun hmot pro sadovnické a krajin. úpravy do 5km</t>
  </si>
  <si>
    <t>10,5   </t>
  </si>
  <si>
    <t>Gynkgo biloba,jinan dvoulaločný</t>
  </si>
  <si>
    <t>Malus RUDOLP JABLOŇ rUDOLPH</t>
  </si>
  <si>
    <t>Javor ČERVENÝ</t>
  </si>
  <si>
    <t>Prunus Accolade třešeň</t>
  </si>
  <si>
    <t>Trnovníkbílý Robinia pseudoaccacia Frisia</t>
  </si>
  <si>
    <t>Prunus cerrasifera Nigra myrobalán třešňový</t>
  </si>
  <si>
    <t>Javor amurský Acer ginnala</t>
  </si>
  <si>
    <t>5   </t>
  </si>
  <si>
    <t>Javor - Acer saccharinum javor stříbrný</t>
  </si>
  <si>
    <t>Hloh jednosemenný - Crataegus monogyna v.60-100 cm</t>
  </si>
  <si>
    <t>Prunus swerrulata Kanzan třešen pilovitá</t>
  </si>
  <si>
    <t>Marus Evereste jabloň Evereste</t>
  </si>
  <si>
    <t>Muchovník lamarkův Amelanchier lamarckii</t>
  </si>
  <si>
    <t>Brusnice velkoplodá  Vaccinum corymbosum</t>
  </si>
  <si>
    <t>Ribes sp. rybíz v kultivarech</t>
  </si>
  <si>
    <t>Tavolník - Spiraea vanhouttei  v.20-30cm</t>
  </si>
  <si>
    <t>Hortenzie keříčková Hydrangea arborescens</t>
  </si>
  <si>
    <t>74   </t>
  </si>
  <si>
    <t>Nepeta x faassenii šanta Faassenova K9</t>
  </si>
  <si>
    <t>150   </t>
  </si>
  <si>
    <t>Rašelina substrátová třídy III  VL</t>
  </si>
  <si>
    <t>1,1   </t>
  </si>
  <si>
    <t>4,5   </t>
  </si>
  <si>
    <t>Hnojivo dlouhodobým účinkem</t>
  </si>
  <si>
    <t>Zálivková voda</t>
  </si>
  <si>
    <t>2,6+5,2   </t>
  </si>
  <si>
    <t>Prokatrovaný zahradnický substrát</t>
  </si>
  <si>
    <t>86,40   </t>
  </si>
  <si>
    <t>NOVÉ PRVKY-stínící plachta</t>
  </si>
  <si>
    <t>Stínící plachta</t>
  </si>
  <si>
    <t>1   3x3m+4 kůly</t>
  </si>
  <si>
    <t>Motýli na sloupech</t>
  </si>
  <si>
    <t>4   A1včetně výkopů a zabetonování sloupů</t>
  </si>
  <si>
    <t>Pískoviště</t>
  </si>
  <si>
    <t>Odkopávky nezapažené v hor. 3 do 100 m3-4 zony dle PD</t>
  </si>
  <si>
    <t>4*4*0,4   B1</t>
  </si>
  <si>
    <t>69,4   B2</t>
  </si>
  <si>
    <t>50   B3</t>
  </si>
  <si>
    <t>22,6   B4</t>
  </si>
  <si>
    <t>Pískoviště-ohraničení akáty pozice dle PD</t>
  </si>
  <si>
    <t>16   B1čtverec 4x4</t>
  </si>
  <si>
    <t>30   B2elipsa pískoviště s písečnou dílnou</t>
  </si>
  <si>
    <t>27   B3nepravidelná elipsa</t>
  </si>
  <si>
    <t>17   B4pískoviště u vrbové chýše</t>
  </si>
  <si>
    <t>Písek praný  0 - 36 Ch</t>
  </si>
  <si>
    <t>4*4*0,35   B1</t>
  </si>
  <si>
    <t>69,4*0,4   B2</t>
  </si>
  <si>
    <t>50*0,35   B3</t>
  </si>
  <si>
    <t>22,6*0,35   B4</t>
  </si>
  <si>
    <t>17*0,3   kopeček s přírodninami-pískoviště</t>
  </si>
  <si>
    <t>3*3*0,4   mlhoviště</t>
  </si>
  <si>
    <t>Plachta krycí s oky GUTTAPLANE HW 180g/m2</t>
  </si>
  <si>
    <t>16+42+12+9+8+14   </t>
  </si>
  <si>
    <t>Zeleninová zahrádka</t>
  </si>
  <si>
    <t>Sloupy a pilíře, stožáry a rámové stojky</t>
  </si>
  <si>
    <t>Vyvýšený záhon 200x80 dle PD</t>
  </si>
  <si>
    <t>3   C1</t>
  </si>
  <si>
    <t>Vyvýšené záhony dle PD</t>
  </si>
  <si>
    <t>1   C280x200   4500</t>
  </si>
  <si>
    <t>0   80x240     5000</t>
  </si>
  <si>
    <t>0   80x280     5800</t>
  </si>
  <si>
    <t>0   80x340     6800</t>
  </si>
  <si>
    <t>0   80x375     8000</t>
  </si>
  <si>
    <t>Podklad z perku po zhutnění tloušťky 7 cm</t>
  </si>
  <si>
    <t>50,4   C1</t>
  </si>
  <si>
    <t>46   C2</t>
  </si>
  <si>
    <t xml:space="preserve"> Vodovod</t>
  </si>
  <si>
    <t>Potrubí z PEHD, D 20 x 2,0 mm</t>
  </si>
  <si>
    <t>32   </t>
  </si>
  <si>
    <t>Dvojventil na potrubí dle PD</t>
  </si>
  <si>
    <t>Zařizovací předměty</t>
  </si>
  <si>
    <t>Montáž a dodávka ventilů nástěnných G 3/4,včetně sloupků</t>
  </si>
  <si>
    <t>1   dodávka a montáže dle PD,2xventil a sloupek</t>
  </si>
  <si>
    <t>Osaz. stoj. obrub. kam. bez opěry, lože kam.kostka</t>
  </si>
  <si>
    <t>13   C1</t>
  </si>
  <si>
    <t>20   C2</t>
  </si>
  <si>
    <t>Zemní práce při montážích</t>
  </si>
  <si>
    <t>Výkop kabelové rýhy 35/50 cm  hor.3</t>
  </si>
  <si>
    <t>Zához rýhy 35/50 cm, hornina třídy 3, se zhutněním</t>
  </si>
  <si>
    <t>Geotextilie Geomatex NTB10 300  2x100 m bílá</t>
  </si>
  <si>
    <t>50,4+46   s montáží</t>
  </si>
  <si>
    <t>Zemina do záhonů</t>
  </si>
  <si>
    <t>(0,96+0,32+0,42+0,44+0,54+0,6)*1,6   </t>
  </si>
  <si>
    <t>Balanční sestava</t>
  </si>
  <si>
    <t>Balanční sestava bez dopadové plochy</t>
  </si>
  <si>
    <t>Ohniště</t>
  </si>
  <si>
    <t>Ohniště dle PD</t>
  </si>
  <si>
    <t>Houpačka hnízdečko</t>
  </si>
  <si>
    <t>Písečná dílna</t>
  </si>
  <si>
    <t>Písečná dílna dlePD</t>
  </si>
  <si>
    <t>Mašinka dle PD</t>
  </si>
  <si>
    <t>Kopečky s přírodninami</t>
  </si>
  <si>
    <t>17   pro pískoviště</t>
  </si>
  <si>
    <t>Sejmutí ornice s přemístěním do 50 m</t>
  </si>
  <si>
    <t>114   </t>
  </si>
  <si>
    <t>Uložení sypaniny do násypů zhutněných na 103% PS</t>
  </si>
  <si>
    <t>21   hutnit  po vrstvách s vytvořením kopečku dle PD</t>
  </si>
  <si>
    <t>Osazení kmenů dle PD</t>
  </si>
  <si>
    <t>Osazení klád z  akátů s dodávkou</t>
  </si>
  <si>
    <t>17   volně cik cak dle PD</t>
  </si>
  <si>
    <t>Osazení kůlů palisády, dle PD</t>
  </si>
  <si>
    <t>13   s dodávkou</t>
  </si>
  <si>
    <t>Podklad ze štěrkopísku po zhutnění tloušťky 10 cm fr.0/4</t>
  </si>
  <si>
    <t>60   </t>
  </si>
  <si>
    <t>Kačírek 16/32 tl. 100 mm</t>
  </si>
  <si>
    <t>30   dodávka s rozprostřením</t>
  </si>
  <si>
    <t>Kámen -valouny DN 20-60cm</t>
  </si>
  <si>
    <t>60   s osazením dle PD</t>
  </si>
  <si>
    <t>Kamenivo  těžené frakce32/120oblázky</t>
  </si>
  <si>
    <t>24   dodávka s rozprostřením</t>
  </si>
  <si>
    <t>Geotextilie GUTTATEX 300 g/m2 š. 200 cm PES</t>
  </si>
  <si>
    <t>17   </t>
  </si>
  <si>
    <t>HOUPACÍ SÍŤ</t>
  </si>
  <si>
    <t>Houpací síť</t>
  </si>
  <si>
    <t>Osazení houpací sítě</t>
  </si>
  <si>
    <t>MLHOVIŠTĚ</t>
  </si>
  <si>
    <t>Plocha pod ventil vodovodu ze žulových kostek</t>
  </si>
  <si>
    <t>0,8*2   </t>
  </si>
  <si>
    <t>24,5+29+17   </t>
  </si>
  <si>
    <t>Ventil přímý s výpustí PP-R INSTAPLAST D 20x1/2"</t>
  </si>
  <si>
    <t>Osazení a dodávka trysek mlhotrysku</t>
  </si>
  <si>
    <t>5   P1 3kusy,P2 1kus,P3 1 kusy</t>
  </si>
  <si>
    <t>Výkop  rýhy 35/50 cm  hor.3</t>
  </si>
  <si>
    <t>24,5   P1</t>
  </si>
  <si>
    <t>29   P2</t>
  </si>
  <si>
    <t>17   P3</t>
  </si>
  <si>
    <t>Zához rýhy 35/50 cm, hornina třídy 3</t>
  </si>
  <si>
    <t>PÍSEČNÝ HARVESTR</t>
  </si>
  <si>
    <t>Písečný harvestr komplet dodávka s osazením</t>
  </si>
  <si>
    <t>1   dodávka 125300,montáže 13054</t>
  </si>
  <si>
    <t>Loď s klouzačkou dle PD</t>
  </si>
  <si>
    <t>KOMPOSTERY</t>
  </si>
  <si>
    <t>Komposter</t>
  </si>
  <si>
    <t>1   dvě komory montáž3000dodávka13760(jeden zůstane stávající)</t>
  </si>
  <si>
    <t>HMYZÍ DOMEK</t>
  </si>
  <si>
    <t>Hmyzí domek</t>
  </si>
  <si>
    <t>1   montáž 800,dodávka 2450</t>
  </si>
  <si>
    <t>DVOJ HOUPAČKA</t>
  </si>
  <si>
    <t>Dvoj houpačka dle PD</t>
  </si>
  <si>
    <t>KRMÍTKA PRO PTÁKY</t>
  </si>
  <si>
    <t>Krmíto pro ptáky dle PD</t>
  </si>
  <si>
    <t>13   </t>
  </si>
  <si>
    <t>Pítko pro ptáky</t>
  </si>
  <si>
    <t>SRÁŽKOMĚR+KŮL</t>
  </si>
  <si>
    <t>Srážkoměr a kůl</t>
  </si>
  <si>
    <t>SUŠÁKY NA PRÁDLO</t>
  </si>
  <si>
    <t>Sušáky na prádlo skládací a vyndávací</t>
  </si>
  <si>
    <t>3   dle PD včetně patek a zemních prací</t>
  </si>
  <si>
    <t>Doba výstavby:</t>
  </si>
  <si>
    <t>Začátek výstavby:</t>
  </si>
  <si>
    <t>Konec výstavby:</t>
  </si>
  <si>
    <t>Zpracováno dne:</t>
  </si>
  <si>
    <t>28.10.2018</t>
  </si>
  <si>
    <t>MJ</t>
  </si>
  <si>
    <t>m</t>
  </si>
  <si>
    <t>kus</t>
  </si>
  <si>
    <t>t</t>
  </si>
  <si>
    <t>m2</t>
  </si>
  <si>
    <t>soubor</t>
  </si>
  <si>
    <t>kg</t>
  </si>
  <si>
    <t>m3</t>
  </si>
  <si>
    <t>soub</t>
  </si>
  <si>
    <t>100 m</t>
  </si>
  <si>
    <t>h</t>
  </si>
  <si>
    <t>ks</t>
  </si>
  <si>
    <t>KUS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</si>
  <si>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</si>
  <si>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</si>
  <si>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</si>
  <si>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</si>
  <si>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</si>
  <si>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</si>
  <si>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</si>
  <si>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LIBEREC</t>
  </si>
  <si>
    <t>ING.KŘIVOHLAVÁ J.</t>
  </si>
  <si>
    <t>BUDE VYBRÁN</t>
  </si>
  <si>
    <t>IIČVDF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</si>
  <si>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</si>
  <si>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</si>
  <si>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</si>
  <si>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</si>
  <si>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</si>
  <si>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</si>
  <si>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</si>
  <si>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</si>
  <si>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</si>
  <si>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</si>
  <si>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</si>
  <si>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</si>
  <si>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</si>
  <si>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</si>
  <si>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</si>
  <si>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</si>
  <si>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</si>
  <si>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1O-01</t>
  </si>
  <si>
    <t>1O-02</t>
  </si>
  <si>
    <t>1O-03</t>
  </si>
  <si>
    <t>1O-04</t>
  </si>
  <si>
    <t>1O-05</t>
  </si>
  <si>
    <t>1O-06</t>
  </si>
  <si>
    <t>1O-07</t>
  </si>
  <si>
    <t>1O-08</t>
  </si>
  <si>
    <t>1O-09</t>
  </si>
  <si>
    <t>1O-10</t>
  </si>
  <si>
    <t>B</t>
  </si>
  <si>
    <t>C</t>
  </si>
  <si>
    <t>E</t>
  </si>
  <si>
    <t>G</t>
  </si>
  <si>
    <t>I</t>
  </si>
  <si>
    <t>J</t>
  </si>
  <si>
    <t>L</t>
  </si>
  <si>
    <t>M</t>
  </si>
  <si>
    <t>O</t>
  </si>
  <si>
    <t>P</t>
  </si>
  <si>
    <t>Q</t>
  </si>
  <si>
    <t>T</t>
  </si>
  <si>
    <t>U</t>
  </si>
  <si>
    <t>W</t>
  </si>
  <si>
    <t>X</t>
  </si>
  <si>
    <t>Y</t>
  </si>
  <si>
    <t>Z</t>
  </si>
  <si>
    <t>0</t>
  </si>
  <si>
    <t>A_</t>
  </si>
  <si>
    <t>96_</t>
  </si>
  <si>
    <t>S_</t>
  </si>
  <si>
    <t>11_</t>
  </si>
  <si>
    <t>766_</t>
  </si>
  <si>
    <t>59_</t>
  </si>
  <si>
    <t>91_</t>
  </si>
  <si>
    <t>56_</t>
  </si>
  <si>
    <t>90_</t>
  </si>
  <si>
    <t>Z99999_</t>
  </si>
  <si>
    <t>12_</t>
  </si>
  <si>
    <t>17_</t>
  </si>
  <si>
    <t>H22_</t>
  </si>
  <si>
    <t>16_</t>
  </si>
  <si>
    <t>18_</t>
  </si>
  <si>
    <t>H23_</t>
  </si>
  <si>
    <t>33_</t>
  </si>
  <si>
    <t>722_</t>
  </si>
  <si>
    <t>725_</t>
  </si>
  <si>
    <t>M46_</t>
  </si>
  <si>
    <t>1O-01_9_</t>
  </si>
  <si>
    <t>1O-02_1_</t>
  </si>
  <si>
    <t>1O-02_9_</t>
  </si>
  <si>
    <t>1O-03_1_</t>
  </si>
  <si>
    <t>1O-03_76_</t>
  </si>
  <si>
    <t>1O-03_9_</t>
  </si>
  <si>
    <t>1O-04_76_</t>
  </si>
  <si>
    <t>1O-04_9_</t>
  </si>
  <si>
    <t>1O-05_5_</t>
  </si>
  <si>
    <t>1O-05_9_</t>
  </si>
  <si>
    <t>1O-06_5_</t>
  </si>
  <si>
    <t>1O-06_9_</t>
  </si>
  <si>
    <t>1O-07_9_</t>
  </si>
  <si>
    <t>1O-07_Z_</t>
  </si>
  <si>
    <t>1O-08_1_</t>
  </si>
  <si>
    <t>1O-09_9_</t>
  </si>
  <si>
    <t>1O-10_1_</t>
  </si>
  <si>
    <t>1O-10_9_</t>
  </si>
  <si>
    <t>1O-10_Z_</t>
  </si>
  <si>
    <t>A_9_</t>
  </si>
  <si>
    <t>B_1_</t>
  </si>
  <si>
    <t>B_9_</t>
  </si>
  <si>
    <t>B_Z_</t>
  </si>
  <si>
    <t>C_3_</t>
  </si>
  <si>
    <t>C_5_</t>
  </si>
  <si>
    <t>C_72_</t>
  </si>
  <si>
    <t>C_9_</t>
  </si>
  <si>
    <t>C_Z_</t>
  </si>
  <si>
    <t>E_9_</t>
  </si>
  <si>
    <t>G_9_</t>
  </si>
  <si>
    <t>I_9_</t>
  </si>
  <si>
    <t>J_9_</t>
  </si>
  <si>
    <t>L_9_</t>
  </si>
  <si>
    <t>M_1_</t>
  </si>
  <si>
    <t>M_3_</t>
  </si>
  <si>
    <t>M_5_</t>
  </si>
  <si>
    <t>M_Z_</t>
  </si>
  <si>
    <t>O_9_</t>
  </si>
  <si>
    <t>P_5_</t>
  </si>
  <si>
    <t>P_72_</t>
  </si>
  <si>
    <t>P_9_</t>
  </si>
  <si>
    <t>Q_9_</t>
  </si>
  <si>
    <t>T_9_</t>
  </si>
  <si>
    <t>U_9_</t>
  </si>
  <si>
    <t>W_9_</t>
  </si>
  <si>
    <t>X_9_</t>
  </si>
  <si>
    <t>Y_9_</t>
  </si>
  <si>
    <t>Z_9_</t>
  </si>
  <si>
    <t>1O-01_</t>
  </si>
  <si>
    <t>1O-02_</t>
  </si>
  <si>
    <t>1O-03_</t>
  </si>
  <si>
    <t>1O-04_</t>
  </si>
  <si>
    <t>1O-05_</t>
  </si>
  <si>
    <t>1O-06_</t>
  </si>
  <si>
    <t>1O-07_</t>
  </si>
  <si>
    <t>1O-08_</t>
  </si>
  <si>
    <t>1O-09_</t>
  </si>
  <si>
    <t>1O-10_</t>
  </si>
  <si>
    <t>B_</t>
  </si>
  <si>
    <t>C_</t>
  </si>
  <si>
    <t>E_</t>
  </si>
  <si>
    <t>G_</t>
  </si>
  <si>
    <t>I_</t>
  </si>
  <si>
    <t>J_</t>
  </si>
  <si>
    <t>L_</t>
  </si>
  <si>
    <t>M_</t>
  </si>
  <si>
    <t>O_</t>
  </si>
  <si>
    <t>P_</t>
  </si>
  <si>
    <t>Q_</t>
  </si>
  <si>
    <t>T_</t>
  </si>
  <si>
    <t>U_</t>
  </si>
  <si>
    <t>W_</t>
  </si>
  <si>
    <t>X_</t>
  </si>
  <si>
    <t>Y_</t>
  </si>
  <si>
    <t>Z_</t>
  </si>
  <si>
    <t>MAT</t>
  </si>
  <si>
    <t>WORK</t>
  </si>
  <si>
    <t>CELK</t>
  </si>
  <si>
    <t>Rozpočtové náklady v Kč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</si>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</sst>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5"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9" fontId="9" fillId="33" borderId="10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9" fontId="13" fillId="35" borderId="15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5" fillId="0" borderId="15" xfId="0" applyNumberFormat="1" applyFont="1" applyFill="1" applyBorder="1" applyAlignment="1" applyProtection="1">
      <alignment horizontal="right" vertical="center"/>
      <protection/>
    </xf>
    <xf numFmtId="49" fontId="15" fillId="0" borderId="15" xfId="0" applyNumberFormat="1" applyFont="1" applyFill="1" applyBorder="1" applyAlignment="1" applyProtection="1">
      <alignment horizontal="right" vertical="center"/>
      <protection/>
    </xf>
    <xf numFmtId="4" fontId="15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4" fillId="35" borderId="2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10" xfId="0" applyNumberFormat="1" applyFont="1" applyFill="1" applyBorder="1" applyAlignment="1" applyProtection="1">
      <alignment horizontal="left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49" fontId="16" fillId="0" borderId="24" xfId="0" applyNumberFormat="1" applyFont="1" applyFill="1" applyBorder="1" applyAlignment="1" applyProtection="1">
      <alignment horizontal="left" vertical="center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49" fontId="14" fillId="0" borderId="24" xfId="0" applyNumberFormat="1" applyFont="1" applyFill="1" applyBorder="1" applyAlignment="1" applyProtection="1">
      <alignment horizontal="left"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49" fontId="14" fillId="35" borderId="24" xfId="0" applyNumberFormat="1" applyFont="1" applyFill="1" applyBorder="1" applyAlignment="1" applyProtection="1">
      <alignment horizontal="left" vertical="center"/>
      <protection/>
    </xf>
    <xf numFmtId="0" fontId="14" fillId="35" borderId="28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1" xfId="0" applyNumberFormat="1" applyFont="1" applyFill="1" applyBorder="1" applyAlignment="1" applyProtection="1">
      <alignment horizontal="lef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45" xfId="0" applyNumberFormat="1" applyFont="1" applyFill="1" applyBorder="1" applyAlignment="1" applyProtection="1">
      <alignment horizontal="left" vertical="center"/>
      <protection locked="0"/>
    </xf>
    <xf numFmtId="49" fontId="1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10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" fontId="10" fillId="34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57"/>
  <sheetViews>
    <sheetView tabSelected="1" zoomScalePageLayoutView="0" workbookViewId="0" topLeftCell="A1">
      <pane ySplit="11" topLeftCell="A15" activePane="bottomLeft" state="frozen"/>
      <selection pane="topLeft" activeCell="A1" sqref="A1"/>
      <selection pane="bottomLeft" activeCell="H23" sqref="H23"/>
    </sheetView>
  </sheetViews>
  <sheetFormatPr defaultColWidth="11.57421875" defaultRowHeight="12.75"/>
  <cols>
    <col min="1" max="1" width="3.7109375" style="97" customWidth="1"/>
    <col min="2" max="2" width="14.28125" style="97" customWidth="1"/>
    <col min="3" max="3" width="62.57421875" style="97" customWidth="1"/>
    <col min="4" max="5" width="11.57421875" style="97" customWidth="1"/>
    <col min="6" max="6" width="6.421875" style="97" customWidth="1"/>
    <col min="7" max="7" width="12.8515625" style="97" customWidth="1"/>
    <col min="8" max="8" width="12.00390625" style="97" customWidth="1"/>
    <col min="9" max="11" width="14.28125" style="97" customWidth="1"/>
    <col min="12" max="12" width="11.7109375" style="97" customWidth="1"/>
    <col min="13" max="24" width="11.57421875" style="97" customWidth="1"/>
    <col min="25" max="62" width="12.140625" style="97" hidden="1" customWidth="1"/>
    <col min="63" max="16384" width="11.57421875" style="97" customWidth="1"/>
  </cols>
  <sheetData>
    <row r="1" spans="1:12" ht="72.7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2.75">
      <c r="A2" s="98" t="s">
        <v>1</v>
      </c>
      <c r="B2" s="99"/>
      <c r="C2" s="100" t="s">
        <v>399</v>
      </c>
      <c r="D2" s="101" t="s">
        <v>809</v>
      </c>
      <c r="E2" s="99"/>
      <c r="F2" s="101" t="s">
        <v>6</v>
      </c>
      <c r="G2" s="99"/>
      <c r="H2" s="102" t="s">
        <v>828</v>
      </c>
      <c r="I2" s="102" t="s">
        <v>834</v>
      </c>
      <c r="J2" s="99"/>
      <c r="K2" s="99"/>
      <c r="L2" s="103"/>
      <c r="M2" s="104"/>
    </row>
    <row r="3" spans="1:13" ht="12.75">
      <c r="A3" s="105"/>
      <c r="B3" s="106"/>
      <c r="C3" s="107"/>
      <c r="D3" s="106"/>
      <c r="E3" s="106"/>
      <c r="F3" s="106"/>
      <c r="G3" s="106"/>
      <c r="H3" s="106"/>
      <c r="I3" s="106"/>
      <c r="J3" s="106"/>
      <c r="K3" s="106"/>
      <c r="L3" s="108"/>
      <c r="M3" s="104"/>
    </row>
    <row r="4" spans="1:13" ht="12.75">
      <c r="A4" s="109" t="s">
        <v>2</v>
      </c>
      <c r="B4" s="106"/>
      <c r="C4" s="110" t="s">
        <v>400</v>
      </c>
      <c r="D4" s="111" t="s">
        <v>810</v>
      </c>
      <c r="E4" s="106"/>
      <c r="F4" s="111" t="s">
        <v>6</v>
      </c>
      <c r="G4" s="106"/>
      <c r="H4" s="110" t="s">
        <v>829</v>
      </c>
      <c r="I4" s="110" t="s">
        <v>835</v>
      </c>
      <c r="J4" s="106"/>
      <c r="K4" s="106"/>
      <c r="L4" s="108"/>
      <c r="M4" s="104"/>
    </row>
    <row r="5" spans="1:13" ht="12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8"/>
      <c r="M5" s="104"/>
    </row>
    <row r="6" spans="1:13" ht="12.75">
      <c r="A6" s="109" t="s">
        <v>3</v>
      </c>
      <c r="B6" s="106"/>
      <c r="C6" s="110" t="s">
        <v>401</v>
      </c>
      <c r="D6" s="111" t="s">
        <v>811</v>
      </c>
      <c r="E6" s="106"/>
      <c r="F6" s="111" t="s">
        <v>6</v>
      </c>
      <c r="G6" s="106"/>
      <c r="H6" s="110" t="s">
        <v>830</v>
      </c>
      <c r="I6" s="110" t="s">
        <v>836</v>
      </c>
      <c r="J6" s="106"/>
      <c r="K6" s="106"/>
      <c r="L6" s="108"/>
      <c r="M6" s="104"/>
    </row>
    <row r="7" spans="1:13" ht="12.7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8"/>
      <c r="M7" s="104"/>
    </row>
    <row r="8" spans="1:13" ht="12.75">
      <c r="A8" s="109" t="s">
        <v>4</v>
      </c>
      <c r="B8" s="106"/>
      <c r="C8" s="110" t="s">
        <v>6</v>
      </c>
      <c r="D8" s="111" t="s">
        <v>812</v>
      </c>
      <c r="E8" s="106"/>
      <c r="F8" s="111" t="s">
        <v>813</v>
      </c>
      <c r="G8" s="106"/>
      <c r="H8" s="110" t="s">
        <v>831</v>
      </c>
      <c r="I8" s="110" t="s">
        <v>837</v>
      </c>
      <c r="J8" s="106"/>
      <c r="K8" s="106"/>
      <c r="L8" s="108"/>
      <c r="M8" s="104"/>
    </row>
    <row r="9" spans="1:13" ht="12.7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04"/>
    </row>
    <row r="10" spans="1:13" ht="12.75">
      <c r="A10" s="115" t="s">
        <v>5</v>
      </c>
      <c r="B10" s="116" t="s">
        <v>212</v>
      </c>
      <c r="C10" s="117" t="s">
        <v>402</v>
      </c>
      <c r="D10" s="118"/>
      <c r="E10" s="119"/>
      <c r="F10" s="116" t="s">
        <v>814</v>
      </c>
      <c r="G10" s="120" t="s">
        <v>827</v>
      </c>
      <c r="H10" s="121" t="s">
        <v>832</v>
      </c>
      <c r="I10" s="122" t="s">
        <v>838</v>
      </c>
      <c r="J10" s="123"/>
      <c r="K10" s="124"/>
      <c r="L10" s="125" t="s">
        <v>843</v>
      </c>
      <c r="M10" s="126"/>
    </row>
    <row r="11" spans="1:62" ht="12.75">
      <c r="A11" s="127" t="s">
        <v>6</v>
      </c>
      <c r="B11" s="128" t="s">
        <v>6</v>
      </c>
      <c r="C11" s="129" t="s">
        <v>403</v>
      </c>
      <c r="D11" s="130"/>
      <c r="E11" s="131"/>
      <c r="F11" s="128" t="s">
        <v>6</v>
      </c>
      <c r="G11" s="128" t="s">
        <v>6</v>
      </c>
      <c r="H11" s="132" t="s">
        <v>833</v>
      </c>
      <c r="I11" s="133" t="s">
        <v>839</v>
      </c>
      <c r="J11" s="134" t="s">
        <v>841</v>
      </c>
      <c r="K11" s="135" t="s">
        <v>842</v>
      </c>
      <c r="L11" s="136" t="s">
        <v>844</v>
      </c>
      <c r="M11" s="126"/>
      <c r="Z11" s="137" t="s">
        <v>846</v>
      </c>
      <c r="AA11" s="137" t="s">
        <v>847</v>
      </c>
      <c r="AB11" s="137" t="s">
        <v>848</v>
      </c>
      <c r="AC11" s="137" t="s">
        <v>849</v>
      </c>
      <c r="AD11" s="137" t="s">
        <v>850</v>
      </c>
      <c r="AE11" s="137" t="s">
        <v>851</v>
      </c>
      <c r="AF11" s="137" t="s">
        <v>852</v>
      </c>
      <c r="AG11" s="137" t="s">
        <v>853</v>
      </c>
      <c r="AH11" s="137" t="s">
        <v>854</v>
      </c>
      <c r="BH11" s="137" t="s">
        <v>978</v>
      </c>
      <c r="BI11" s="137" t="s">
        <v>979</v>
      </c>
      <c r="BJ11" s="137" t="s">
        <v>980</v>
      </c>
    </row>
    <row r="12" spans="1:12" ht="12.75">
      <c r="A12" s="1"/>
      <c r="B12" s="8"/>
      <c r="C12" s="54" t="s">
        <v>404</v>
      </c>
      <c r="D12" s="55"/>
      <c r="E12" s="55"/>
      <c r="F12" s="1" t="s">
        <v>6</v>
      </c>
      <c r="G12" s="1" t="s">
        <v>6</v>
      </c>
      <c r="H12" s="138" t="s">
        <v>6</v>
      </c>
      <c r="I12" s="22">
        <f>I13+I16+I19</f>
        <v>0</v>
      </c>
      <c r="J12" s="22">
        <f>J13+J16+J19</f>
        <v>0</v>
      </c>
      <c r="K12" s="22">
        <f>K13+K16+K19</f>
        <v>0</v>
      </c>
      <c r="L12" s="15"/>
    </row>
    <row r="13" spans="1:47" ht="12.75">
      <c r="A13" s="2"/>
      <c r="B13" s="9" t="s">
        <v>213</v>
      </c>
      <c r="C13" s="56" t="s">
        <v>405</v>
      </c>
      <c r="D13" s="57"/>
      <c r="E13" s="57"/>
      <c r="F13" s="2" t="s">
        <v>6</v>
      </c>
      <c r="G13" s="2" t="s">
        <v>6</v>
      </c>
      <c r="H13" s="139" t="s">
        <v>6</v>
      </c>
      <c r="I13" s="23">
        <f>SUM(I14:I14)</f>
        <v>0</v>
      </c>
      <c r="J13" s="23">
        <f>SUM(J14:J14)</f>
        <v>0</v>
      </c>
      <c r="K13" s="23">
        <f>SUM(K14:K14)</f>
        <v>0</v>
      </c>
      <c r="L13" s="16"/>
      <c r="AI13" s="137" t="s">
        <v>855</v>
      </c>
      <c r="AS13" s="140">
        <f>SUM(AJ14:AJ14)</f>
        <v>0</v>
      </c>
      <c r="AT13" s="140">
        <f>SUM(AK14:AK14)</f>
        <v>0</v>
      </c>
      <c r="AU13" s="140">
        <f>SUM(AL14:AL14)</f>
        <v>0</v>
      </c>
    </row>
    <row r="14" spans="1:62" ht="12.75">
      <c r="A14" s="3" t="s">
        <v>7</v>
      </c>
      <c r="B14" s="3" t="s">
        <v>214</v>
      </c>
      <c r="C14" s="58" t="s">
        <v>406</v>
      </c>
      <c r="D14" s="59"/>
      <c r="E14" s="59"/>
      <c r="F14" s="3" t="s">
        <v>815</v>
      </c>
      <c r="G14" s="11">
        <v>333.6</v>
      </c>
      <c r="H14" s="141">
        <v>0</v>
      </c>
      <c r="I14" s="11">
        <f>G14*AO14</f>
        <v>0</v>
      </c>
      <c r="J14" s="11">
        <f>G14*AP14</f>
        <v>0</v>
      </c>
      <c r="K14" s="11">
        <f>G14*H14</f>
        <v>0</v>
      </c>
      <c r="L14" s="17" t="s">
        <v>845</v>
      </c>
      <c r="Z14" s="143">
        <f>IF(AQ14="5",BJ14,0)</f>
        <v>0</v>
      </c>
      <c r="AB14" s="143">
        <f>IF(AQ14="1",BH14,0)</f>
        <v>0</v>
      </c>
      <c r="AC14" s="143">
        <f>IF(AQ14="1",BI14,0)</f>
        <v>0</v>
      </c>
      <c r="AD14" s="143">
        <f>IF(AQ14="7",BH14,0)</f>
        <v>0</v>
      </c>
      <c r="AE14" s="143">
        <f>IF(AQ14="7",BI14,0)</f>
        <v>0</v>
      </c>
      <c r="AF14" s="143">
        <f>IF(AQ14="2",BH14,0)</f>
        <v>0</v>
      </c>
      <c r="AG14" s="143">
        <f>IF(AQ14="2",BI14,0)</f>
        <v>0</v>
      </c>
      <c r="AH14" s="143">
        <f>IF(AQ14="0",BJ14,0)</f>
        <v>0</v>
      </c>
      <c r="AI14" s="137" t="s">
        <v>855</v>
      </c>
      <c r="AJ14" s="141">
        <f>IF(AN14=0,K14,0)</f>
        <v>0</v>
      </c>
      <c r="AK14" s="141">
        <f>IF(AN14=15,K14,0)</f>
        <v>0</v>
      </c>
      <c r="AL14" s="141">
        <f>IF(AN14=21,K14,0)</f>
        <v>0</v>
      </c>
      <c r="AN14" s="143">
        <v>21</v>
      </c>
      <c r="AO14" s="143">
        <f>H14*0</f>
        <v>0</v>
      </c>
      <c r="AP14" s="143">
        <f>H14*(1-0)</f>
        <v>0</v>
      </c>
      <c r="AQ14" s="142" t="s">
        <v>7</v>
      </c>
      <c r="AV14" s="143">
        <f>AW14+AX14</f>
        <v>0</v>
      </c>
      <c r="AW14" s="143">
        <f>G14*AO14</f>
        <v>0</v>
      </c>
      <c r="AX14" s="143">
        <f>G14*AP14</f>
        <v>0</v>
      </c>
      <c r="AY14" s="144" t="s">
        <v>883</v>
      </c>
      <c r="AZ14" s="144" t="s">
        <v>903</v>
      </c>
      <c r="BA14" s="137" t="s">
        <v>951</v>
      </c>
      <c r="BC14" s="143">
        <f>AW14+AX14</f>
        <v>0</v>
      </c>
      <c r="BD14" s="143">
        <f>H14/(100-BE14)*100</f>
        <v>0</v>
      </c>
      <c r="BE14" s="143">
        <v>0</v>
      </c>
      <c r="BF14" s="143">
        <f>14</f>
        <v>14</v>
      </c>
      <c r="BH14" s="141">
        <f>G14*AO14</f>
        <v>0</v>
      </c>
      <c r="BI14" s="141">
        <f>G14*AP14</f>
        <v>0</v>
      </c>
      <c r="BJ14" s="141">
        <f>G14*H14</f>
        <v>0</v>
      </c>
    </row>
    <row r="15" spans="1:12" ht="12.75">
      <c r="A15" s="154"/>
      <c r="B15" s="154"/>
      <c r="C15" s="60" t="s">
        <v>407</v>
      </c>
      <c r="D15" s="61"/>
      <c r="E15" s="61"/>
      <c r="F15" s="154"/>
      <c r="G15" s="12">
        <v>333.6</v>
      </c>
      <c r="I15" s="154"/>
      <c r="J15" s="154"/>
      <c r="K15" s="154"/>
      <c r="L15" s="154"/>
    </row>
    <row r="16" spans="1:47" ht="12.75">
      <c r="A16" s="2"/>
      <c r="B16" s="9" t="s">
        <v>102</v>
      </c>
      <c r="C16" s="56" t="s">
        <v>408</v>
      </c>
      <c r="D16" s="57"/>
      <c r="E16" s="57"/>
      <c r="F16" s="2" t="s">
        <v>6</v>
      </c>
      <c r="G16" s="2" t="s">
        <v>6</v>
      </c>
      <c r="H16" s="139" t="s">
        <v>6</v>
      </c>
      <c r="I16" s="23">
        <f>SUM(I17:I17)</f>
        <v>0</v>
      </c>
      <c r="J16" s="23">
        <f>SUM(J17:J17)</f>
        <v>0</v>
      </c>
      <c r="K16" s="23">
        <f>SUM(K17:K17)</f>
        <v>0</v>
      </c>
      <c r="L16" s="16"/>
      <c r="AI16" s="137" t="s">
        <v>855</v>
      </c>
      <c r="AS16" s="140">
        <f>SUM(AJ17:AJ17)</f>
        <v>0</v>
      </c>
      <c r="AT16" s="140">
        <f>SUM(AK17:AK17)</f>
        <v>0</v>
      </c>
      <c r="AU16" s="140">
        <f>SUM(AL17:AL17)</f>
        <v>0</v>
      </c>
    </row>
    <row r="17" spans="1:62" ht="12.75">
      <c r="A17" s="3" t="s">
        <v>8</v>
      </c>
      <c r="B17" s="3" t="s">
        <v>215</v>
      </c>
      <c r="C17" s="58" t="s">
        <v>409</v>
      </c>
      <c r="D17" s="59"/>
      <c r="E17" s="59"/>
      <c r="F17" s="3" t="s">
        <v>816</v>
      </c>
      <c r="G17" s="11">
        <v>166.8</v>
      </c>
      <c r="H17" s="141">
        <v>0</v>
      </c>
      <c r="I17" s="11">
        <f>G17*AO17</f>
        <v>0</v>
      </c>
      <c r="J17" s="11">
        <f>G17*AP17</f>
        <v>0</v>
      </c>
      <c r="K17" s="11">
        <f>G17*H17</f>
        <v>0</v>
      </c>
      <c r="L17" s="17" t="s">
        <v>845</v>
      </c>
      <c r="Z17" s="143">
        <f>IF(AQ17="5",BJ17,0)</f>
        <v>0</v>
      </c>
      <c r="AB17" s="143">
        <f>IF(AQ17="1",BH17,0)</f>
        <v>0</v>
      </c>
      <c r="AC17" s="143">
        <f>IF(AQ17="1",BI17,0)</f>
        <v>0</v>
      </c>
      <c r="AD17" s="143">
        <f>IF(AQ17="7",BH17,0)</f>
        <v>0</v>
      </c>
      <c r="AE17" s="143">
        <f>IF(AQ17="7",BI17,0)</f>
        <v>0</v>
      </c>
      <c r="AF17" s="143">
        <f>IF(AQ17="2",BH17,0)</f>
        <v>0</v>
      </c>
      <c r="AG17" s="143">
        <f>IF(AQ17="2",BI17,0)</f>
        <v>0</v>
      </c>
      <c r="AH17" s="143">
        <f>IF(AQ17="0",BJ17,0)</f>
        <v>0</v>
      </c>
      <c r="AI17" s="137" t="s">
        <v>855</v>
      </c>
      <c r="AJ17" s="141">
        <f>IF(AN17=0,K17,0)</f>
        <v>0</v>
      </c>
      <c r="AK17" s="141">
        <f>IF(AN17=15,K17,0)</f>
        <v>0</v>
      </c>
      <c r="AL17" s="141">
        <f>IF(AN17=21,K17,0)</f>
        <v>0</v>
      </c>
      <c r="AN17" s="143">
        <v>21</v>
      </c>
      <c r="AO17" s="143">
        <f>H17*0</f>
        <v>0</v>
      </c>
      <c r="AP17" s="143">
        <f>H17*(1-0)</f>
        <v>0</v>
      </c>
      <c r="AQ17" s="142" t="s">
        <v>7</v>
      </c>
      <c r="AV17" s="143">
        <f>AW17+AX17</f>
        <v>0</v>
      </c>
      <c r="AW17" s="143">
        <f>G17*AO17</f>
        <v>0</v>
      </c>
      <c r="AX17" s="143">
        <f>G17*AP17</f>
        <v>0</v>
      </c>
      <c r="AY17" s="144" t="s">
        <v>884</v>
      </c>
      <c r="AZ17" s="144" t="s">
        <v>903</v>
      </c>
      <c r="BA17" s="137" t="s">
        <v>951</v>
      </c>
      <c r="BC17" s="143">
        <f>AW17+AX17</f>
        <v>0</v>
      </c>
      <c r="BD17" s="143">
        <f>H17/(100-BE17)*100</f>
        <v>0</v>
      </c>
      <c r="BE17" s="143">
        <v>0</v>
      </c>
      <c r="BF17" s="143">
        <f>17</f>
        <v>17</v>
      </c>
      <c r="BH17" s="141">
        <f>G17*AO17</f>
        <v>0</v>
      </c>
      <c r="BI17" s="141">
        <f>G17*AP17</f>
        <v>0</v>
      </c>
      <c r="BJ17" s="141">
        <f>G17*H17</f>
        <v>0</v>
      </c>
    </row>
    <row r="18" spans="1:12" ht="12.75">
      <c r="A18" s="154"/>
      <c r="B18" s="154"/>
      <c r="C18" s="60" t="s">
        <v>410</v>
      </c>
      <c r="D18" s="61"/>
      <c r="E18" s="61"/>
      <c r="F18" s="154"/>
      <c r="G18" s="12">
        <v>166.8</v>
      </c>
      <c r="I18" s="154"/>
      <c r="J18" s="154"/>
      <c r="K18" s="154"/>
      <c r="L18" s="154"/>
    </row>
    <row r="19" spans="1:47" ht="12.75">
      <c r="A19" s="2"/>
      <c r="B19" s="9" t="s">
        <v>216</v>
      </c>
      <c r="C19" s="56" t="s">
        <v>411</v>
      </c>
      <c r="D19" s="57"/>
      <c r="E19" s="57"/>
      <c r="F19" s="2" t="s">
        <v>6</v>
      </c>
      <c r="G19" s="2" t="s">
        <v>6</v>
      </c>
      <c r="H19" s="139" t="s">
        <v>6</v>
      </c>
      <c r="I19" s="23">
        <f>SUM(I20:I28)</f>
        <v>0</v>
      </c>
      <c r="J19" s="23">
        <f>SUM(J20:J28)</f>
        <v>0</v>
      </c>
      <c r="K19" s="23">
        <f>SUM(K20:K28)</f>
        <v>0</v>
      </c>
      <c r="L19" s="16"/>
      <c r="AI19" s="137" t="s">
        <v>855</v>
      </c>
      <c r="AS19" s="140">
        <f>SUM(AJ20:AJ28)</f>
        <v>0</v>
      </c>
      <c r="AT19" s="140">
        <f>SUM(AK20:AK28)</f>
        <v>0</v>
      </c>
      <c r="AU19" s="140">
        <f>SUM(AL20:AL28)</f>
        <v>0</v>
      </c>
    </row>
    <row r="20" spans="1:62" ht="12.75">
      <c r="A20" s="3" t="s">
        <v>9</v>
      </c>
      <c r="B20" s="3" t="s">
        <v>217</v>
      </c>
      <c r="C20" s="58" t="s">
        <v>412</v>
      </c>
      <c r="D20" s="59"/>
      <c r="E20" s="59"/>
      <c r="F20" s="3" t="s">
        <v>817</v>
      </c>
      <c r="G20" s="11">
        <v>16.096</v>
      </c>
      <c r="H20" s="141">
        <v>0</v>
      </c>
      <c r="I20" s="11">
        <f>G20*AO20</f>
        <v>0</v>
      </c>
      <c r="J20" s="11">
        <f>G20*AP20</f>
        <v>0</v>
      </c>
      <c r="K20" s="11">
        <f>G20*H20</f>
        <v>0</v>
      </c>
      <c r="L20" s="17" t="s">
        <v>845</v>
      </c>
      <c r="Z20" s="143">
        <f>IF(AQ20="5",BJ20,0)</f>
        <v>0</v>
      </c>
      <c r="AB20" s="143">
        <f>IF(AQ20="1",BH20,0)</f>
        <v>0</v>
      </c>
      <c r="AC20" s="143">
        <f>IF(AQ20="1",BI20,0)</f>
        <v>0</v>
      </c>
      <c r="AD20" s="143">
        <f>IF(AQ20="7",BH20,0)</f>
        <v>0</v>
      </c>
      <c r="AE20" s="143">
        <f>IF(AQ20="7",BI20,0)</f>
        <v>0</v>
      </c>
      <c r="AF20" s="143">
        <f>IF(AQ20="2",BH20,0)</f>
        <v>0</v>
      </c>
      <c r="AG20" s="143">
        <f>IF(AQ20="2",BI20,0)</f>
        <v>0</v>
      </c>
      <c r="AH20" s="143">
        <f>IF(AQ20="0",BJ20,0)</f>
        <v>0</v>
      </c>
      <c r="AI20" s="137" t="s">
        <v>855</v>
      </c>
      <c r="AJ20" s="141">
        <f>IF(AN20=0,K20,0)</f>
        <v>0</v>
      </c>
      <c r="AK20" s="141">
        <f>IF(AN20=15,K20,0)</f>
        <v>0</v>
      </c>
      <c r="AL20" s="141">
        <f>IF(AN20=21,K20,0)</f>
        <v>0</v>
      </c>
      <c r="AN20" s="143">
        <v>21</v>
      </c>
      <c r="AO20" s="143">
        <f>H20*0</f>
        <v>0</v>
      </c>
      <c r="AP20" s="143">
        <f>H20*(1-0)</f>
        <v>0</v>
      </c>
      <c r="AQ20" s="142" t="s">
        <v>11</v>
      </c>
      <c r="AV20" s="143">
        <f>AW20+AX20</f>
        <v>0</v>
      </c>
      <c r="AW20" s="143">
        <f>G20*AO20</f>
        <v>0</v>
      </c>
      <c r="AX20" s="143">
        <f>G20*AP20</f>
        <v>0</v>
      </c>
      <c r="AY20" s="144" t="s">
        <v>885</v>
      </c>
      <c r="AZ20" s="144" t="s">
        <v>903</v>
      </c>
      <c r="BA20" s="137" t="s">
        <v>951</v>
      </c>
      <c r="BC20" s="143">
        <f>AW20+AX20</f>
        <v>0</v>
      </c>
      <c r="BD20" s="143">
        <f>H20/(100-BE20)*100</f>
        <v>0</v>
      </c>
      <c r="BE20" s="143">
        <v>0</v>
      </c>
      <c r="BF20" s="143">
        <f>20</f>
        <v>20</v>
      </c>
      <c r="BH20" s="141">
        <f>G20*AO20</f>
        <v>0</v>
      </c>
      <c r="BI20" s="141">
        <f>G20*AP20</f>
        <v>0</v>
      </c>
      <c r="BJ20" s="141">
        <f>G20*H20</f>
        <v>0</v>
      </c>
    </row>
    <row r="21" spans="1:12" ht="12.75">
      <c r="A21" s="154"/>
      <c r="B21" s="154"/>
      <c r="C21" s="60" t="s">
        <v>413</v>
      </c>
      <c r="D21" s="61"/>
      <c r="E21" s="61"/>
      <c r="F21" s="154"/>
      <c r="G21" s="12">
        <v>16.096</v>
      </c>
      <c r="I21" s="154"/>
      <c r="J21" s="154"/>
      <c r="K21" s="154"/>
      <c r="L21" s="154"/>
    </row>
    <row r="22" spans="1:62" ht="12.75">
      <c r="A22" s="3" t="s">
        <v>10</v>
      </c>
      <c r="B22" s="3" t="s">
        <v>218</v>
      </c>
      <c r="C22" s="58" t="s">
        <v>414</v>
      </c>
      <c r="D22" s="59"/>
      <c r="E22" s="59"/>
      <c r="F22" s="3" t="s">
        <v>817</v>
      </c>
      <c r="G22" s="11">
        <v>16.096</v>
      </c>
      <c r="H22" s="141">
        <v>0</v>
      </c>
      <c r="I22" s="11">
        <f>G22*AO22</f>
        <v>0</v>
      </c>
      <c r="J22" s="11">
        <f>G22*AP22</f>
        <v>0</v>
      </c>
      <c r="K22" s="11">
        <f>G22*H22</f>
        <v>0</v>
      </c>
      <c r="L22" s="17" t="s">
        <v>845</v>
      </c>
      <c r="Z22" s="143">
        <f>IF(AQ22="5",BJ22,0)</f>
        <v>0</v>
      </c>
      <c r="AB22" s="143">
        <f>IF(AQ22="1",BH22,0)</f>
        <v>0</v>
      </c>
      <c r="AC22" s="143">
        <f>IF(AQ22="1",BI22,0)</f>
        <v>0</v>
      </c>
      <c r="AD22" s="143">
        <f>IF(AQ22="7",BH22,0)</f>
        <v>0</v>
      </c>
      <c r="AE22" s="143">
        <f>IF(AQ22="7",BI22,0)</f>
        <v>0</v>
      </c>
      <c r="AF22" s="143">
        <f>IF(AQ22="2",BH22,0)</f>
        <v>0</v>
      </c>
      <c r="AG22" s="143">
        <f>IF(AQ22="2",BI22,0)</f>
        <v>0</v>
      </c>
      <c r="AH22" s="143">
        <f>IF(AQ22="0",BJ22,0)</f>
        <v>0</v>
      </c>
      <c r="AI22" s="137" t="s">
        <v>855</v>
      </c>
      <c r="AJ22" s="141">
        <f>IF(AN22=0,K22,0)</f>
        <v>0</v>
      </c>
      <c r="AK22" s="141">
        <f>IF(AN22=15,K22,0)</f>
        <v>0</v>
      </c>
      <c r="AL22" s="141">
        <f>IF(AN22=21,K22,0)</f>
        <v>0</v>
      </c>
      <c r="AN22" s="143">
        <v>21</v>
      </c>
      <c r="AO22" s="143">
        <f>H22*0.00942249951846635</f>
        <v>0</v>
      </c>
      <c r="AP22" s="143">
        <f>H22*(1-0.00942249951846635)</f>
        <v>0</v>
      </c>
      <c r="AQ22" s="142" t="s">
        <v>11</v>
      </c>
      <c r="AV22" s="143">
        <f>AW22+AX22</f>
        <v>0</v>
      </c>
      <c r="AW22" s="143">
        <f>G22*AO22</f>
        <v>0</v>
      </c>
      <c r="AX22" s="143">
        <f>G22*AP22</f>
        <v>0</v>
      </c>
      <c r="AY22" s="144" t="s">
        <v>885</v>
      </c>
      <c r="AZ22" s="144" t="s">
        <v>903</v>
      </c>
      <c r="BA22" s="137" t="s">
        <v>951</v>
      </c>
      <c r="BC22" s="143">
        <f>AW22+AX22</f>
        <v>0</v>
      </c>
      <c r="BD22" s="143">
        <f>H22/(100-BE22)*100</f>
        <v>0</v>
      </c>
      <c r="BE22" s="143">
        <v>0</v>
      </c>
      <c r="BF22" s="143">
        <f>22</f>
        <v>22</v>
      </c>
      <c r="BH22" s="141">
        <f>G22*AO22</f>
        <v>0</v>
      </c>
      <c r="BI22" s="141">
        <f>G22*AP22</f>
        <v>0</v>
      </c>
      <c r="BJ22" s="141">
        <f>G22*H22</f>
        <v>0</v>
      </c>
    </row>
    <row r="23" spans="1:12" ht="12.75">
      <c r="A23" s="154"/>
      <c r="B23" s="154"/>
      <c r="C23" s="60" t="s">
        <v>413</v>
      </c>
      <c r="D23" s="61"/>
      <c r="E23" s="61"/>
      <c r="F23" s="154"/>
      <c r="G23" s="12">
        <v>16.096</v>
      </c>
      <c r="I23" s="154"/>
      <c r="J23" s="154"/>
      <c r="K23" s="154"/>
      <c r="L23" s="154"/>
    </row>
    <row r="24" spans="1:62" ht="12.75">
      <c r="A24" s="3" t="s">
        <v>11</v>
      </c>
      <c r="B24" s="3" t="s">
        <v>219</v>
      </c>
      <c r="C24" s="58" t="s">
        <v>415</v>
      </c>
      <c r="D24" s="59"/>
      <c r="E24" s="59"/>
      <c r="F24" s="3" t="s">
        <v>817</v>
      </c>
      <c r="G24" s="11">
        <v>144.864</v>
      </c>
      <c r="H24" s="141">
        <v>0</v>
      </c>
      <c r="I24" s="11">
        <f>G24*AO24</f>
        <v>0</v>
      </c>
      <c r="J24" s="11">
        <f>G24*AP24</f>
        <v>0</v>
      </c>
      <c r="K24" s="11">
        <f>G24*H24</f>
        <v>0</v>
      </c>
      <c r="L24" s="17" t="s">
        <v>845</v>
      </c>
      <c r="Z24" s="143">
        <f>IF(AQ24="5",BJ24,0)</f>
        <v>0</v>
      </c>
      <c r="AB24" s="143">
        <f>IF(AQ24="1",BH24,0)</f>
        <v>0</v>
      </c>
      <c r="AC24" s="143">
        <f>IF(AQ24="1",BI24,0)</f>
        <v>0</v>
      </c>
      <c r="AD24" s="143">
        <f>IF(AQ24="7",BH24,0)</f>
        <v>0</v>
      </c>
      <c r="AE24" s="143">
        <f>IF(AQ24="7",BI24,0)</f>
        <v>0</v>
      </c>
      <c r="AF24" s="143">
        <f>IF(AQ24="2",BH24,0)</f>
        <v>0</v>
      </c>
      <c r="AG24" s="143">
        <f>IF(AQ24="2",BI24,0)</f>
        <v>0</v>
      </c>
      <c r="AH24" s="143">
        <f>IF(AQ24="0",BJ24,0)</f>
        <v>0</v>
      </c>
      <c r="AI24" s="137" t="s">
        <v>855</v>
      </c>
      <c r="AJ24" s="141">
        <f>IF(AN24=0,K24,0)</f>
        <v>0</v>
      </c>
      <c r="AK24" s="141">
        <f>IF(AN24=15,K24,0)</f>
        <v>0</v>
      </c>
      <c r="AL24" s="141">
        <f>IF(AN24=21,K24,0)</f>
        <v>0</v>
      </c>
      <c r="AN24" s="143">
        <v>21</v>
      </c>
      <c r="AO24" s="143">
        <f>H24*0</f>
        <v>0</v>
      </c>
      <c r="AP24" s="143">
        <f>H24*(1-0)</f>
        <v>0</v>
      </c>
      <c r="AQ24" s="142" t="s">
        <v>11</v>
      </c>
      <c r="AV24" s="143">
        <f>AW24+AX24</f>
        <v>0</v>
      </c>
      <c r="AW24" s="143">
        <f>G24*AO24</f>
        <v>0</v>
      </c>
      <c r="AX24" s="143">
        <f>G24*AP24</f>
        <v>0</v>
      </c>
      <c r="AY24" s="144" t="s">
        <v>885</v>
      </c>
      <c r="AZ24" s="144" t="s">
        <v>903</v>
      </c>
      <c r="BA24" s="137" t="s">
        <v>951</v>
      </c>
      <c r="BC24" s="143">
        <f>AW24+AX24</f>
        <v>0</v>
      </c>
      <c r="BD24" s="143">
        <f>H24/(100-BE24)*100</f>
        <v>0</v>
      </c>
      <c r="BE24" s="143">
        <v>0</v>
      </c>
      <c r="BF24" s="143">
        <f>24</f>
        <v>24</v>
      </c>
      <c r="BH24" s="141">
        <f>G24*AO24</f>
        <v>0</v>
      </c>
      <c r="BI24" s="141">
        <f>G24*AP24</f>
        <v>0</v>
      </c>
      <c r="BJ24" s="141">
        <f>G24*H24</f>
        <v>0</v>
      </c>
    </row>
    <row r="25" spans="1:12" ht="12.75">
      <c r="A25" s="154"/>
      <c r="B25" s="154"/>
      <c r="C25" s="60" t="s">
        <v>416</v>
      </c>
      <c r="D25" s="61"/>
      <c r="E25" s="61"/>
      <c r="F25" s="154"/>
      <c r="G25" s="12">
        <v>144.864</v>
      </c>
      <c r="I25" s="154"/>
      <c r="J25" s="154"/>
      <c r="K25" s="154"/>
      <c r="L25" s="154"/>
    </row>
    <row r="26" spans="1:62" ht="12.75">
      <c r="A26" s="3" t="s">
        <v>12</v>
      </c>
      <c r="B26" s="3" t="s">
        <v>220</v>
      </c>
      <c r="C26" s="58" t="s">
        <v>417</v>
      </c>
      <c r="D26" s="59"/>
      <c r="E26" s="59"/>
      <c r="F26" s="3" t="s">
        <v>817</v>
      </c>
      <c r="G26" s="11">
        <v>16.096</v>
      </c>
      <c r="H26" s="141">
        <v>0</v>
      </c>
      <c r="I26" s="11">
        <f>G26*AO26</f>
        <v>0</v>
      </c>
      <c r="J26" s="11">
        <f>G26*AP26</f>
        <v>0</v>
      </c>
      <c r="K26" s="11">
        <f>G26*H26</f>
        <v>0</v>
      </c>
      <c r="L26" s="17" t="s">
        <v>845</v>
      </c>
      <c r="Z26" s="143">
        <f>IF(AQ26="5",BJ26,0)</f>
        <v>0</v>
      </c>
      <c r="AB26" s="143">
        <f>IF(AQ26="1",BH26,0)</f>
        <v>0</v>
      </c>
      <c r="AC26" s="143">
        <f>IF(AQ26="1",BI26,0)</f>
        <v>0</v>
      </c>
      <c r="AD26" s="143">
        <f>IF(AQ26="7",BH26,0)</f>
        <v>0</v>
      </c>
      <c r="AE26" s="143">
        <f>IF(AQ26="7",BI26,0)</f>
        <v>0</v>
      </c>
      <c r="AF26" s="143">
        <f>IF(AQ26="2",BH26,0)</f>
        <v>0</v>
      </c>
      <c r="AG26" s="143">
        <f>IF(AQ26="2",BI26,0)</f>
        <v>0</v>
      </c>
      <c r="AH26" s="143">
        <f>IF(AQ26="0",BJ26,0)</f>
        <v>0</v>
      </c>
      <c r="AI26" s="137" t="s">
        <v>855</v>
      </c>
      <c r="AJ26" s="141">
        <f>IF(AN26=0,K26,0)</f>
        <v>0</v>
      </c>
      <c r="AK26" s="141">
        <f>IF(AN26=15,K26,0)</f>
        <v>0</v>
      </c>
      <c r="AL26" s="141">
        <f>IF(AN26=21,K26,0)</f>
        <v>0</v>
      </c>
      <c r="AN26" s="143">
        <v>21</v>
      </c>
      <c r="AO26" s="143">
        <f>H26*0</f>
        <v>0</v>
      </c>
      <c r="AP26" s="143">
        <f>H26*(1-0)</f>
        <v>0</v>
      </c>
      <c r="AQ26" s="142" t="s">
        <v>11</v>
      </c>
      <c r="AV26" s="143">
        <f>AW26+AX26</f>
        <v>0</v>
      </c>
      <c r="AW26" s="143">
        <f>G26*AO26</f>
        <v>0</v>
      </c>
      <c r="AX26" s="143">
        <f>G26*AP26</f>
        <v>0</v>
      </c>
      <c r="AY26" s="144" t="s">
        <v>885</v>
      </c>
      <c r="AZ26" s="144" t="s">
        <v>903</v>
      </c>
      <c r="BA26" s="137" t="s">
        <v>951</v>
      </c>
      <c r="BC26" s="143">
        <f>AW26+AX26</f>
        <v>0</v>
      </c>
      <c r="BD26" s="143">
        <f>H26/(100-BE26)*100</f>
        <v>0</v>
      </c>
      <c r="BE26" s="143">
        <v>0</v>
      </c>
      <c r="BF26" s="143">
        <f>26</f>
        <v>26</v>
      </c>
      <c r="BH26" s="141">
        <f>G26*AO26</f>
        <v>0</v>
      </c>
      <c r="BI26" s="141">
        <f>G26*AP26</f>
        <v>0</v>
      </c>
      <c r="BJ26" s="141">
        <f>G26*H26</f>
        <v>0</v>
      </c>
    </row>
    <row r="27" spans="1:12" ht="12.75">
      <c r="A27" s="154"/>
      <c r="B27" s="154"/>
      <c r="C27" s="60" t="s">
        <v>413</v>
      </c>
      <c r="D27" s="61"/>
      <c r="E27" s="61"/>
      <c r="F27" s="154"/>
      <c r="G27" s="12">
        <v>16.096</v>
      </c>
      <c r="I27" s="154"/>
      <c r="J27" s="154"/>
      <c r="K27" s="154"/>
      <c r="L27" s="154"/>
    </row>
    <row r="28" spans="1:62" ht="12.75">
      <c r="A28" s="3" t="s">
        <v>13</v>
      </c>
      <c r="B28" s="3" t="s">
        <v>221</v>
      </c>
      <c r="C28" s="58" t="s">
        <v>418</v>
      </c>
      <c r="D28" s="59"/>
      <c r="E28" s="59"/>
      <c r="F28" s="3" t="s">
        <v>817</v>
      </c>
      <c r="G28" s="11">
        <v>16.096</v>
      </c>
      <c r="H28" s="141">
        <v>0</v>
      </c>
      <c r="I28" s="11">
        <f>G28*AO28</f>
        <v>0</v>
      </c>
      <c r="J28" s="11">
        <f>G28*AP28</f>
        <v>0</v>
      </c>
      <c r="K28" s="11">
        <f>G28*H28</f>
        <v>0</v>
      </c>
      <c r="L28" s="17" t="s">
        <v>845</v>
      </c>
      <c r="Z28" s="143">
        <f>IF(AQ28="5",BJ28,0)</f>
        <v>0</v>
      </c>
      <c r="AB28" s="143">
        <f>IF(AQ28="1",BH28,0)</f>
        <v>0</v>
      </c>
      <c r="AC28" s="143">
        <f>IF(AQ28="1",BI28,0)</f>
        <v>0</v>
      </c>
      <c r="AD28" s="143">
        <f>IF(AQ28="7",BH28,0)</f>
        <v>0</v>
      </c>
      <c r="AE28" s="143">
        <f>IF(AQ28="7",BI28,0)</f>
        <v>0</v>
      </c>
      <c r="AF28" s="143">
        <f>IF(AQ28="2",BH28,0)</f>
        <v>0</v>
      </c>
      <c r="AG28" s="143">
        <f>IF(AQ28="2",BI28,0)</f>
        <v>0</v>
      </c>
      <c r="AH28" s="143">
        <f>IF(AQ28="0",BJ28,0)</f>
        <v>0</v>
      </c>
      <c r="AI28" s="137" t="s">
        <v>855</v>
      </c>
      <c r="AJ28" s="141">
        <f>IF(AN28=0,K28,0)</f>
        <v>0</v>
      </c>
      <c r="AK28" s="141">
        <f>IF(AN28=15,K28,0)</f>
        <v>0</v>
      </c>
      <c r="AL28" s="141">
        <f>IF(AN28=21,K28,0)</f>
        <v>0</v>
      </c>
      <c r="AN28" s="143">
        <v>21</v>
      </c>
      <c r="AO28" s="143">
        <f>H28*0</f>
        <v>0</v>
      </c>
      <c r="AP28" s="143">
        <f>H28*(1-0)</f>
        <v>0</v>
      </c>
      <c r="AQ28" s="142" t="s">
        <v>11</v>
      </c>
      <c r="AV28" s="143">
        <f>AW28+AX28</f>
        <v>0</v>
      </c>
      <c r="AW28" s="143">
        <f>G28*AO28</f>
        <v>0</v>
      </c>
      <c r="AX28" s="143">
        <f>G28*AP28</f>
        <v>0</v>
      </c>
      <c r="AY28" s="144" t="s">
        <v>885</v>
      </c>
      <c r="AZ28" s="144" t="s">
        <v>903</v>
      </c>
      <c r="BA28" s="137" t="s">
        <v>951</v>
      </c>
      <c r="BC28" s="143">
        <f>AW28+AX28</f>
        <v>0</v>
      </c>
      <c r="BD28" s="143">
        <f>H28/(100-BE28)*100</f>
        <v>0</v>
      </c>
      <c r="BE28" s="143">
        <v>0</v>
      </c>
      <c r="BF28" s="143">
        <f>28</f>
        <v>28</v>
      </c>
      <c r="BH28" s="141">
        <f>G28*AO28</f>
        <v>0</v>
      </c>
      <c r="BI28" s="141">
        <f>G28*AP28</f>
        <v>0</v>
      </c>
      <c r="BJ28" s="141">
        <f>G28*H28</f>
        <v>0</v>
      </c>
    </row>
    <row r="29" spans="1:12" ht="12.75">
      <c r="A29" s="154"/>
      <c r="B29" s="154"/>
      <c r="C29" s="60" t="s">
        <v>413</v>
      </c>
      <c r="D29" s="61"/>
      <c r="E29" s="61"/>
      <c r="F29" s="154"/>
      <c r="G29" s="12">
        <v>16.096</v>
      </c>
      <c r="I29" s="154"/>
      <c r="J29" s="154"/>
      <c r="K29" s="154"/>
      <c r="L29" s="154"/>
    </row>
    <row r="30" spans="1:12" ht="12.75">
      <c r="A30" s="4"/>
      <c r="B30" s="10"/>
      <c r="C30" s="62" t="s">
        <v>419</v>
      </c>
      <c r="D30" s="63"/>
      <c r="E30" s="63"/>
      <c r="F30" s="4" t="s">
        <v>6</v>
      </c>
      <c r="G30" s="4" t="s">
        <v>6</v>
      </c>
      <c r="H30" s="145" t="s">
        <v>6</v>
      </c>
      <c r="I30" s="24">
        <f>I31+I44</f>
        <v>0</v>
      </c>
      <c r="J30" s="24">
        <f>J31+J44</f>
        <v>0</v>
      </c>
      <c r="K30" s="24">
        <f>K31+K44</f>
        <v>0</v>
      </c>
      <c r="L30" s="18"/>
    </row>
    <row r="31" spans="1:47" ht="12.75">
      <c r="A31" s="2"/>
      <c r="B31" s="9" t="s">
        <v>17</v>
      </c>
      <c r="C31" s="56" t="s">
        <v>420</v>
      </c>
      <c r="D31" s="57"/>
      <c r="E31" s="57"/>
      <c r="F31" s="2" t="s">
        <v>6</v>
      </c>
      <c r="G31" s="2" t="s">
        <v>6</v>
      </c>
      <c r="H31" s="139" t="s">
        <v>6</v>
      </c>
      <c r="I31" s="23">
        <f>SUM(I32:I42)</f>
        <v>0</v>
      </c>
      <c r="J31" s="23">
        <f>SUM(J32:J42)</f>
        <v>0</v>
      </c>
      <c r="K31" s="23">
        <f>SUM(K32:K42)</f>
        <v>0</v>
      </c>
      <c r="L31" s="16"/>
      <c r="AI31" s="137" t="s">
        <v>856</v>
      </c>
      <c r="AS31" s="140">
        <f>SUM(AJ32:AJ42)</f>
        <v>0</v>
      </c>
      <c r="AT31" s="140">
        <f>SUM(AK32:AK42)</f>
        <v>0</v>
      </c>
      <c r="AU31" s="140">
        <f>SUM(AL32:AL42)</f>
        <v>0</v>
      </c>
    </row>
    <row r="32" spans="1:62" ht="12.75">
      <c r="A32" s="3" t="s">
        <v>14</v>
      </c>
      <c r="B32" s="3" t="s">
        <v>222</v>
      </c>
      <c r="C32" s="58" t="s">
        <v>421</v>
      </c>
      <c r="D32" s="59"/>
      <c r="E32" s="59"/>
      <c r="F32" s="3" t="s">
        <v>818</v>
      </c>
      <c r="G32" s="11">
        <v>7.2</v>
      </c>
      <c r="H32" s="141">
        <v>0</v>
      </c>
      <c r="I32" s="11">
        <f>G32*AO32</f>
        <v>0</v>
      </c>
      <c r="J32" s="11">
        <f>G32*AP32</f>
        <v>0</v>
      </c>
      <c r="K32" s="11">
        <f>G32*H32</f>
        <v>0</v>
      </c>
      <c r="L32" s="17" t="s">
        <v>845</v>
      </c>
      <c r="Z32" s="143">
        <f>IF(AQ32="5",BJ32,0)</f>
        <v>0</v>
      </c>
      <c r="AB32" s="143">
        <f>IF(AQ32="1",BH32,0)</f>
        <v>0</v>
      </c>
      <c r="AC32" s="143">
        <f>IF(AQ32="1",BI32,0)</f>
        <v>0</v>
      </c>
      <c r="AD32" s="143">
        <f>IF(AQ32="7",BH32,0)</f>
        <v>0</v>
      </c>
      <c r="AE32" s="143">
        <f>IF(AQ32="7",BI32,0)</f>
        <v>0</v>
      </c>
      <c r="AF32" s="143">
        <f>IF(AQ32="2",BH32,0)</f>
        <v>0</v>
      </c>
      <c r="AG32" s="143">
        <f>IF(AQ32="2",BI32,0)</f>
        <v>0</v>
      </c>
      <c r="AH32" s="143">
        <f>IF(AQ32="0",BJ32,0)</f>
        <v>0</v>
      </c>
      <c r="AI32" s="137" t="s">
        <v>856</v>
      </c>
      <c r="AJ32" s="141">
        <f>IF(AN32=0,K32,0)</f>
        <v>0</v>
      </c>
      <c r="AK32" s="141">
        <f>IF(AN32=15,K32,0)</f>
        <v>0</v>
      </c>
      <c r="AL32" s="141">
        <f>IF(AN32=21,K32,0)</f>
        <v>0</v>
      </c>
      <c r="AN32" s="143">
        <v>21</v>
      </c>
      <c r="AO32" s="143">
        <f>H32*0</f>
        <v>0</v>
      </c>
      <c r="AP32" s="143">
        <f>H32*(1-0)</f>
        <v>0</v>
      </c>
      <c r="AQ32" s="142" t="s">
        <v>7</v>
      </c>
      <c r="AV32" s="143">
        <f>AW32+AX32</f>
        <v>0</v>
      </c>
      <c r="AW32" s="143">
        <f>G32*AO32</f>
        <v>0</v>
      </c>
      <c r="AX32" s="143">
        <f>G32*AP32</f>
        <v>0</v>
      </c>
      <c r="AY32" s="144" t="s">
        <v>886</v>
      </c>
      <c r="AZ32" s="144" t="s">
        <v>904</v>
      </c>
      <c r="BA32" s="137" t="s">
        <v>952</v>
      </c>
      <c r="BC32" s="143">
        <f>AW32+AX32</f>
        <v>0</v>
      </c>
      <c r="BD32" s="143">
        <f>H32/(100-BE32)*100</f>
        <v>0</v>
      </c>
      <c r="BE32" s="143">
        <v>0</v>
      </c>
      <c r="BF32" s="143">
        <f>32</f>
        <v>32</v>
      </c>
      <c r="BH32" s="141">
        <f>G32*AO32</f>
        <v>0</v>
      </c>
      <c r="BI32" s="141">
        <f>G32*AP32</f>
        <v>0</v>
      </c>
      <c r="BJ32" s="141">
        <f>G32*H32</f>
        <v>0</v>
      </c>
    </row>
    <row r="33" spans="1:12" ht="12.75">
      <c r="A33" s="154"/>
      <c r="B33" s="154"/>
      <c r="C33" s="60" t="s">
        <v>422</v>
      </c>
      <c r="D33" s="61"/>
      <c r="E33" s="61"/>
      <c r="F33" s="154"/>
      <c r="G33" s="12">
        <v>7.2</v>
      </c>
      <c r="I33" s="154"/>
      <c r="J33" s="154"/>
      <c r="K33" s="154"/>
      <c r="L33" s="154"/>
    </row>
    <row r="34" spans="1:62" ht="12.75">
      <c r="A34" s="3" t="s">
        <v>15</v>
      </c>
      <c r="B34" s="3" t="s">
        <v>223</v>
      </c>
      <c r="C34" s="58" t="s">
        <v>423</v>
      </c>
      <c r="D34" s="59"/>
      <c r="E34" s="59"/>
      <c r="F34" s="3" t="s">
        <v>815</v>
      </c>
      <c r="G34" s="11">
        <v>7.2</v>
      </c>
      <c r="H34" s="141">
        <v>0</v>
      </c>
      <c r="I34" s="11">
        <f>G34*AO34</f>
        <v>0</v>
      </c>
      <c r="J34" s="11">
        <f>G34*AP34</f>
        <v>0</v>
      </c>
      <c r="K34" s="11">
        <f>G34*H34</f>
        <v>0</v>
      </c>
      <c r="L34" s="17" t="s">
        <v>845</v>
      </c>
      <c r="Z34" s="143">
        <f>IF(AQ34="5",BJ34,0)</f>
        <v>0</v>
      </c>
      <c r="AB34" s="143">
        <f>IF(AQ34="1",BH34,0)</f>
        <v>0</v>
      </c>
      <c r="AC34" s="143">
        <f>IF(AQ34="1",BI34,0)</f>
        <v>0</v>
      </c>
      <c r="AD34" s="143">
        <f>IF(AQ34="7",BH34,0)</f>
        <v>0</v>
      </c>
      <c r="AE34" s="143">
        <f>IF(AQ34="7",BI34,0)</f>
        <v>0</v>
      </c>
      <c r="AF34" s="143">
        <f>IF(AQ34="2",BH34,0)</f>
        <v>0</v>
      </c>
      <c r="AG34" s="143">
        <f>IF(AQ34="2",BI34,0)</f>
        <v>0</v>
      </c>
      <c r="AH34" s="143">
        <f>IF(AQ34="0",BJ34,0)</f>
        <v>0</v>
      </c>
      <c r="AI34" s="137" t="s">
        <v>856</v>
      </c>
      <c r="AJ34" s="141">
        <f>IF(AN34=0,K34,0)</f>
        <v>0</v>
      </c>
      <c r="AK34" s="141">
        <f>IF(AN34=15,K34,0)</f>
        <v>0</v>
      </c>
      <c r="AL34" s="141">
        <f>IF(AN34=21,K34,0)</f>
        <v>0</v>
      </c>
      <c r="AN34" s="143">
        <v>21</v>
      </c>
      <c r="AO34" s="143">
        <f>H34*0</f>
        <v>0</v>
      </c>
      <c r="AP34" s="143">
        <f>H34*(1-0)</f>
        <v>0</v>
      </c>
      <c r="AQ34" s="142" t="s">
        <v>7</v>
      </c>
      <c r="AV34" s="143">
        <f>AW34+AX34</f>
        <v>0</v>
      </c>
      <c r="AW34" s="143">
        <f>G34*AO34</f>
        <v>0</v>
      </c>
      <c r="AX34" s="143">
        <f>G34*AP34</f>
        <v>0</v>
      </c>
      <c r="AY34" s="144" t="s">
        <v>886</v>
      </c>
      <c r="AZ34" s="144" t="s">
        <v>904</v>
      </c>
      <c r="BA34" s="137" t="s">
        <v>952</v>
      </c>
      <c r="BC34" s="143">
        <f>AW34+AX34</f>
        <v>0</v>
      </c>
      <c r="BD34" s="143">
        <f>H34/(100-BE34)*100</f>
        <v>0</v>
      </c>
      <c r="BE34" s="143">
        <v>0</v>
      </c>
      <c r="BF34" s="143">
        <f>34</f>
        <v>34</v>
      </c>
      <c r="BH34" s="141">
        <f>G34*AO34</f>
        <v>0</v>
      </c>
      <c r="BI34" s="141">
        <f>G34*AP34</f>
        <v>0</v>
      </c>
      <c r="BJ34" s="141">
        <f>G34*H34</f>
        <v>0</v>
      </c>
    </row>
    <row r="35" spans="1:12" ht="12.75">
      <c r="A35" s="154"/>
      <c r="B35" s="154"/>
      <c r="C35" s="60" t="s">
        <v>424</v>
      </c>
      <c r="D35" s="61"/>
      <c r="E35" s="61"/>
      <c r="F35" s="154"/>
      <c r="G35" s="12">
        <v>7.2</v>
      </c>
      <c r="I35" s="154"/>
      <c r="J35" s="154"/>
      <c r="K35" s="154"/>
      <c r="L35" s="154"/>
    </row>
    <row r="36" spans="1:62" ht="12.75">
      <c r="A36" s="3" t="s">
        <v>16</v>
      </c>
      <c r="B36" s="3" t="s">
        <v>224</v>
      </c>
      <c r="C36" s="58" t="s">
        <v>425</v>
      </c>
      <c r="D36" s="59"/>
      <c r="E36" s="59"/>
      <c r="F36" s="3" t="s">
        <v>818</v>
      </c>
      <c r="G36" s="11">
        <v>291.3</v>
      </c>
      <c r="H36" s="141">
        <v>0</v>
      </c>
      <c r="I36" s="11">
        <f>G36*AO36</f>
        <v>0</v>
      </c>
      <c r="J36" s="11">
        <f>G36*AP36</f>
        <v>0</v>
      </c>
      <c r="K36" s="11">
        <f>G36*H36</f>
        <v>0</v>
      </c>
      <c r="L36" s="17" t="s">
        <v>845</v>
      </c>
      <c r="Z36" s="143">
        <f>IF(AQ36="5",BJ36,0)</f>
        <v>0</v>
      </c>
      <c r="AB36" s="143">
        <f>IF(AQ36="1",BH36,0)</f>
        <v>0</v>
      </c>
      <c r="AC36" s="143">
        <f>IF(AQ36="1",BI36,0)</f>
        <v>0</v>
      </c>
      <c r="AD36" s="143">
        <f>IF(AQ36="7",BH36,0)</f>
        <v>0</v>
      </c>
      <c r="AE36" s="143">
        <f>IF(AQ36="7",BI36,0)</f>
        <v>0</v>
      </c>
      <c r="AF36" s="143">
        <f>IF(AQ36="2",BH36,0)</f>
        <v>0</v>
      </c>
      <c r="AG36" s="143">
        <f>IF(AQ36="2",BI36,0)</f>
        <v>0</v>
      </c>
      <c r="AH36" s="143">
        <f>IF(AQ36="0",BJ36,0)</f>
        <v>0</v>
      </c>
      <c r="AI36" s="137" t="s">
        <v>856</v>
      </c>
      <c r="AJ36" s="141">
        <f>IF(AN36=0,K36,0)</f>
        <v>0</v>
      </c>
      <c r="AK36" s="141">
        <f>IF(AN36=15,K36,0)</f>
        <v>0</v>
      </c>
      <c r="AL36" s="141">
        <f>IF(AN36=21,K36,0)</f>
        <v>0</v>
      </c>
      <c r="AN36" s="143">
        <v>21</v>
      </c>
      <c r="AO36" s="143">
        <f>H36*0</f>
        <v>0</v>
      </c>
      <c r="AP36" s="143">
        <f>H36*(1-0)</f>
        <v>0</v>
      </c>
      <c r="AQ36" s="142" t="s">
        <v>7</v>
      </c>
      <c r="AV36" s="143">
        <f>AW36+AX36</f>
        <v>0</v>
      </c>
      <c r="AW36" s="143">
        <f>G36*AO36</f>
        <v>0</v>
      </c>
      <c r="AX36" s="143">
        <f>G36*AP36</f>
        <v>0</v>
      </c>
      <c r="AY36" s="144" t="s">
        <v>886</v>
      </c>
      <c r="AZ36" s="144" t="s">
        <v>904</v>
      </c>
      <c r="BA36" s="137" t="s">
        <v>952</v>
      </c>
      <c r="BC36" s="143">
        <f>AW36+AX36</f>
        <v>0</v>
      </c>
      <c r="BD36" s="143">
        <f>H36/(100-BE36)*100</f>
        <v>0</v>
      </c>
      <c r="BE36" s="143">
        <v>0</v>
      </c>
      <c r="BF36" s="143">
        <f>36</f>
        <v>36</v>
      </c>
      <c r="BH36" s="141">
        <f>G36*AO36</f>
        <v>0</v>
      </c>
      <c r="BI36" s="141">
        <f>G36*AP36</f>
        <v>0</v>
      </c>
      <c r="BJ36" s="141">
        <f>G36*H36</f>
        <v>0</v>
      </c>
    </row>
    <row r="37" spans="1:12" ht="12.75">
      <c r="A37" s="154"/>
      <c r="B37" s="154"/>
      <c r="C37" s="60" t="s">
        <v>426</v>
      </c>
      <c r="D37" s="61"/>
      <c r="E37" s="61"/>
      <c r="F37" s="154"/>
      <c r="G37" s="12">
        <v>291.3</v>
      </c>
      <c r="I37" s="154"/>
      <c r="J37" s="154"/>
      <c r="K37" s="154"/>
      <c r="L37" s="154"/>
    </row>
    <row r="38" spans="1:62" ht="12.75">
      <c r="A38" s="3" t="s">
        <v>17</v>
      </c>
      <c r="B38" s="3" t="s">
        <v>225</v>
      </c>
      <c r="C38" s="58" t="s">
        <v>427</v>
      </c>
      <c r="D38" s="59"/>
      <c r="E38" s="59"/>
      <c r="F38" s="3" t="s">
        <v>818</v>
      </c>
      <c r="G38" s="11">
        <v>291.3</v>
      </c>
      <c r="H38" s="141">
        <v>0</v>
      </c>
      <c r="I38" s="11">
        <f>G38*AO38</f>
        <v>0</v>
      </c>
      <c r="J38" s="11">
        <f>G38*AP38</f>
        <v>0</v>
      </c>
      <c r="K38" s="11">
        <f>G38*H38</f>
        <v>0</v>
      </c>
      <c r="L38" s="17" t="s">
        <v>845</v>
      </c>
      <c r="Z38" s="143">
        <f>IF(AQ38="5",BJ38,0)</f>
        <v>0</v>
      </c>
      <c r="AB38" s="143">
        <f>IF(AQ38="1",BH38,0)</f>
        <v>0</v>
      </c>
      <c r="AC38" s="143">
        <f>IF(AQ38="1",BI38,0)</f>
        <v>0</v>
      </c>
      <c r="AD38" s="143">
        <f>IF(AQ38="7",BH38,0)</f>
        <v>0</v>
      </c>
      <c r="AE38" s="143">
        <f>IF(AQ38="7",BI38,0)</f>
        <v>0</v>
      </c>
      <c r="AF38" s="143">
        <f>IF(AQ38="2",BH38,0)</f>
        <v>0</v>
      </c>
      <c r="AG38" s="143">
        <f>IF(AQ38="2",BI38,0)</f>
        <v>0</v>
      </c>
      <c r="AH38" s="143">
        <f>IF(AQ38="0",BJ38,0)</f>
        <v>0</v>
      </c>
      <c r="AI38" s="137" t="s">
        <v>856</v>
      </c>
      <c r="AJ38" s="141">
        <f>IF(AN38=0,K38,0)</f>
        <v>0</v>
      </c>
      <c r="AK38" s="141">
        <f>IF(AN38=15,K38,0)</f>
        <v>0</v>
      </c>
      <c r="AL38" s="141">
        <f>IF(AN38=21,K38,0)</f>
        <v>0</v>
      </c>
      <c r="AN38" s="143">
        <v>21</v>
      </c>
      <c r="AO38" s="143">
        <f>H38*0</f>
        <v>0</v>
      </c>
      <c r="AP38" s="143">
        <f>H38*(1-0)</f>
        <v>0</v>
      </c>
      <c r="AQ38" s="142" t="s">
        <v>7</v>
      </c>
      <c r="AV38" s="143">
        <f>AW38+AX38</f>
        <v>0</v>
      </c>
      <c r="AW38" s="143">
        <f>G38*AO38</f>
        <v>0</v>
      </c>
      <c r="AX38" s="143">
        <f>G38*AP38</f>
        <v>0</v>
      </c>
      <c r="AY38" s="144" t="s">
        <v>886</v>
      </c>
      <c r="AZ38" s="144" t="s">
        <v>904</v>
      </c>
      <c r="BA38" s="137" t="s">
        <v>952</v>
      </c>
      <c r="BC38" s="143">
        <f>AW38+AX38</f>
        <v>0</v>
      </c>
      <c r="BD38" s="143">
        <f>H38/(100-BE38)*100</f>
        <v>0</v>
      </c>
      <c r="BE38" s="143">
        <v>0</v>
      </c>
      <c r="BF38" s="143">
        <f>38</f>
        <v>38</v>
      </c>
      <c r="BH38" s="141">
        <f>G38*AO38</f>
        <v>0</v>
      </c>
      <c r="BI38" s="141">
        <f>G38*AP38</f>
        <v>0</v>
      </c>
      <c r="BJ38" s="141">
        <f>G38*H38</f>
        <v>0</v>
      </c>
    </row>
    <row r="39" spans="1:12" ht="12.75">
      <c r="A39" s="154"/>
      <c r="B39" s="154"/>
      <c r="C39" s="60" t="s">
        <v>426</v>
      </c>
      <c r="D39" s="61"/>
      <c r="E39" s="61"/>
      <c r="F39" s="154"/>
      <c r="G39" s="12">
        <v>291.3</v>
      </c>
      <c r="I39" s="154"/>
      <c r="J39" s="154"/>
      <c r="K39" s="154"/>
      <c r="L39" s="154"/>
    </row>
    <row r="40" spans="1:62" ht="12.75">
      <c r="A40" s="3" t="s">
        <v>18</v>
      </c>
      <c r="B40" s="3" t="s">
        <v>226</v>
      </c>
      <c r="C40" s="58" t="s">
        <v>428</v>
      </c>
      <c r="D40" s="59"/>
      <c r="E40" s="59"/>
      <c r="F40" s="3" t="s">
        <v>818</v>
      </c>
      <c r="G40" s="11">
        <v>667</v>
      </c>
      <c r="H40" s="141">
        <v>0</v>
      </c>
      <c r="I40" s="11">
        <f>G40*AO40</f>
        <v>0</v>
      </c>
      <c r="J40" s="11">
        <f>G40*AP40</f>
        <v>0</v>
      </c>
      <c r="K40" s="11">
        <f>G40*H40</f>
        <v>0</v>
      </c>
      <c r="L40" s="17" t="s">
        <v>845</v>
      </c>
      <c r="Z40" s="143">
        <f>IF(AQ40="5",BJ40,0)</f>
        <v>0</v>
      </c>
      <c r="AB40" s="143">
        <f>IF(AQ40="1",BH40,0)</f>
        <v>0</v>
      </c>
      <c r="AC40" s="143">
        <f>IF(AQ40="1",BI40,0)</f>
        <v>0</v>
      </c>
      <c r="AD40" s="143">
        <f>IF(AQ40="7",BH40,0)</f>
        <v>0</v>
      </c>
      <c r="AE40" s="143">
        <f>IF(AQ40="7",BI40,0)</f>
        <v>0</v>
      </c>
      <c r="AF40" s="143">
        <f>IF(AQ40="2",BH40,0)</f>
        <v>0</v>
      </c>
      <c r="AG40" s="143">
        <f>IF(AQ40="2",BI40,0)</f>
        <v>0</v>
      </c>
      <c r="AH40" s="143">
        <f>IF(AQ40="0",BJ40,0)</f>
        <v>0</v>
      </c>
      <c r="AI40" s="137" t="s">
        <v>856</v>
      </c>
      <c r="AJ40" s="141">
        <f>IF(AN40=0,K40,0)</f>
        <v>0</v>
      </c>
      <c r="AK40" s="141">
        <f>IF(AN40=15,K40,0)</f>
        <v>0</v>
      </c>
      <c r="AL40" s="141">
        <f>IF(AN40=21,K40,0)</f>
        <v>0</v>
      </c>
      <c r="AN40" s="143">
        <v>21</v>
      </c>
      <c r="AO40" s="143">
        <f>H40*0</f>
        <v>0</v>
      </c>
      <c r="AP40" s="143">
        <f>H40*(1-0)</f>
        <v>0</v>
      </c>
      <c r="AQ40" s="142" t="s">
        <v>7</v>
      </c>
      <c r="AV40" s="143">
        <f>AW40+AX40</f>
        <v>0</v>
      </c>
      <c r="AW40" s="143">
        <f>G40*AO40</f>
        <v>0</v>
      </c>
      <c r="AX40" s="143">
        <f>G40*AP40</f>
        <v>0</v>
      </c>
      <c r="AY40" s="144" t="s">
        <v>886</v>
      </c>
      <c r="AZ40" s="144" t="s">
        <v>904</v>
      </c>
      <c r="BA40" s="137" t="s">
        <v>952</v>
      </c>
      <c r="BC40" s="143">
        <f>AW40+AX40</f>
        <v>0</v>
      </c>
      <c r="BD40" s="143">
        <f>H40/(100-BE40)*100</f>
        <v>0</v>
      </c>
      <c r="BE40" s="143">
        <v>0</v>
      </c>
      <c r="BF40" s="143">
        <f>40</f>
        <v>40</v>
      </c>
      <c r="BH40" s="141">
        <f>G40*AO40</f>
        <v>0</v>
      </c>
      <c r="BI40" s="141">
        <f>G40*AP40</f>
        <v>0</v>
      </c>
      <c r="BJ40" s="141">
        <f>G40*H40</f>
        <v>0</v>
      </c>
    </row>
    <row r="41" spans="1:12" ht="12.75">
      <c r="A41" s="154"/>
      <c r="B41" s="154"/>
      <c r="C41" s="60" t="s">
        <v>429</v>
      </c>
      <c r="D41" s="61"/>
      <c r="E41" s="61"/>
      <c r="F41" s="154"/>
      <c r="G41" s="12">
        <v>667</v>
      </c>
      <c r="I41" s="154"/>
      <c r="J41" s="154"/>
      <c r="K41" s="154"/>
      <c r="L41" s="154"/>
    </row>
    <row r="42" spans="1:62" ht="12.75">
      <c r="A42" s="3" t="s">
        <v>19</v>
      </c>
      <c r="B42" s="3" t="s">
        <v>227</v>
      </c>
      <c r="C42" s="58" t="s">
        <v>430</v>
      </c>
      <c r="D42" s="59"/>
      <c r="E42" s="59"/>
      <c r="F42" s="3" t="s">
        <v>815</v>
      </c>
      <c r="G42" s="11">
        <v>506</v>
      </c>
      <c r="H42" s="141">
        <v>0</v>
      </c>
      <c r="I42" s="11">
        <f>G42*AO42</f>
        <v>0</v>
      </c>
      <c r="J42" s="11">
        <f>G42*AP42</f>
        <v>0</v>
      </c>
      <c r="K42" s="11">
        <f>G42*H42</f>
        <v>0</v>
      </c>
      <c r="L42" s="17" t="s">
        <v>845</v>
      </c>
      <c r="Z42" s="143">
        <f>IF(AQ42="5",BJ42,0)</f>
        <v>0</v>
      </c>
      <c r="AB42" s="143">
        <f>IF(AQ42="1",BH42,0)</f>
        <v>0</v>
      </c>
      <c r="AC42" s="143">
        <f>IF(AQ42="1",BI42,0)</f>
        <v>0</v>
      </c>
      <c r="AD42" s="143">
        <f>IF(AQ42="7",BH42,0)</f>
        <v>0</v>
      </c>
      <c r="AE42" s="143">
        <f>IF(AQ42="7",BI42,0)</f>
        <v>0</v>
      </c>
      <c r="AF42" s="143">
        <f>IF(AQ42="2",BH42,0)</f>
        <v>0</v>
      </c>
      <c r="AG42" s="143">
        <f>IF(AQ42="2",BI42,0)</f>
        <v>0</v>
      </c>
      <c r="AH42" s="143">
        <f>IF(AQ42="0",BJ42,0)</f>
        <v>0</v>
      </c>
      <c r="AI42" s="137" t="s">
        <v>856</v>
      </c>
      <c r="AJ42" s="141">
        <f>IF(AN42=0,K42,0)</f>
        <v>0</v>
      </c>
      <c r="AK42" s="141">
        <f>IF(AN42=15,K42,0)</f>
        <v>0</v>
      </c>
      <c r="AL42" s="141">
        <f>IF(AN42=21,K42,0)</f>
        <v>0</v>
      </c>
      <c r="AN42" s="143">
        <v>21</v>
      </c>
      <c r="AO42" s="143">
        <f>H42*0</f>
        <v>0</v>
      </c>
      <c r="AP42" s="143">
        <f>H42*(1-0)</f>
        <v>0</v>
      </c>
      <c r="AQ42" s="142" t="s">
        <v>7</v>
      </c>
      <c r="AV42" s="143">
        <f>AW42+AX42</f>
        <v>0</v>
      </c>
      <c r="AW42" s="143">
        <f>G42*AO42</f>
        <v>0</v>
      </c>
      <c r="AX42" s="143">
        <f>G42*AP42</f>
        <v>0</v>
      </c>
      <c r="AY42" s="144" t="s">
        <v>886</v>
      </c>
      <c r="AZ42" s="144" t="s">
        <v>904</v>
      </c>
      <c r="BA42" s="137" t="s">
        <v>952</v>
      </c>
      <c r="BC42" s="143">
        <f>AW42+AX42</f>
        <v>0</v>
      </c>
      <c r="BD42" s="143">
        <f>H42/(100-BE42)*100</f>
        <v>0</v>
      </c>
      <c r="BE42" s="143">
        <v>0</v>
      </c>
      <c r="BF42" s="143">
        <f>42</f>
        <v>42</v>
      </c>
      <c r="BH42" s="141">
        <f>G42*AO42</f>
        <v>0</v>
      </c>
      <c r="BI42" s="141">
        <f>G42*AP42</f>
        <v>0</v>
      </c>
      <c r="BJ42" s="141">
        <f>G42*H42</f>
        <v>0</v>
      </c>
    </row>
    <row r="43" spans="1:12" ht="12.75">
      <c r="A43" s="154"/>
      <c r="B43" s="154"/>
      <c r="C43" s="60" t="s">
        <v>431</v>
      </c>
      <c r="D43" s="61"/>
      <c r="E43" s="61"/>
      <c r="F43" s="154"/>
      <c r="G43" s="12">
        <v>506</v>
      </c>
      <c r="I43" s="154"/>
      <c r="J43" s="154"/>
      <c r="K43" s="154"/>
      <c r="L43" s="154"/>
    </row>
    <row r="44" spans="1:47" ht="12.75">
      <c r="A44" s="2"/>
      <c r="B44" s="9" t="s">
        <v>216</v>
      </c>
      <c r="C44" s="56" t="s">
        <v>411</v>
      </c>
      <c r="D44" s="57"/>
      <c r="E44" s="57"/>
      <c r="F44" s="2" t="s">
        <v>6</v>
      </c>
      <c r="G44" s="2" t="s">
        <v>6</v>
      </c>
      <c r="H44" s="139" t="s">
        <v>6</v>
      </c>
      <c r="I44" s="23">
        <f>SUM(I45:I53)</f>
        <v>0</v>
      </c>
      <c r="J44" s="23">
        <f>SUM(J45:J53)</f>
        <v>0</v>
      </c>
      <c r="K44" s="23">
        <f>SUM(K45:K53)</f>
        <v>0</v>
      </c>
      <c r="L44" s="16"/>
      <c r="AI44" s="137" t="s">
        <v>856</v>
      </c>
      <c r="AS44" s="140">
        <f>SUM(AJ45:AJ53)</f>
        <v>0</v>
      </c>
      <c r="AT44" s="140">
        <f>SUM(AK45:AK53)</f>
        <v>0</v>
      </c>
      <c r="AU44" s="140">
        <f>SUM(AL45:AL53)</f>
        <v>0</v>
      </c>
    </row>
    <row r="45" spans="1:62" ht="12.75">
      <c r="A45" s="3" t="s">
        <v>20</v>
      </c>
      <c r="B45" s="3" t="s">
        <v>217</v>
      </c>
      <c r="C45" s="58" t="s">
        <v>412</v>
      </c>
      <c r="D45" s="59"/>
      <c r="E45" s="59"/>
      <c r="F45" s="3" t="s">
        <v>817</v>
      </c>
      <c r="G45" s="11">
        <v>337.991</v>
      </c>
      <c r="H45" s="141">
        <v>0</v>
      </c>
      <c r="I45" s="11">
        <f>G45*AO45</f>
        <v>0</v>
      </c>
      <c r="J45" s="11">
        <f>G45*AP45</f>
        <v>0</v>
      </c>
      <c r="K45" s="11">
        <f>G45*H45</f>
        <v>0</v>
      </c>
      <c r="L45" s="17" t="s">
        <v>845</v>
      </c>
      <c r="Z45" s="143">
        <f>IF(AQ45="5",BJ45,0)</f>
        <v>0</v>
      </c>
      <c r="AB45" s="143">
        <f>IF(AQ45="1",BH45,0)</f>
        <v>0</v>
      </c>
      <c r="AC45" s="143">
        <f>IF(AQ45="1",BI45,0)</f>
        <v>0</v>
      </c>
      <c r="AD45" s="143">
        <f>IF(AQ45="7",BH45,0)</f>
        <v>0</v>
      </c>
      <c r="AE45" s="143">
        <f>IF(AQ45="7",BI45,0)</f>
        <v>0</v>
      </c>
      <c r="AF45" s="143">
        <f>IF(AQ45="2",BH45,0)</f>
        <v>0</v>
      </c>
      <c r="AG45" s="143">
        <f>IF(AQ45="2",BI45,0)</f>
        <v>0</v>
      </c>
      <c r="AH45" s="143">
        <f>IF(AQ45="0",BJ45,0)</f>
        <v>0</v>
      </c>
      <c r="AI45" s="137" t="s">
        <v>856</v>
      </c>
      <c r="AJ45" s="141">
        <f>IF(AN45=0,K45,0)</f>
        <v>0</v>
      </c>
      <c r="AK45" s="141">
        <f>IF(AN45=15,K45,0)</f>
        <v>0</v>
      </c>
      <c r="AL45" s="141">
        <f>IF(AN45=21,K45,0)</f>
        <v>0</v>
      </c>
      <c r="AN45" s="143">
        <v>21</v>
      </c>
      <c r="AO45" s="143">
        <f>H45*0</f>
        <v>0</v>
      </c>
      <c r="AP45" s="143">
        <f>H45*(1-0)</f>
        <v>0</v>
      </c>
      <c r="AQ45" s="142" t="s">
        <v>11</v>
      </c>
      <c r="AV45" s="143">
        <f>AW45+AX45</f>
        <v>0</v>
      </c>
      <c r="AW45" s="143">
        <f>G45*AO45</f>
        <v>0</v>
      </c>
      <c r="AX45" s="143">
        <f>G45*AP45</f>
        <v>0</v>
      </c>
      <c r="AY45" s="144" t="s">
        <v>885</v>
      </c>
      <c r="AZ45" s="144" t="s">
        <v>905</v>
      </c>
      <c r="BA45" s="137" t="s">
        <v>952</v>
      </c>
      <c r="BC45" s="143">
        <f>AW45+AX45</f>
        <v>0</v>
      </c>
      <c r="BD45" s="143">
        <f>H45/(100-BE45)*100</f>
        <v>0</v>
      </c>
      <c r="BE45" s="143">
        <v>0</v>
      </c>
      <c r="BF45" s="143">
        <f>45</f>
        <v>45</v>
      </c>
      <c r="BH45" s="141">
        <f>G45*AO45</f>
        <v>0</v>
      </c>
      <c r="BI45" s="141">
        <f>G45*AP45</f>
        <v>0</v>
      </c>
      <c r="BJ45" s="141">
        <f>G45*H45</f>
        <v>0</v>
      </c>
    </row>
    <row r="46" spans="1:12" ht="12.75">
      <c r="A46" s="154"/>
      <c r="B46" s="154"/>
      <c r="C46" s="60" t="s">
        <v>432</v>
      </c>
      <c r="D46" s="61"/>
      <c r="E46" s="61"/>
      <c r="F46" s="154"/>
      <c r="G46" s="12">
        <v>337.991</v>
      </c>
      <c r="I46" s="154"/>
      <c r="J46" s="154"/>
      <c r="K46" s="154"/>
      <c r="L46" s="154"/>
    </row>
    <row r="47" spans="1:62" ht="12.75">
      <c r="A47" s="3" t="s">
        <v>21</v>
      </c>
      <c r="B47" s="3" t="s">
        <v>218</v>
      </c>
      <c r="C47" s="58" t="s">
        <v>414</v>
      </c>
      <c r="D47" s="59"/>
      <c r="E47" s="59"/>
      <c r="F47" s="3" t="s">
        <v>817</v>
      </c>
      <c r="G47" s="11">
        <v>337.991</v>
      </c>
      <c r="H47" s="141">
        <v>0</v>
      </c>
      <c r="I47" s="11">
        <f>G47*AO47</f>
        <v>0</v>
      </c>
      <c r="J47" s="11">
        <f>G47*AP47</f>
        <v>0</v>
      </c>
      <c r="K47" s="11">
        <f>G47*H47</f>
        <v>0</v>
      </c>
      <c r="L47" s="17" t="s">
        <v>845</v>
      </c>
      <c r="Z47" s="143">
        <f>IF(AQ47="5",BJ47,0)</f>
        <v>0</v>
      </c>
      <c r="AB47" s="143">
        <f>IF(AQ47="1",BH47,0)</f>
        <v>0</v>
      </c>
      <c r="AC47" s="143">
        <f>IF(AQ47="1",BI47,0)</f>
        <v>0</v>
      </c>
      <c r="AD47" s="143">
        <f>IF(AQ47="7",BH47,0)</f>
        <v>0</v>
      </c>
      <c r="AE47" s="143">
        <f>IF(AQ47="7",BI47,0)</f>
        <v>0</v>
      </c>
      <c r="AF47" s="143">
        <f>IF(AQ47="2",BH47,0)</f>
        <v>0</v>
      </c>
      <c r="AG47" s="143">
        <f>IF(AQ47="2",BI47,0)</f>
        <v>0</v>
      </c>
      <c r="AH47" s="143">
        <f>IF(AQ47="0",BJ47,0)</f>
        <v>0</v>
      </c>
      <c r="AI47" s="137" t="s">
        <v>856</v>
      </c>
      <c r="AJ47" s="141">
        <f>IF(AN47=0,K47,0)</f>
        <v>0</v>
      </c>
      <c r="AK47" s="141">
        <f>IF(AN47=15,K47,0)</f>
        <v>0</v>
      </c>
      <c r="AL47" s="141">
        <f>IF(AN47=21,K47,0)</f>
        <v>0</v>
      </c>
      <c r="AN47" s="143">
        <v>21</v>
      </c>
      <c r="AO47" s="143">
        <f>H47*0.00942249231648043</f>
        <v>0</v>
      </c>
      <c r="AP47" s="143">
        <f>H47*(1-0.00942249231648043)</f>
        <v>0</v>
      </c>
      <c r="AQ47" s="142" t="s">
        <v>11</v>
      </c>
      <c r="AV47" s="143">
        <f>AW47+AX47</f>
        <v>0</v>
      </c>
      <c r="AW47" s="143">
        <f>G47*AO47</f>
        <v>0</v>
      </c>
      <c r="AX47" s="143">
        <f>G47*AP47</f>
        <v>0</v>
      </c>
      <c r="AY47" s="144" t="s">
        <v>885</v>
      </c>
      <c r="AZ47" s="144" t="s">
        <v>905</v>
      </c>
      <c r="BA47" s="137" t="s">
        <v>952</v>
      </c>
      <c r="BC47" s="143">
        <f>AW47+AX47</f>
        <v>0</v>
      </c>
      <c r="BD47" s="143">
        <f>H47/(100-BE47)*100</f>
        <v>0</v>
      </c>
      <c r="BE47" s="143">
        <v>0</v>
      </c>
      <c r="BF47" s="143">
        <f>47</f>
        <v>47</v>
      </c>
      <c r="BH47" s="141">
        <f>G47*AO47</f>
        <v>0</v>
      </c>
      <c r="BI47" s="141">
        <f>G47*AP47</f>
        <v>0</v>
      </c>
      <c r="BJ47" s="141">
        <f>G47*H47</f>
        <v>0</v>
      </c>
    </row>
    <row r="48" spans="1:12" ht="12.75">
      <c r="A48" s="154"/>
      <c r="B48" s="154"/>
      <c r="C48" s="60" t="s">
        <v>433</v>
      </c>
      <c r="D48" s="61"/>
      <c r="E48" s="61"/>
      <c r="F48" s="154"/>
      <c r="G48" s="12">
        <v>337.991</v>
      </c>
      <c r="I48" s="154"/>
      <c r="J48" s="154"/>
      <c r="K48" s="154"/>
      <c r="L48" s="154"/>
    </row>
    <row r="49" spans="1:62" ht="12.75">
      <c r="A49" s="3" t="s">
        <v>22</v>
      </c>
      <c r="B49" s="3" t="s">
        <v>219</v>
      </c>
      <c r="C49" s="58" t="s">
        <v>415</v>
      </c>
      <c r="D49" s="59"/>
      <c r="E49" s="59"/>
      <c r="F49" s="3" t="s">
        <v>817</v>
      </c>
      <c r="G49" s="11">
        <v>337.991</v>
      </c>
      <c r="H49" s="141">
        <v>0</v>
      </c>
      <c r="I49" s="11">
        <f>G49*AO49</f>
        <v>0</v>
      </c>
      <c r="J49" s="11">
        <f>G49*AP49</f>
        <v>0</v>
      </c>
      <c r="K49" s="11">
        <f>G49*H49</f>
        <v>0</v>
      </c>
      <c r="L49" s="17" t="s">
        <v>845</v>
      </c>
      <c r="Z49" s="143">
        <f>IF(AQ49="5",BJ49,0)</f>
        <v>0</v>
      </c>
      <c r="AB49" s="143">
        <f>IF(AQ49="1",BH49,0)</f>
        <v>0</v>
      </c>
      <c r="AC49" s="143">
        <f>IF(AQ49="1",BI49,0)</f>
        <v>0</v>
      </c>
      <c r="AD49" s="143">
        <f>IF(AQ49="7",BH49,0)</f>
        <v>0</v>
      </c>
      <c r="AE49" s="143">
        <f>IF(AQ49="7",BI49,0)</f>
        <v>0</v>
      </c>
      <c r="AF49" s="143">
        <f>IF(AQ49="2",BH49,0)</f>
        <v>0</v>
      </c>
      <c r="AG49" s="143">
        <f>IF(AQ49="2",BI49,0)</f>
        <v>0</v>
      </c>
      <c r="AH49" s="143">
        <f>IF(AQ49="0",BJ49,0)</f>
        <v>0</v>
      </c>
      <c r="AI49" s="137" t="s">
        <v>856</v>
      </c>
      <c r="AJ49" s="141">
        <f>IF(AN49=0,K49,0)</f>
        <v>0</v>
      </c>
      <c r="AK49" s="141">
        <f>IF(AN49=15,K49,0)</f>
        <v>0</v>
      </c>
      <c r="AL49" s="141">
        <f>IF(AN49=21,K49,0)</f>
        <v>0</v>
      </c>
      <c r="AN49" s="143">
        <v>21</v>
      </c>
      <c r="AO49" s="143">
        <f>H49*0</f>
        <v>0</v>
      </c>
      <c r="AP49" s="143">
        <f>H49*(1-0)</f>
        <v>0</v>
      </c>
      <c r="AQ49" s="142" t="s">
        <v>11</v>
      </c>
      <c r="AV49" s="143">
        <f>AW49+AX49</f>
        <v>0</v>
      </c>
      <c r="AW49" s="143">
        <f>G49*AO49</f>
        <v>0</v>
      </c>
      <c r="AX49" s="143">
        <f>G49*AP49</f>
        <v>0</v>
      </c>
      <c r="AY49" s="144" t="s">
        <v>885</v>
      </c>
      <c r="AZ49" s="144" t="s">
        <v>905</v>
      </c>
      <c r="BA49" s="137" t="s">
        <v>952</v>
      </c>
      <c r="BC49" s="143">
        <f>AW49+AX49</f>
        <v>0</v>
      </c>
      <c r="BD49" s="143">
        <f>H49/(100-BE49)*100</f>
        <v>0</v>
      </c>
      <c r="BE49" s="143">
        <v>0</v>
      </c>
      <c r="BF49" s="143">
        <f>49</f>
        <v>49</v>
      </c>
      <c r="BH49" s="141">
        <f>G49*AO49</f>
        <v>0</v>
      </c>
      <c r="BI49" s="141">
        <f>G49*AP49</f>
        <v>0</v>
      </c>
      <c r="BJ49" s="141">
        <f>G49*H49</f>
        <v>0</v>
      </c>
    </row>
    <row r="50" spans="1:12" ht="12.75">
      <c r="A50" s="154"/>
      <c r="B50" s="154"/>
      <c r="C50" s="60" t="s">
        <v>432</v>
      </c>
      <c r="D50" s="61"/>
      <c r="E50" s="61"/>
      <c r="F50" s="154"/>
      <c r="G50" s="12">
        <v>337.991</v>
      </c>
      <c r="I50" s="154"/>
      <c r="J50" s="154"/>
      <c r="K50" s="154"/>
      <c r="L50" s="154"/>
    </row>
    <row r="51" spans="1:62" ht="12.75">
      <c r="A51" s="3" t="s">
        <v>23</v>
      </c>
      <c r="B51" s="3" t="s">
        <v>220</v>
      </c>
      <c r="C51" s="58" t="s">
        <v>417</v>
      </c>
      <c r="D51" s="59"/>
      <c r="E51" s="59"/>
      <c r="F51" s="3" t="s">
        <v>817</v>
      </c>
      <c r="G51" s="11">
        <v>337.991</v>
      </c>
      <c r="H51" s="141">
        <v>0</v>
      </c>
      <c r="I51" s="11">
        <f>G51*AO51</f>
        <v>0</v>
      </c>
      <c r="J51" s="11">
        <f>G51*AP51</f>
        <v>0</v>
      </c>
      <c r="K51" s="11">
        <f>G51*H51</f>
        <v>0</v>
      </c>
      <c r="L51" s="17" t="s">
        <v>845</v>
      </c>
      <c r="Z51" s="143">
        <f>IF(AQ51="5",BJ51,0)</f>
        <v>0</v>
      </c>
      <c r="AB51" s="143">
        <f>IF(AQ51="1",BH51,0)</f>
        <v>0</v>
      </c>
      <c r="AC51" s="143">
        <f>IF(AQ51="1",BI51,0)</f>
        <v>0</v>
      </c>
      <c r="AD51" s="143">
        <f>IF(AQ51="7",BH51,0)</f>
        <v>0</v>
      </c>
      <c r="AE51" s="143">
        <f>IF(AQ51="7",BI51,0)</f>
        <v>0</v>
      </c>
      <c r="AF51" s="143">
        <f>IF(AQ51="2",BH51,0)</f>
        <v>0</v>
      </c>
      <c r="AG51" s="143">
        <f>IF(AQ51="2",BI51,0)</f>
        <v>0</v>
      </c>
      <c r="AH51" s="143">
        <f>IF(AQ51="0",BJ51,0)</f>
        <v>0</v>
      </c>
      <c r="AI51" s="137" t="s">
        <v>856</v>
      </c>
      <c r="AJ51" s="141">
        <f>IF(AN51=0,K51,0)</f>
        <v>0</v>
      </c>
      <c r="AK51" s="141">
        <f>IF(AN51=15,K51,0)</f>
        <v>0</v>
      </c>
      <c r="AL51" s="141">
        <f>IF(AN51=21,K51,0)</f>
        <v>0</v>
      </c>
      <c r="AN51" s="143">
        <v>21</v>
      </c>
      <c r="AO51" s="143">
        <f>H51*0</f>
        <v>0</v>
      </c>
      <c r="AP51" s="143">
        <f>H51*(1-0)</f>
        <v>0</v>
      </c>
      <c r="AQ51" s="142" t="s">
        <v>11</v>
      </c>
      <c r="AV51" s="143">
        <f>AW51+AX51</f>
        <v>0</v>
      </c>
      <c r="AW51" s="143">
        <f>G51*AO51</f>
        <v>0</v>
      </c>
      <c r="AX51" s="143">
        <f>G51*AP51</f>
        <v>0</v>
      </c>
      <c r="AY51" s="144" t="s">
        <v>885</v>
      </c>
      <c r="AZ51" s="144" t="s">
        <v>905</v>
      </c>
      <c r="BA51" s="137" t="s">
        <v>952</v>
      </c>
      <c r="BC51" s="143">
        <f>AW51+AX51</f>
        <v>0</v>
      </c>
      <c r="BD51" s="143">
        <f>H51/(100-BE51)*100</f>
        <v>0</v>
      </c>
      <c r="BE51" s="143">
        <v>0</v>
      </c>
      <c r="BF51" s="143">
        <f>51</f>
        <v>51</v>
      </c>
      <c r="BH51" s="141">
        <f>G51*AO51</f>
        <v>0</v>
      </c>
      <c r="BI51" s="141">
        <f>G51*AP51</f>
        <v>0</v>
      </c>
      <c r="BJ51" s="141">
        <f>G51*H51</f>
        <v>0</v>
      </c>
    </row>
    <row r="52" spans="1:12" ht="12.75">
      <c r="A52" s="154"/>
      <c r="B52" s="154"/>
      <c r="C52" s="60" t="s">
        <v>432</v>
      </c>
      <c r="D52" s="61"/>
      <c r="E52" s="61"/>
      <c r="F52" s="154"/>
      <c r="G52" s="12">
        <v>337.991</v>
      </c>
      <c r="I52" s="154"/>
      <c r="J52" s="154"/>
      <c r="K52" s="154"/>
      <c r="L52" s="154"/>
    </row>
    <row r="53" spans="1:62" ht="12.75">
      <c r="A53" s="3" t="s">
        <v>24</v>
      </c>
      <c r="B53" s="3" t="s">
        <v>221</v>
      </c>
      <c r="C53" s="58" t="s">
        <v>418</v>
      </c>
      <c r="D53" s="59"/>
      <c r="E53" s="59"/>
      <c r="F53" s="3" t="s">
        <v>817</v>
      </c>
      <c r="G53" s="11">
        <v>337.991</v>
      </c>
      <c r="H53" s="141">
        <v>0</v>
      </c>
      <c r="I53" s="11">
        <f>G53*AO53</f>
        <v>0</v>
      </c>
      <c r="J53" s="11">
        <f>G53*AP53</f>
        <v>0</v>
      </c>
      <c r="K53" s="11">
        <f>G53*H53</f>
        <v>0</v>
      </c>
      <c r="L53" s="17" t="s">
        <v>845</v>
      </c>
      <c r="Z53" s="143">
        <f>IF(AQ53="5",BJ53,0)</f>
        <v>0</v>
      </c>
      <c r="AB53" s="143">
        <f>IF(AQ53="1",BH53,0)</f>
        <v>0</v>
      </c>
      <c r="AC53" s="143">
        <f>IF(AQ53="1",BI53,0)</f>
        <v>0</v>
      </c>
      <c r="AD53" s="143">
        <f>IF(AQ53="7",BH53,0)</f>
        <v>0</v>
      </c>
      <c r="AE53" s="143">
        <f>IF(AQ53="7",BI53,0)</f>
        <v>0</v>
      </c>
      <c r="AF53" s="143">
        <f>IF(AQ53="2",BH53,0)</f>
        <v>0</v>
      </c>
      <c r="AG53" s="143">
        <f>IF(AQ53="2",BI53,0)</f>
        <v>0</v>
      </c>
      <c r="AH53" s="143">
        <f>IF(AQ53="0",BJ53,0)</f>
        <v>0</v>
      </c>
      <c r="AI53" s="137" t="s">
        <v>856</v>
      </c>
      <c r="AJ53" s="141">
        <f>IF(AN53=0,K53,0)</f>
        <v>0</v>
      </c>
      <c r="AK53" s="141">
        <f>IF(AN53=15,K53,0)</f>
        <v>0</v>
      </c>
      <c r="AL53" s="141">
        <f>IF(AN53=21,K53,0)</f>
        <v>0</v>
      </c>
      <c r="AN53" s="143">
        <v>21</v>
      </c>
      <c r="AO53" s="143">
        <f>H53*0</f>
        <v>0</v>
      </c>
      <c r="AP53" s="143">
        <f>H53*(1-0)</f>
        <v>0</v>
      </c>
      <c r="AQ53" s="142" t="s">
        <v>11</v>
      </c>
      <c r="AV53" s="143">
        <f>AW53+AX53</f>
        <v>0</v>
      </c>
      <c r="AW53" s="143">
        <f>G53*AO53</f>
        <v>0</v>
      </c>
      <c r="AX53" s="143">
        <f>G53*AP53</f>
        <v>0</v>
      </c>
      <c r="AY53" s="144" t="s">
        <v>885</v>
      </c>
      <c r="AZ53" s="144" t="s">
        <v>905</v>
      </c>
      <c r="BA53" s="137" t="s">
        <v>952</v>
      </c>
      <c r="BC53" s="143">
        <f>AW53+AX53</f>
        <v>0</v>
      </c>
      <c r="BD53" s="143">
        <f>H53/(100-BE53)*100</f>
        <v>0</v>
      </c>
      <c r="BE53" s="143">
        <v>0</v>
      </c>
      <c r="BF53" s="143">
        <f>53</f>
        <v>53</v>
      </c>
      <c r="BH53" s="141">
        <f>G53*AO53</f>
        <v>0</v>
      </c>
      <c r="BI53" s="141">
        <f>G53*AP53</f>
        <v>0</v>
      </c>
      <c r="BJ53" s="141">
        <f>G53*H53</f>
        <v>0</v>
      </c>
    </row>
    <row r="54" spans="1:12" ht="12.75">
      <c r="A54" s="154"/>
      <c r="B54" s="154"/>
      <c r="C54" s="60" t="s">
        <v>432</v>
      </c>
      <c r="D54" s="61"/>
      <c r="E54" s="61"/>
      <c r="F54" s="154"/>
      <c r="G54" s="12">
        <v>337.991</v>
      </c>
      <c r="I54" s="154"/>
      <c r="J54" s="154"/>
      <c r="K54" s="154"/>
      <c r="L54" s="154"/>
    </row>
    <row r="55" spans="1:12" ht="12.75">
      <c r="A55" s="4"/>
      <c r="B55" s="10"/>
      <c r="C55" s="62" t="s">
        <v>434</v>
      </c>
      <c r="D55" s="63"/>
      <c r="E55" s="63"/>
      <c r="F55" s="4" t="s">
        <v>6</v>
      </c>
      <c r="G55" s="4" t="s">
        <v>6</v>
      </c>
      <c r="H55" s="145" t="s">
        <v>6</v>
      </c>
      <c r="I55" s="24">
        <f>I56+I61+I70+I83+I95</f>
        <v>0</v>
      </c>
      <c r="J55" s="24">
        <f>J56+J61+J70+J83+J95</f>
        <v>0</v>
      </c>
      <c r="K55" s="24">
        <f>K56+K61+K70+K83+K95</f>
        <v>0</v>
      </c>
      <c r="L55" s="18"/>
    </row>
    <row r="56" spans="1:47" ht="12.75">
      <c r="A56" s="2"/>
      <c r="B56" s="9" t="s">
        <v>17</v>
      </c>
      <c r="C56" s="56" t="s">
        <v>420</v>
      </c>
      <c r="D56" s="57"/>
      <c r="E56" s="57"/>
      <c r="F56" s="2" t="s">
        <v>6</v>
      </c>
      <c r="G56" s="2" t="s">
        <v>6</v>
      </c>
      <c r="H56" s="139" t="s">
        <v>6</v>
      </c>
      <c r="I56" s="23">
        <f>SUM(I57:I59)</f>
        <v>0</v>
      </c>
      <c r="J56" s="23">
        <f>SUM(J57:J59)</f>
        <v>0</v>
      </c>
      <c r="K56" s="23">
        <f>SUM(K57:K59)</f>
        <v>0</v>
      </c>
      <c r="L56" s="16"/>
      <c r="AI56" s="137" t="s">
        <v>857</v>
      </c>
      <c r="AS56" s="140">
        <f>SUM(AJ57:AJ59)</f>
        <v>0</v>
      </c>
      <c r="AT56" s="140">
        <f>SUM(AK57:AK59)</f>
        <v>0</v>
      </c>
      <c r="AU56" s="140">
        <f>SUM(AL57:AL59)</f>
        <v>0</v>
      </c>
    </row>
    <row r="57" spans="1:62" ht="12.75">
      <c r="A57" s="3" t="s">
        <v>25</v>
      </c>
      <c r="B57" s="3" t="s">
        <v>228</v>
      </c>
      <c r="C57" s="58" t="s">
        <v>435</v>
      </c>
      <c r="D57" s="59"/>
      <c r="E57" s="59"/>
      <c r="F57" s="3" t="s">
        <v>818</v>
      </c>
      <c r="G57" s="11">
        <v>69.36</v>
      </c>
      <c r="H57" s="141">
        <v>0</v>
      </c>
      <c r="I57" s="11">
        <f>G57*AO57</f>
        <v>0</v>
      </c>
      <c r="J57" s="11">
        <f>G57*AP57</f>
        <v>0</v>
      </c>
      <c r="K57" s="11">
        <f>G57*H57</f>
        <v>0</v>
      </c>
      <c r="L57" s="17" t="s">
        <v>845</v>
      </c>
      <c r="Z57" s="143">
        <f>IF(AQ57="5",BJ57,0)</f>
        <v>0</v>
      </c>
      <c r="AB57" s="143">
        <f>IF(AQ57="1",BH57,0)</f>
        <v>0</v>
      </c>
      <c r="AC57" s="143">
        <f>IF(AQ57="1",BI57,0)</f>
        <v>0</v>
      </c>
      <c r="AD57" s="143">
        <f>IF(AQ57="7",BH57,0)</f>
        <v>0</v>
      </c>
      <c r="AE57" s="143">
        <f>IF(AQ57="7",BI57,0)</f>
        <v>0</v>
      </c>
      <c r="AF57" s="143">
        <f>IF(AQ57="2",BH57,0)</f>
        <v>0</v>
      </c>
      <c r="AG57" s="143">
        <f>IF(AQ57="2",BI57,0)</f>
        <v>0</v>
      </c>
      <c r="AH57" s="143">
        <f>IF(AQ57="0",BJ57,0)</f>
        <v>0</v>
      </c>
      <c r="AI57" s="137" t="s">
        <v>857</v>
      </c>
      <c r="AJ57" s="141">
        <f>IF(AN57=0,K57,0)</f>
        <v>0</v>
      </c>
      <c r="AK57" s="141">
        <f>IF(AN57=15,K57,0)</f>
        <v>0</v>
      </c>
      <c r="AL57" s="141">
        <f>IF(AN57=21,K57,0)</f>
        <v>0</v>
      </c>
      <c r="AN57" s="143">
        <v>21</v>
      </c>
      <c r="AO57" s="143">
        <f>H57*0</f>
        <v>0</v>
      </c>
      <c r="AP57" s="143">
        <f>H57*(1-0)</f>
        <v>0</v>
      </c>
      <c r="AQ57" s="142" t="s">
        <v>7</v>
      </c>
      <c r="AV57" s="143">
        <f>AW57+AX57</f>
        <v>0</v>
      </c>
      <c r="AW57" s="143">
        <f>G57*AO57</f>
        <v>0</v>
      </c>
      <c r="AX57" s="143">
        <f>G57*AP57</f>
        <v>0</v>
      </c>
      <c r="AY57" s="144" t="s">
        <v>886</v>
      </c>
      <c r="AZ57" s="144" t="s">
        <v>906</v>
      </c>
      <c r="BA57" s="137" t="s">
        <v>953</v>
      </c>
      <c r="BC57" s="143">
        <f>AW57+AX57</f>
        <v>0</v>
      </c>
      <c r="BD57" s="143">
        <f>H57/(100-BE57)*100</f>
        <v>0</v>
      </c>
      <c r="BE57" s="143">
        <v>0</v>
      </c>
      <c r="BF57" s="143">
        <f>57</f>
        <v>57</v>
      </c>
      <c r="BH57" s="141">
        <f>G57*AO57</f>
        <v>0</v>
      </c>
      <c r="BI57" s="141">
        <f>G57*AP57</f>
        <v>0</v>
      </c>
      <c r="BJ57" s="141">
        <f>G57*H57</f>
        <v>0</v>
      </c>
    </row>
    <row r="58" spans="1:12" ht="12.75">
      <c r="A58" s="154"/>
      <c r="B58" s="154"/>
      <c r="C58" s="60" t="s">
        <v>436</v>
      </c>
      <c r="D58" s="61"/>
      <c r="E58" s="61"/>
      <c r="F58" s="154"/>
      <c r="G58" s="12">
        <v>69.36</v>
      </c>
      <c r="I58" s="154"/>
      <c r="J58" s="154"/>
      <c r="K58" s="154"/>
      <c r="L58" s="154"/>
    </row>
    <row r="59" spans="1:62" ht="12.75">
      <c r="A59" s="3" t="s">
        <v>26</v>
      </c>
      <c r="B59" s="3" t="s">
        <v>229</v>
      </c>
      <c r="C59" s="58" t="s">
        <v>437</v>
      </c>
      <c r="D59" s="59"/>
      <c r="E59" s="59"/>
      <c r="F59" s="3" t="s">
        <v>818</v>
      </c>
      <c r="G59" s="11">
        <v>1.2</v>
      </c>
      <c r="H59" s="141">
        <v>0</v>
      </c>
      <c r="I59" s="11">
        <f>G59*AO59</f>
        <v>0</v>
      </c>
      <c r="J59" s="11">
        <f>G59*AP59</f>
        <v>0</v>
      </c>
      <c r="K59" s="11">
        <f>G59*H59</f>
        <v>0</v>
      </c>
      <c r="L59" s="17" t="s">
        <v>845</v>
      </c>
      <c r="Z59" s="143">
        <f>IF(AQ59="5",BJ59,0)</f>
        <v>0</v>
      </c>
      <c r="AB59" s="143">
        <f>IF(AQ59="1",BH59,0)</f>
        <v>0</v>
      </c>
      <c r="AC59" s="143">
        <f>IF(AQ59="1",BI59,0)</f>
        <v>0</v>
      </c>
      <c r="AD59" s="143">
        <f>IF(AQ59="7",BH59,0)</f>
        <v>0</v>
      </c>
      <c r="AE59" s="143">
        <f>IF(AQ59="7",BI59,0)</f>
        <v>0</v>
      </c>
      <c r="AF59" s="143">
        <f>IF(AQ59="2",BH59,0)</f>
        <v>0</v>
      </c>
      <c r="AG59" s="143">
        <f>IF(AQ59="2",BI59,0)</f>
        <v>0</v>
      </c>
      <c r="AH59" s="143">
        <f>IF(AQ59="0",BJ59,0)</f>
        <v>0</v>
      </c>
      <c r="AI59" s="137" t="s">
        <v>857</v>
      </c>
      <c r="AJ59" s="141">
        <f>IF(AN59=0,K59,0)</f>
        <v>0</v>
      </c>
      <c r="AK59" s="141">
        <f>IF(AN59=15,K59,0)</f>
        <v>0</v>
      </c>
      <c r="AL59" s="141">
        <f>IF(AN59=21,K59,0)</f>
        <v>0</v>
      </c>
      <c r="AN59" s="143">
        <v>21</v>
      </c>
      <c r="AO59" s="143">
        <f>H59*0</f>
        <v>0</v>
      </c>
      <c r="AP59" s="143">
        <f>H59*(1-0)</f>
        <v>0</v>
      </c>
      <c r="AQ59" s="142" t="s">
        <v>7</v>
      </c>
      <c r="AV59" s="143">
        <f>AW59+AX59</f>
        <v>0</v>
      </c>
      <c r="AW59" s="143">
        <f>G59*AO59</f>
        <v>0</v>
      </c>
      <c r="AX59" s="143">
        <f>G59*AP59</f>
        <v>0</v>
      </c>
      <c r="AY59" s="144" t="s">
        <v>886</v>
      </c>
      <c r="AZ59" s="144" t="s">
        <v>906</v>
      </c>
      <c r="BA59" s="137" t="s">
        <v>953</v>
      </c>
      <c r="BC59" s="143">
        <f>AW59+AX59</f>
        <v>0</v>
      </c>
      <c r="BD59" s="143">
        <f>H59/(100-BE59)*100</f>
        <v>0</v>
      </c>
      <c r="BE59" s="143">
        <v>0</v>
      </c>
      <c r="BF59" s="143">
        <f>59</f>
        <v>59</v>
      </c>
      <c r="BH59" s="141">
        <f>G59*AO59</f>
        <v>0</v>
      </c>
      <c r="BI59" s="141">
        <f>G59*AP59</f>
        <v>0</v>
      </c>
      <c r="BJ59" s="141">
        <f>G59*H59</f>
        <v>0</v>
      </c>
    </row>
    <row r="60" spans="1:12" ht="12.75">
      <c r="A60" s="154"/>
      <c r="B60" s="154"/>
      <c r="C60" s="60" t="s">
        <v>438</v>
      </c>
      <c r="D60" s="61"/>
      <c r="E60" s="61"/>
      <c r="F60" s="154"/>
      <c r="G60" s="12">
        <v>1.2</v>
      </c>
      <c r="I60" s="154"/>
      <c r="J60" s="154"/>
      <c r="K60" s="154"/>
      <c r="L60" s="154"/>
    </row>
    <row r="61" spans="1:47" ht="12.75">
      <c r="A61" s="2"/>
      <c r="B61" s="9" t="s">
        <v>230</v>
      </c>
      <c r="C61" s="56" t="s">
        <v>439</v>
      </c>
      <c r="D61" s="57"/>
      <c r="E61" s="57"/>
      <c r="F61" s="2" t="s">
        <v>6</v>
      </c>
      <c r="G61" s="2" t="s">
        <v>6</v>
      </c>
      <c r="H61" s="139" t="s">
        <v>6</v>
      </c>
      <c r="I61" s="23">
        <f>SUM(I62:I68)</f>
        <v>0</v>
      </c>
      <c r="J61" s="23">
        <f>SUM(J62:J68)</f>
        <v>0</v>
      </c>
      <c r="K61" s="23">
        <f>SUM(K62:K68)</f>
        <v>0</v>
      </c>
      <c r="L61" s="16"/>
      <c r="AI61" s="137" t="s">
        <v>857</v>
      </c>
      <c r="AS61" s="140">
        <f>SUM(AJ62:AJ68)</f>
        <v>0</v>
      </c>
      <c r="AT61" s="140">
        <f>SUM(AK62:AK68)</f>
        <v>0</v>
      </c>
      <c r="AU61" s="140">
        <f>SUM(AL62:AL68)</f>
        <v>0</v>
      </c>
    </row>
    <row r="62" spans="1:62" ht="12.75">
      <c r="A62" s="3" t="s">
        <v>27</v>
      </c>
      <c r="B62" s="3" t="s">
        <v>231</v>
      </c>
      <c r="C62" s="58" t="s">
        <v>440</v>
      </c>
      <c r="D62" s="59"/>
      <c r="E62" s="59"/>
      <c r="F62" s="3" t="s">
        <v>819</v>
      </c>
      <c r="G62" s="11">
        <v>1</v>
      </c>
      <c r="H62" s="141">
        <v>0</v>
      </c>
      <c r="I62" s="11">
        <f>G62*AO62</f>
        <v>0</v>
      </c>
      <c r="J62" s="11">
        <f>G62*AP62</f>
        <v>0</v>
      </c>
      <c r="K62" s="11">
        <f>G62*H62</f>
        <v>0</v>
      </c>
      <c r="L62" s="17" t="s">
        <v>845</v>
      </c>
      <c r="Z62" s="143">
        <f>IF(AQ62="5",BJ62,0)</f>
        <v>0</v>
      </c>
      <c r="AB62" s="143">
        <f>IF(AQ62="1",BH62,0)</f>
        <v>0</v>
      </c>
      <c r="AC62" s="143">
        <f>IF(AQ62="1",BI62,0)</f>
        <v>0</v>
      </c>
      <c r="AD62" s="143">
        <f>IF(AQ62="7",BH62,0)</f>
        <v>0</v>
      </c>
      <c r="AE62" s="143">
        <f>IF(AQ62="7",BI62,0)</f>
        <v>0</v>
      </c>
      <c r="AF62" s="143">
        <f>IF(AQ62="2",BH62,0)</f>
        <v>0</v>
      </c>
      <c r="AG62" s="143">
        <f>IF(AQ62="2",BI62,0)</f>
        <v>0</v>
      </c>
      <c r="AH62" s="143">
        <f>IF(AQ62="0",BJ62,0)</f>
        <v>0</v>
      </c>
      <c r="AI62" s="137" t="s">
        <v>857</v>
      </c>
      <c r="AJ62" s="141">
        <f>IF(AN62=0,K62,0)</f>
        <v>0</v>
      </c>
      <c r="AK62" s="141">
        <f>IF(AN62=15,K62,0)</f>
        <v>0</v>
      </c>
      <c r="AL62" s="141">
        <f>IF(AN62=21,K62,0)</f>
        <v>0</v>
      </c>
      <c r="AN62" s="143">
        <v>21</v>
      </c>
      <c r="AO62" s="143">
        <f>H62*0</f>
        <v>0</v>
      </c>
      <c r="AP62" s="143">
        <f>H62*(1-0)</f>
        <v>0</v>
      </c>
      <c r="AQ62" s="142" t="s">
        <v>13</v>
      </c>
      <c r="AV62" s="143">
        <f>AW62+AX62</f>
        <v>0</v>
      </c>
      <c r="AW62" s="143">
        <f>G62*AO62</f>
        <v>0</v>
      </c>
      <c r="AX62" s="143">
        <f>G62*AP62</f>
        <v>0</v>
      </c>
      <c r="AY62" s="144" t="s">
        <v>887</v>
      </c>
      <c r="AZ62" s="144" t="s">
        <v>907</v>
      </c>
      <c r="BA62" s="137" t="s">
        <v>953</v>
      </c>
      <c r="BC62" s="143">
        <f>AW62+AX62</f>
        <v>0</v>
      </c>
      <c r="BD62" s="143">
        <f>H62/(100-BE62)*100</f>
        <v>0</v>
      </c>
      <c r="BE62" s="143">
        <v>0</v>
      </c>
      <c r="BF62" s="143">
        <f>62</f>
        <v>62</v>
      </c>
      <c r="BH62" s="141">
        <f>G62*AO62</f>
        <v>0</v>
      </c>
      <c r="BI62" s="141">
        <f>G62*AP62</f>
        <v>0</v>
      </c>
      <c r="BJ62" s="141">
        <f>G62*H62</f>
        <v>0</v>
      </c>
    </row>
    <row r="63" spans="1:12" ht="12.75">
      <c r="A63" s="154"/>
      <c r="B63" s="154"/>
      <c r="C63" s="60" t="s">
        <v>441</v>
      </c>
      <c r="D63" s="61"/>
      <c r="E63" s="61"/>
      <c r="F63" s="154"/>
      <c r="G63" s="12">
        <v>1</v>
      </c>
      <c r="I63" s="154"/>
      <c r="J63" s="154"/>
      <c r="K63" s="154"/>
      <c r="L63" s="154"/>
    </row>
    <row r="64" spans="1:62" ht="12.75">
      <c r="A64" s="3" t="s">
        <v>28</v>
      </c>
      <c r="B64" s="3" t="s">
        <v>232</v>
      </c>
      <c r="C64" s="58" t="s">
        <v>442</v>
      </c>
      <c r="D64" s="59"/>
      <c r="E64" s="59"/>
      <c r="F64" s="3" t="s">
        <v>816</v>
      </c>
      <c r="G64" s="11">
        <v>4</v>
      </c>
      <c r="H64" s="141">
        <v>0</v>
      </c>
      <c r="I64" s="11">
        <f>G64*AO64</f>
        <v>0</v>
      </c>
      <c r="J64" s="11">
        <f>G64*AP64</f>
        <v>0</v>
      </c>
      <c r="K64" s="11">
        <f>G64*H64</f>
        <v>0</v>
      </c>
      <c r="L64" s="17" t="s">
        <v>845</v>
      </c>
      <c r="Z64" s="143">
        <f>IF(AQ64="5",BJ64,0)</f>
        <v>0</v>
      </c>
      <c r="AB64" s="143">
        <f>IF(AQ64="1",BH64,0)</f>
        <v>0</v>
      </c>
      <c r="AC64" s="143">
        <f>IF(AQ64="1",BI64,0)</f>
        <v>0</v>
      </c>
      <c r="AD64" s="143">
        <f>IF(AQ64="7",BH64,0)</f>
        <v>0</v>
      </c>
      <c r="AE64" s="143">
        <f>IF(AQ64="7",BI64,0)</f>
        <v>0</v>
      </c>
      <c r="AF64" s="143">
        <f>IF(AQ64="2",BH64,0)</f>
        <v>0</v>
      </c>
      <c r="AG64" s="143">
        <f>IF(AQ64="2",BI64,0)</f>
        <v>0</v>
      </c>
      <c r="AH64" s="143">
        <f>IF(AQ64="0",BJ64,0)</f>
        <v>0</v>
      </c>
      <c r="AI64" s="137" t="s">
        <v>857</v>
      </c>
      <c r="AJ64" s="141">
        <f>IF(AN64=0,K64,0)</f>
        <v>0</v>
      </c>
      <c r="AK64" s="141">
        <f>IF(AN64=15,K64,0)</f>
        <v>0</v>
      </c>
      <c r="AL64" s="141">
        <f>IF(AN64=21,K64,0)</f>
        <v>0</v>
      </c>
      <c r="AN64" s="143">
        <v>21</v>
      </c>
      <c r="AO64" s="143">
        <f>H64*0.0047119341563786</f>
        <v>0</v>
      </c>
      <c r="AP64" s="143">
        <f>H64*(1-0.0047119341563786)</f>
        <v>0</v>
      </c>
      <c r="AQ64" s="142" t="s">
        <v>13</v>
      </c>
      <c r="AV64" s="143">
        <f>AW64+AX64</f>
        <v>0</v>
      </c>
      <c r="AW64" s="143">
        <f>G64*AO64</f>
        <v>0</v>
      </c>
      <c r="AX64" s="143">
        <f>G64*AP64</f>
        <v>0</v>
      </c>
      <c r="AY64" s="144" t="s">
        <v>887</v>
      </c>
      <c r="AZ64" s="144" t="s">
        <v>907</v>
      </c>
      <c r="BA64" s="137" t="s">
        <v>953</v>
      </c>
      <c r="BC64" s="143">
        <f>AW64+AX64</f>
        <v>0</v>
      </c>
      <c r="BD64" s="143">
        <f>H64/(100-BE64)*100</f>
        <v>0</v>
      </c>
      <c r="BE64" s="143">
        <v>0</v>
      </c>
      <c r="BF64" s="143">
        <f>64</f>
        <v>64</v>
      </c>
      <c r="BH64" s="141">
        <f>G64*AO64</f>
        <v>0</v>
      </c>
      <c r="BI64" s="141">
        <f>G64*AP64</f>
        <v>0</v>
      </c>
      <c r="BJ64" s="141">
        <f>G64*H64</f>
        <v>0</v>
      </c>
    </row>
    <row r="65" spans="1:12" ht="12.75">
      <c r="A65" s="154"/>
      <c r="B65" s="154"/>
      <c r="C65" s="60" t="s">
        <v>443</v>
      </c>
      <c r="D65" s="61"/>
      <c r="E65" s="61"/>
      <c r="F65" s="154"/>
      <c r="G65" s="12">
        <v>4</v>
      </c>
      <c r="I65" s="154"/>
      <c r="J65" s="154"/>
      <c r="K65" s="154"/>
      <c r="L65" s="154"/>
    </row>
    <row r="66" spans="1:62" ht="12.75">
      <c r="A66" s="3" t="s">
        <v>29</v>
      </c>
      <c r="B66" s="3" t="s">
        <v>233</v>
      </c>
      <c r="C66" s="58" t="s">
        <v>444</v>
      </c>
      <c r="D66" s="59"/>
      <c r="E66" s="59"/>
      <c r="F66" s="3" t="s">
        <v>816</v>
      </c>
      <c r="G66" s="11">
        <v>1</v>
      </c>
      <c r="H66" s="141">
        <v>0</v>
      </c>
      <c r="I66" s="11">
        <f>G66*AO66</f>
        <v>0</v>
      </c>
      <c r="J66" s="11">
        <f>G66*AP66</f>
        <v>0</v>
      </c>
      <c r="K66" s="11">
        <f>G66*H66</f>
        <v>0</v>
      </c>
      <c r="L66" s="17" t="s">
        <v>845</v>
      </c>
      <c r="Z66" s="143">
        <f>IF(AQ66="5",BJ66,0)</f>
        <v>0</v>
      </c>
      <c r="AB66" s="143">
        <f>IF(AQ66="1",BH66,0)</f>
        <v>0</v>
      </c>
      <c r="AC66" s="143">
        <f>IF(AQ66="1",BI66,0)</f>
        <v>0</v>
      </c>
      <c r="AD66" s="143">
        <f>IF(AQ66="7",BH66,0)</f>
        <v>0</v>
      </c>
      <c r="AE66" s="143">
        <f>IF(AQ66="7",BI66,0)</f>
        <v>0</v>
      </c>
      <c r="AF66" s="143">
        <f>IF(AQ66="2",BH66,0)</f>
        <v>0</v>
      </c>
      <c r="AG66" s="143">
        <f>IF(AQ66="2",BI66,0)</f>
        <v>0</v>
      </c>
      <c r="AH66" s="143">
        <f>IF(AQ66="0",BJ66,0)</f>
        <v>0</v>
      </c>
      <c r="AI66" s="137" t="s">
        <v>857</v>
      </c>
      <c r="AJ66" s="141">
        <f>IF(AN66=0,K66,0)</f>
        <v>0</v>
      </c>
      <c r="AK66" s="141">
        <f>IF(AN66=15,K66,0)</f>
        <v>0</v>
      </c>
      <c r="AL66" s="141">
        <f>IF(AN66=21,K66,0)</f>
        <v>0</v>
      </c>
      <c r="AN66" s="143">
        <v>21</v>
      </c>
      <c r="AO66" s="143">
        <f>H66*0</f>
        <v>0</v>
      </c>
      <c r="AP66" s="143">
        <f>H66*(1-0)</f>
        <v>0</v>
      </c>
      <c r="AQ66" s="142" t="s">
        <v>13</v>
      </c>
      <c r="AV66" s="143">
        <f>AW66+AX66</f>
        <v>0</v>
      </c>
      <c r="AW66" s="143">
        <f>G66*AO66</f>
        <v>0</v>
      </c>
      <c r="AX66" s="143">
        <f>G66*AP66</f>
        <v>0</v>
      </c>
      <c r="AY66" s="144" t="s">
        <v>887</v>
      </c>
      <c r="AZ66" s="144" t="s">
        <v>907</v>
      </c>
      <c r="BA66" s="137" t="s">
        <v>953</v>
      </c>
      <c r="BC66" s="143">
        <f>AW66+AX66</f>
        <v>0</v>
      </c>
      <c r="BD66" s="143">
        <f>H66/(100-BE66)*100</f>
        <v>0</v>
      </c>
      <c r="BE66" s="143">
        <v>0</v>
      </c>
      <c r="BF66" s="143">
        <f>66</f>
        <v>66</v>
      </c>
      <c r="BH66" s="141">
        <f>G66*AO66</f>
        <v>0</v>
      </c>
      <c r="BI66" s="141">
        <f>G66*AP66</f>
        <v>0</v>
      </c>
      <c r="BJ66" s="141">
        <f>G66*H66</f>
        <v>0</v>
      </c>
    </row>
    <row r="67" spans="1:12" ht="12.75">
      <c r="A67" s="154"/>
      <c r="B67" s="154"/>
      <c r="C67" s="60" t="s">
        <v>445</v>
      </c>
      <c r="D67" s="61"/>
      <c r="E67" s="61"/>
      <c r="F67" s="154"/>
      <c r="G67" s="12">
        <v>1</v>
      </c>
      <c r="I67" s="154"/>
      <c r="J67" s="154"/>
      <c r="K67" s="154"/>
      <c r="L67" s="154"/>
    </row>
    <row r="68" spans="1:62" ht="12.75">
      <c r="A68" s="3" t="s">
        <v>30</v>
      </c>
      <c r="B68" s="3" t="s">
        <v>234</v>
      </c>
      <c r="C68" s="58" t="s">
        <v>446</v>
      </c>
      <c r="D68" s="59"/>
      <c r="E68" s="59"/>
      <c r="F68" s="3" t="s">
        <v>816</v>
      </c>
      <c r="G68" s="11">
        <v>2</v>
      </c>
      <c r="H68" s="141">
        <v>0</v>
      </c>
      <c r="I68" s="11">
        <f>G68*AO68</f>
        <v>0</v>
      </c>
      <c r="J68" s="11">
        <f>G68*AP68</f>
        <v>0</v>
      </c>
      <c r="K68" s="11">
        <f>G68*H68</f>
        <v>0</v>
      </c>
      <c r="L68" s="17" t="s">
        <v>845</v>
      </c>
      <c r="Z68" s="143">
        <f>IF(AQ68="5",BJ68,0)</f>
        <v>0</v>
      </c>
      <c r="AB68" s="143">
        <f>IF(AQ68="1",BH68,0)</f>
        <v>0</v>
      </c>
      <c r="AC68" s="143">
        <f>IF(AQ68="1",BI68,0)</f>
        <v>0</v>
      </c>
      <c r="AD68" s="143">
        <f>IF(AQ68="7",BH68,0)</f>
        <v>0</v>
      </c>
      <c r="AE68" s="143">
        <f>IF(AQ68="7",BI68,0)</f>
        <v>0</v>
      </c>
      <c r="AF68" s="143">
        <f>IF(AQ68="2",BH68,0)</f>
        <v>0</v>
      </c>
      <c r="AG68" s="143">
        <f>IF(AQ68="2",BI68,0)</f>
        <v>0</v>
      </c>
      <c r="AH68" s="143">
        <f>IF(AQ68="0",BJ68,0)</f>
        <v>0</v>
      </c>
      <c r="AI68" s="137" t="s">
        <v>857</v>
      </c>
      <c r="AJ68" s="141">
        <f>IF(AN68=0,K68,0)</f>
        <v>0</v>
      </c>
      <c r="AK68" s="141">
        <f>IF(AN68=15,K68,0)</f>
        <v>0</v>
      </c>
      <c r="AL68" s="141">
        <f>IF(AN68=21,K68,0)</f>
        <v>0</v>
      </c>
      <c r="AN68" s="143">
        <v>21</v>
      </c>
      <c r="AO68" s="143">
        <f>H68*0</f>
        <v>0</v>
      </c>
      <c r="AP68" s="143">
        <f>H68*(1-0)</f>
        <v>0</v>
      </c>
      <c r="AQ68" s="142" t="s">
        <v>13</v>
      </c>
      <c r="AV68" s="143">
        <f>AW68+AX68</f>
        <v>0</v>
      </c>
      <c r="AW68" s="143">
        <f>G68*AO68</f>
        <v>0</v>
      </c>
      <c r="AX68" s="143">
        <f>G68*AP68</f>
        <v>0</v>
      </c>
      <c r="AY68" s="144" t="s">
        <v>887</v>
      </c>
      <c r="AZ68" s="144" t="s">
        <v>907</v>
      </c>
      <c r="BA68" s="137" t="s">
        <v>953</v>
      </c>
      <c r="BC68" s="143">
        <f>AW68+AX68</f>
        <v>0</v>
      </c>
      <c r="BD68" s="143">
        <f>H68/(100-BE68)*100</f>
        <v>0</v>
      </c>
      <c r="BE68" s="143">
        <v>0</v>
      </c>
      <c r="BF68" s="143">
        <f>68</f>
        <v>68</v>
      </c>
      <c r="BH68" s="141">
        <f>G68*AO68</f>
        <v>0</v>
      </c>
      <c r="BI68" s="141">
        <f>G68*AP68</f>
        <v>0</v>
      </c>
      <c r="BJ68" s="141">
        <f>G68*H68</f>
        <v>0</v>
      </c>
    </row>
    <row r="69" spans="1:12" ht="12.75">
      <c r="A69" s="154"/>
      <c r="B69" s="154"/>
      <c r="C69" s="60" t="s">
        <v>447</v>
      </c>
      <c r="D69" s="61"/>
      <c r="E69" s="61"/>
      <c r="F69" s="154"/>
      <c r="G69" s="12">
        <v>2</v>
      </c>
      <c r="I69" s="154"/>
      <c r="J69" s="154"/>
      <c r="K69" s="154"/>
      <c r="L69" s="154"/>
    </row>
    <row r="70" spans="1:47" ht="12.75">
      <c r="A70" s="2"/>
      <c r="B70" s="9" t="s">
        <v>213</v>
      </c>
      <c r="C70" s="56" t="s">
        <v>405</v>
      </c>
      <c r="D70" s="57"/>
      <c r="E70" s="57"/>
      <c r="F70" s="2" t="s">
        <v>6</v>
      </c>
      <c r="G70" s="2" t="s">
        <v>6</v>
      </c>
      <c r="H70" s="139" t="s">
        <v>6</v>
      </c>
      <c r="I70" s="23">
        <f>SUM(I71:I81)</f>
        <v>0</v>
      </c>
      <c r="J70" s="23">
        <f>SUM(J71:J81)</f>
        <v>0</v>
      </c>
      <c r="K70" s="23">
        <f>SUM(K71:K81)</f>
        <v>0</v>
      </c>
      <c r="L70" s="16"/>
      <c r="AI70" s="137" t="s">
        <v>857</v>
      </c>
      <c r="AS70" s="140">
        <f>SUM(AJ71:AJ81)</f>
        <v>0</v>
      </c>
      <c r="AT70" s="140">
        <f>SUM(AK71:AK81)</f>
        <v>0</v>
      </c>
      <c r="AU70" s="140">
        <f>SUM(AL71:AL81)</f>
        <v>0</v>
      </c>
    </row>
    <row r="71" spans="1:62" ht="12.75">
      <c r="A71" s="3" t="s">
        <v>31</v>
      </c>
      <c r="B71" s="3" t="s">
        <v>235</v>
      </c>
      <c r="C71" s="58" t="s">
        <v>448</v>
      </c>
      <c r="D71" s="59"/>
      <c r="E71" s="59"/>
      <c r="F71" s="3" t="s">
        <v>820</v>
      </c>
      <c r="G71" s="11">
        <v>60</v>
      </c>
      <c r="H71" s="141">
        <v>0</v>
      </c>
      <c r="I71" s="11">
        <f>G71*AO71</f>
        <v>0</v>
      </c>
      <c r="J71" s="11">
        <f>G71*AP71</f>
        <v>0</v>
      </c>
      <c r="K71" s="11">
        <f>G71*H71</f>
        <v>0</v>
      </c>
      <c r="L71" s="17" t="s">
        <v>845</v>
      </c>
      <c r="Z71" s="143">
        <f>IF(AQ71="5",BJ71,0)</f>
        <v>0</v>
      </c>
      <c r="AB71" s="143">
        <f>IF(AQ71="1",BH71,0)</f>
        <v>0</v>
      </c>
      <c r="AC71" s="143">
        <f>IF(AQ71="1",BI71,0)</f>
        <v>0</v>
      </c>
      <c r="AD71" s="143">
        <f>IF(AQ71="7",BH71,0)</f>
        <v>0</v>
      </c>
      <c r="AE71" s="143">
        <f>IF(AQ71="7",BI71,0)</f>
        <v>0</v>
      </c>
      <c r="AF71" s="143">
        <f>IF(AQ71="2",BH71,0)</f>
        <v>0</v>
      </c>
      <c r="AG71" s="143">
        <f>IF(AQ71="2",BI71,0)</f>
        <v>0</v>
      </c>
      <c r="AH71" s="143">
        <f>IF(AQ71="0",BJ71,0)</f>
        <v>0</v>
      </c>
      <c r="AI71" s="137" t="s">
        <v>857</v>
      </c>
      <c r="AJ71" s="141">
        <f>IF(AN71=0,K71,0)</f>
        <v>0</v>
      </c>
      <c r="AK71" s="141">
        <f>IF(AN71=15,K71,0)</f>
        <v>0</v>
      </c>
      <c r="AL71" s="141">
        <f>IF(AN71=21,K71,0)</f>
        <v>0</v>
      </c>
      <c r="AN71" s="143">
        <v>21</v>
      </c>
      <c r="AO71" s="143">
        <f>H71*0.187837837837838</f>
        <v>0</v>
      </c>
      <c r="AP71" s="143">
        <f>H71*(1-0.187837837837838)</f>
        <v>0</v>
      </c>
      <c r="AQ71" s="142" t="s">
        <v>7</v>
      </c>
      <c r="AV71" s="143">
        <f>AW71+AX71</f>
        <v>0</v>
      </c>
      <c r="AW71" s="143">
        <f>G71*AO71</f>
        <v>0</v>
      </c>
      <c r="AX71" s="143">
        <f>G71*AP71</f>
        <v>0</v>
      </c>
      <c r="AY71" s="144" t="s">
        <v>883</v>
      </c>
      <c r="AZ71" s="144" t="s">
        <v>908</v>
      </c>
      <c r="BA71" s="137" t="s">
        <v>953</v>
      </c>
      <c r="BC71" s="143">
        <f>AW71+AX71</f>
        <v>0</v>
      </c>
      <c r="BD71" s="143">
        <f>H71/(100-BE71)*100</f>
        <v>0</v>
      </c>
      <c r="BE71" s="143">
        <v>0</v>
      </c>
      <c r="BF71" s="143">
        <f>71</f>
        <v>71</v>
      </c>
      <c r="BH71" s="141">
        <f>G71*AO71</f>
        <v>0</v>
      </c>
      <c r="BI71" s="141">
        <f>G71*AP71</f>
        <v>0</v>
      </c>
      <c r="BJ71" s="141">
        <f>G71*H71</f>
        <v>0</v>
      </c>
    </row>
    <row r="72" spans="1:12" ht="12.75">
      <c r="A72" s="154"/>
      <c r="B72" s="154"/>
      <c r="C72" s="60" t="s">
        <v>449</v>
      </c>
      <c r="D72" s="61"/>
      <c r="E72" s="61"/>
      <c r="F72" s="154"/>
      <c r="G72" s="12">
        <v>60</v>
      </c>
      <c r="I72" s="154"/>
      <c r="J72" s="154"/>
      <c r="K72" s="154"/>
      <c r="L72" s="154"/>
    </row>
    <row r="73" spans="1:62" ht="12.75">
      <c r="A73" s="3" t="s">
        <v>32</v>
      </c>
      <c r="B73" s="3" t="s">
        <v>236</v>
      </c>
      <c r="C73" s="58" t="s">
        <v>450</v>
      </c>
      <c r="D73" s="59"/>
      <c r="E73" s="59"/>
      <c r="F73" s="3" t="s">
        <v>820</v>
      </c>
      <c r="G73" s="11">
        <v>30</v>
      </c>
      <c r="H73" s="141">
        <v>0</v>
      </c>
      <c r="I73" s="11">
        <f>G73*AO73</f>
        <v>0</v>
      </c>
      <c r="J73" s="11">
        <f>G73*AP73</f>
        <v>0</v>
      </c>
      <c r="K73" s="11">
        <f>G73*H73</f>
        <v>0</v>
      </c>
      <c r="L73" s="17" t="s">
        <v>845</v>
      </c>
      <c r="Z73" s="143">
        <f>IF(AQ73="5",BJ73,0)</f>
        <v>0</v>
      </c>
      <c r="AB73" s="143">
        <f>IF(AQ73="1",BH73,0)</f>
        <v>0</v>
      </c>
      <c r="AC73" s="143">
        <f>IF(AQ73="1",BI73,0)</f>
        <v>0</v>
      </c>
      <c r="AD73" s="143">
        <f>IF(AQ73="7",BH73,0)</f>
        <v>0</v>
      </c>
      <c r="AE73" s="143">
        <f>IF(AQ73="7",BI73,0)</f>
        <v>0</v>
      </c>
      <c r="AF73" s="143">
        <f>IF(AQ73="2",BH73,0)</f>
        <v>0</v>
      </c>
      <c r="AG73" s="143">
        <f>IF(AQ73="2",BI73,0)</f>
        <v>0</v>
      </c>
      <c r="AH73" s="143">
        <f>IF(AQ73="0",BJ73,0)</f>
        <v>0</v>
      </c>
      <c r="AI73" s="137" t="s">
        <v>857</v>
      </c>
      <c r="AJ73" s="141">
        <f>IF(AN73=0,K73,0)</f>
        <v>0</v>
      </c>
      <c r="AK73" s="141">
        <f>IF(AN73=15,K73,0)</f>
        <v>0</v>
      </c>
      <c r="AL73" s="141">
        <f>IF(AN73=21,K73,0)</f>
        <v>0</v>
      </c>
      <c r="AN73" s="143">
        <v>21</v>
      </c>
      <c r="AO73" s="143">
        <f>H73*0.12034632034632</f>
        <v>0</v>
      </c>
      <c r="AP73" s="143">
        <f>H73*(1-0.12034632034632)</f>
        <v>0</v>
      </c>
      <c r="AQ73" s="142" t="s">
        <v>7</v>
      </c>
      <c r="AV73" s="143">
        <f>AW73+AX73</f>
        <v>0</v>
      </c>
      <c r="AW73" s="143">
        <f>G73*AO73</f>
        <v>0</v>
      </c>
      <c r="AX73" s="143">
        <f>G73*AP73</f>
        <v>0</v>
      </c>
      <c r="AY73" s="144" t="s">
        <v>883</v>
      </c>
      <c r="AZ73" s="144" t="s">
        <v>908</v>
      </c>
      <c r="BA73" s="137" t="s">
        <v>953</v>
      </c>
      <c r="BC73" s="143">
        <f>AW73+AX73</f>
        <v>0</v>
      </c>
      <c r="BD73" s="143">
        <f>H73/(100-BE73)*100</f>
        <v>0</v>
      </c>
      <c r="BE73" s="143">
        <v>0</v>
      </c>
      <c r="BF73" s="143">
        <f>73</f>
        <v>73</v>
      </c>
      <c r="BH73" s="141">
        <f>G73*AO73</f>
        <v>0</v>
      </c>
      <c r="BI73" s="141">
        <f>G73*AP73</f>
        <v>0</v>
      </c>
      <c r="BJ73" s="141">
        <f>G73*H73</f>
        <v>0</v>
      </c>
    </row>
    <row r="74" spans="1:12" ht="12.75">
      <c r="A74" s="154"/>
      <c r="B74" s="154"/>
      <c r="C74" s="60" t="s">
        <v>451</v>
      </c>
      <c r="D74" s="61"/>
      <c r="E74" s="61"/>
      <c r="F74" s="154"/>
      <c r="G74" s="12">
        <v>30</v>
      </c>
      <c r="I74" s="154"/>
      <c r="J74" s="154"/>
      <c r="K74" s="154"/>
      <c r="L74" s="154"/>
    </row>
    <row r="75" spans="1:62" ht="12.75">
      <c r="A75" s="3" t="s">
        <v>33</v>
      </c>
      <c r="B75" s="3" t="s">
        <v>236</v>
      </c>
      <c r="C75" s="58" t="s">
        <v>450</v>
      </c>
      <c r="D75" s="59"/>
      <c r="E75" s="59"/>
      <c r="F75" s="3" t="s">
        <v>820</v>
      </c>
      <c r="G75" s="11">
        <v>25</v>
      </c>
      <c r="H75" s="141">
        <v>0</v>
      </c>
      <c r="I75" s="11">
        <f>G75*AO75</f>
        <v>0</v>
      </c>
      <c r="J75" s="11">
        <f>G75*AP75</f>
        <v>0</v>
      </c>
      <c r="K75" s="11">
        <f>G75*H75</f>
        <v>0</v>
      </c>
      <c r="L75" s="17" t="s">
        <v>845</v>
      </c>
      <c r="Z75" s="143">
        <f>IF(AQ75="5",BJ75,0)</f>
        <v>0</v>
      </c>
      <c r="AB75" s="143">
        <f>IF(AQ75="1",BH75,0)</f>
        <v>0</v>
      </c>
      <c r="AC75" s="143">
        <f>IF(AQ75="1",BI75,0)</f>
        <v>0</v>
      </c>
      <c r="AD75" s="143">
        <f>IF(AQ75="7",BH75,0)</f>
        <v>0</v>
      </c>
      <c r="AE75" s="143">
        <f>IF(AQ75="7",BI75,0)</f>
        <v>0</v>
      </c>
      <c r="AF75" s="143">
        <f>IF(AQ75="2",BH75,0)</f>
        <v>0</v>
      </c>
      <c r="AG75" s="143">
        <f>IF(AQ75="2",BI75,0)</f>
        <v>0</v>
      </c>
      <c r="AH75" s="143">
        <f>IF(AQ75="0",BJ75,0)</f>
        <v>0</v>
      </c>
      <c r="AI75" s="137" t="s">
        <v>857</v>
      </c>
      <c r="AJ75" s="141">
        <f>IF(AN75=0,K75,0)</f>
        <v>0</v>
      </c>
      <c r="AK75" s="141">
        <f>IF(AN75=15,K75,0)</f>
        <v>0</v>
      </c>
      <c r="AL75" s="141">
        <f>IF(AN75=21,K75,0)</f>
        <v>0</v>
      </c>
      <c r="AN75" s="143">
        <v>21</v>
      </c>
      <c r="AO75" s="143">
        <f>H75*0.12034632034632</f>
        <v>0</v>
      </c>
      <c r="AP75" s="143">
        <f>H75*(1-0.12034632034632)</f>
        <v>0</v>
      </c>
      <c r="AQ75" s="142" t="s">
        <v>7</v>
      </c>
      <c r="AV75" s="143">
        <f>AW75+AX75</f>
        <v>0</v>
      </c>
      <c r="AW75" s="143">
        <f>G75*AO75</f>
        <v>0</v>
      </c>
      <c r="AX75" s="143">
        <f>G75*AP75</f>
        <v>0</v>
      </c>
      <c r="AY75" s="144" t="s">
        <v>883</v>
      </c>
      <c r="AZ75" s="144" t="s">
        <v>908</v>
      </c>
      <c r="BA75" s="137" t="s">
        <v>953</v>
      </c>
      <c r="BC75" s="143">
        <f>AW75+AX75</f>
        <v>0</v>
      </c>
      <c r="BD75" s="143">
        <f>H75/(100-BE75)*100</f>
        <v>0</v>
      </c>
      <c r="BE75" s="143">
        <v>0</v>
      </c>
      <c r="BF75" s="143">
        <f>75</f>
        <v>75</v>
      </c>
      <c r="BH75" s="141">
        <f>G75*AO75</f>
        <v>0</v>
      </c>
      <c r="BI75" s="141">
        <f>G75*AP75</f>
        <v>0</v>
      </c>
      <c r="BJ75" s="141">
        <f>G75*H75</f>
        <v>0</v>
      </c>
    </row>
    <row r="76" spans="1:12" ht="12.75">
      <c r="A76" s="154"/>
      <c r="B76" s="154"/>
      <c r="C76" s="60" t="s">
        <v>452</v>
      </c>
      <c r="D76" s="61"/>
      <c r="E76" s="61"/>
      <c r="F76" s="154"/>
      <c r="G76" s="12">
        <v>25</v>
      </c>
      <c r="I76" s="154"/>
      <c r="J76" s="154"/>
      <c r="K76" s="154"/>
      <c r="L76" s="154"/>
    </row>
    <row r="77" spans="1:62" ht="12.75">
      <c r="A77" s="3" t="s">
        <v>34</v>
      </c>
      <c r="B77" s="3" t="s">
        <v>235</v>
      </c>
      <c r="C77" s="58" t="s">
        <v>448</v>
      </c>
      <c r="D77" s="59"/>
      <c r="E77" s="59"/>
      <c r="F77" s="3" t="s">
        <v>820</v>
      </c>
      <c r="G77" s="11">
        <v>65</v>
      </c>
      <c r="H77" s="141">
        <v>0</v>
      </c>
      <c r="I77" s="11">
        <f>G77*AO77</f>
        <v>0</v>
      </c>
      <c r="J77" s="11">
        <f>G77*AP77</f>
        <v>0</v>
      </c>
      <c r="K77" s="11">
        <f>G77*H77</f>
        <v>0</v>
      </c>
      <c r="L77" s="17" t="s">
        <v>845</v>
      </c>
      <c r="Z77" s="143">
        <f>IF(AQ77="5",BJ77,0)</f>
        <v>0</v>
      </c>
      <c r="AB77" s="143">
        <f>IF(AQ77="1",BH77,0)</f>
        <v>0</v>
      </c>
      <c r="AC77" s="143">
        <f>IF(AQ77="1",BI77,0)</f>
        <v>0</v>
      </c>
      <c r="AD77" s="143">
        <f>IF(AQ77="7",BH77,0)</f>
        <v>0</v>
      </c>
      <c r="AE77" s="143">
        <f>IF(AQ77="7",BI77,0)</f>
        <v>0</v>
      </c>
      <c r="AF77" s="143">
        <f>IF(AQ77="2",BH77,0)</f>
        <v>0</v>
      </c>
      <c r="AG77" s="143">
        <f>IF(AQ77="2",BI77,0)</f>
        <v>0</v>
      </c>
      <c r="AH77" s="143">
        <f>IF(AQ77="0",BJ77,0)</f>
        <v>0</v>
      </c>
      <c r="AI77" s="137" t="s">
        <v>857</v>
      </c>
      <c r="AJ77" s="141">
        <f>IF(AN77=0,K77,0)</f>
        <v>0</v>
      </c>
      <c r="AK77" s="141">
        <f>IF(AN77=15,K77,0)</f>
        <v>0</v>
      </c>
      <c r="AL77" s="141">
        <f>IF(AN77=21,K77,0)</f>
        <v>0</v>
      </c>
      <c r="AN77" s="143">
        <v>21</v>
      </c>
      <c r="AO77" s="143">
        <f>H77*0.187837837837838</f>
        <v>0</v>
      </c>
      <c r="AP77" s="143">
        <f>H77*(1-0.187837837837838)</f>
        <v>0</v>
      </c>
      <c r="AQ77" s="142" t="s">
        <v>7</v>
      </c>
      <c r="AV77" s="143">
        <f>AW77+AX77</f>
        <v>0</v>
      </c>
      <c r="AW77" s="143">
        <f>G77*AO77</f>
        <v>0</v>
      </c>
      <c r="AX77" s="143">
        <f>G77*AP77</f>
        <v>0</v>
      </c>
      <c r="AY77" s="144" t="s">
        <v>883</v>
      </c>
      <c r="AZ77" s="144" t="s">
        <v>908</v>
      </c>
      <c r="BA77" s="137" t="s">
        <v>953</v>
      </c>
      <c r="BC77" s="143">
        <f>AW77+AX77</f>
        <v>0</v>
      </c>
      <c r="BD77" s="143">
        <f>H77/(100-BE77)*100</f>
        <v>0</v>
      </c>
      <c r="BE77" s="143">
        <v>0</v>
      </c>
      <c r="BF77" s="143">
        <f>77</f>
        <v>77</v>
      </c>
      <c r="BH77" s="141">
        <f>G77*AO77</f>
        <v>0</v>
      </c>
      <c r="BI77" s="141">
        <f>G77*AP77</f>
        <v>0</v>
      </c>
      <c r="BJ77" s="141">
        <f>G77*H77</f>
        <v>0</v>
      </c>
    </row>
    <row r="78" spans="1:12" ht="12.75">
      <c r="A78" s="154"/>
      <c r="B78" s="154"/>
      <c r="C78" s="60" t="s">
        <v>453</v>
      </c>
      <c r="D78" s="61"/>
      <c r="E78" s="61"/>
      <c r="F78" s="154"/>
      <c r="G78" s="12">
        <v>65</v>
      </c>
      <c r="I78" s="154"/>
      <c r="J78" s="154"/>
      <c r="K78" s="154"/>
      <c r="L78" s="154"/>
    </row>
    <row r="79" spans="1:62" ht="12.75">
      <c r="A79" s="3" t="s">
        <v>35</v>
      </c>
      <c r="B79" s="3" t="s">
        <v>236</v>
      </c>
      <c r="C79" s="58" t="s">
        <v>450</v>
      </c>
      <c r="D79" s="59"/>
      <c r="E79" s="59"/>
      <c r="F79" s="3" t="s">
        <v>820</v>
      </c>
      <c r="G79" s="11">
        <v>25</v>
      </c>
      <c r="H79" s="141">
        <v>0</v>
      </c>
      <c r="I79" s="11">
        <f>G79*AO79</f>
        <v>0</v>
      </c>
      <c r="J79" s="11">
        <f>G79*AP79</f>
        <v>0</v>
      </c>
      <c r="K79" s="11">
        <f>G79*H79</f>
        <v>0</v>
      </c>
      <c r="L79" s="17" t="s">
        <v>845</v>
      </c>
      <c r="Z79" s="143">
        <f>IF(AQ79="5",BJ79,0)</f>
        <v>0</v>
      </c>
      <c r="AB79" s="143">
        <f>IF(AQ79="1",BH79,0)</f>
        <v>0</v>
      </c>
      <c r="AC79" s="143">
        <f>IF(AQ79="1",BI79,0)</f>
        <v>0</v>
      </c>
      <c r="AD79" s="143">
        <f>IF(AQ79="7",BH79,0)</f>
        <v>0</v>
      </c>
      <c r="AE79" s="143">
        <f>IF(AQ79="7",BI79,0)</f>
        <v>0</v>
      </c>
      <c r="AF79" s="143">
        <f>IF(AQ79="2",BH79,0)</f>
        <v>0</v>
      </c>
      <c r="AG79" s="143">
        <f>IF(AQ79="2",BI79,0)</f>
        <v>0</v>
      </c>
      <c r="AH79" s="143">
        <f>IF(AQ79="0",BJ79,0)</f>
        <v>0</v>
      </c>
      <c r="AI79" s="137" t="s">
        <v>857</v>
      </c>
      <c r="AJ79" s="141">
        <f>IF(AN79=0,K79,0)</f>
        <v>0</v>
      </c>
      <c r="AK79" s="141">
        <f>IF(AN79=15,K79,0)</f>
        <v>0</v>
      </c>
      <c r="AL79" s="141">
        <f>IF(AN79=21,K79,0)</f>
        <v>0</v>
      </c>
      <c r="AN79" s="143">
        <v>21</v>
      </c>
      <c r="AO79" s="143">
        <f>H79*0.12034632034632</f>
        <v>0</v>
      </c>
      <c r="AP79" s="143">
        <f>H79*(1-0.12034632034632)</f>
        <v>0</v>
      </c>
      <c r="AQ79" s="142" t="s">
        <v>7</v>
      </c>
      <c r="AV79" s="143">
        <f>AW79+AX79</f>
        <v>0</v>
      </c>
      <c r="AW79" s="143">
        <f>G79*AO79</f>
        <v>0</v>
      </c>
      <c r="AX79" s="143">
        <f>G79*AP79</f>
        <v>0</v>
      </c>
      <c r="AY79" s="144" t="s">
        <v>883</v>
      </c>
      <c r="AZ79" s="144" t="s">
        <v>908</v>
      </c>
      <c r="BA79" s="137" t="s">
        <v>953</v>
      </c>
      <c r="BC79" s="143">
        <f>AW79+AX79</f>
        <v>0</v>
      </c>
      <c r="BD79" s="143">
        <f>H79/(100-BE79)*100</f>
        <v>0</v>
      </c>
      <c r="BE79" s="143">
        <v>0</v>
      </c>
      <c r="BF79" s="143">
        <f>79</f>
        <v>79</v>
      </c>
      <c r="BH79" s="141">
        <f>G79*AO79</f>
        <v>0</v>
      </c>
      <c r="BI79" s="141">
        <f>G79*AP79</f>
        <v>0</v>
      </c>
      <c r="BJ79" s="141">
        <f>G79*H79</f>
        <v>0</v>
      </c>
    </row>
    <row r="80" spans="1:12" ht="12.75">
      <c r="A80" s="154"/>
      <c r="B80" s="154"/>
      <c r="C80" s="60" t="s">
        <v>454</v>
      </c>
      <c r="D80" s="61"/>
      <c r="E80" s="61"/>
      <c r="F80" s="154"/>
      <c r="G80" s="12">
        <v>25</v>
      </c>
      <c r="I80" s="154"/>
      <c r="J80" s="154"/>
      <c r="K80" s="154"/>
      <c r="L80" s="154"/>
    </row>
    <row r="81" spans="1:62" ht="12.75">
      <c r="A81" s="3" t="s">
        <v>36</v>
      </c>
      <c r="B81" s="3" t="s">
        <v>236</v>
      </c>
      <c r="C81" s="58" t="s">
        <v>450</v>
      </c>
      <c r="D81" s="59"/>
      <c r="E81" s="59"/>
      <c r="F81" s="3" t="s">
        <v>820</v>
      </c>
      <c r="G81" s="11">
        <v>80</v>
      </c>
      <c r="H81" s="141">
        <v>0</v>
      </c>
      <c r="I81" s="11">
        <f>G81*AO81</f>
        <v>0</v>
      </c>
      <c r="J81" s="11">
        <f>G81*AP81</f>
        <v>0</v>
      </c>
      <c r="K81" s="11">
        <f>G81*H81</f>
        <v>0</v>
      </c>
      <c r="L81" s="17" t="s">
        <v>845</v>
      </c>
      <c r="Z81" s="143">
        <f>IF(AQ81="5",BJ81,0)</f>
        <v>0</v>
      </c>
      <c r="AB81" s="143">
        <f>IF(AQ81="1",BH81,0)</f>
        <v>0</v>
      </c>
      <c r="AC81" s="143">
        <f>IF(AQ81="1",BI81,0)</f>
        <v>0</v>
      </c>
      <c r="AD81" s="143">
        <f>IF(AQ81="7",BH81,0)</f>
        <v>0</v>
      </c>
      <c r="AE81" s="143">
        <f>IF(AQ81="7",BI81,0)</f>
        <v>0</v>
      </c>
      <c r="AF81" s="143">
        <f>IF(AQ81="2",BH81,0)</f>
        <v>0</v>
      </c>
      <c r="AG81" s="143">
        <f>IF(AQ81="2",BI81,0)</f>
        <v>0</v>
      </c>
      <c r="AH81" s="143">
        <f>IF(AQ81="0",BJ81,0)</f>
        <v>0</v>
      </c>
      <c r="AI81" s="137" t="s">
        <v>857</v>
      </c>
      <c r="AJ81" s="141">
        <f>IF(AN81=0,K81,0)</f>
        <v>0</v>
      </c>
      <c r="AK81" s="141">
        <f>IF(AN81=15,K81,0)</f>
        <v>0</v>
      </c>
      <c r="AL81" s="141">
        <f>IF(AN81=21,K81,0)</f>
        <v>0</v>
      </c>
      <c r="AN81" s="143">
        <v>21</v>
      </c>
      <c r="AO81" s="143">
        <f>H81*0.12034632034632</f>
        <v>0</v>
      </c>
      <c r="AP81" s="143">
        <f>H81*(1-0.12034632034632)</f>
        <v>0</v>
      </c>
      <c r="AQ81" s="142" t="s">
        <v>7</v>
      </c>
      <c r="AV81" s="143">
        <f>AW81+AX81</f>
        <v>0</v>
      </c>
      <c r="AW81" s="143">
        <f>G81*AO81</f>
        <v>0</v>
      </c>
      <c r="AX81" s="143">
        <f>G81*AP81</f>
        <v>0</v>
      </c>
      <c r="AY81" s="144" t="s">
        <v>883</v>
      </c>
      <c r="AZ81" s="144" t="s">
        <v>908</v>
      </c>
      <c r="BA81" s="137" t="s">
        <v>953</v>
      </c>
      <c r="BC81" s="143">
        <f>AW81+AX81</f>
        <v>0</v>
      </c>
      <c r="BD81" s="143">
        <f>H81/(100-BE81)*100</f>
        <v>0</v>
      </c>
      <c r="BE81" s="143">
        <v>0</v>
      </c>
      <c r="BF81" s="143">
        <f>81</f>
        <v>81</v>
      </c>
      <c r="BH81" s="141">
        <f>G81*AO81</f>
        <v>0</v>
      </c>
      <c r="BI81" s="141">
        <f>G81*AP81</f>
        <v>0</v>
      </c>
      <c r="BJ81" s="141">
        <f>G81*H81</f>
        <v>0</v>
      </c>
    </row>
    <row r="82" spans="1:12" ht="12.75">
      <c r="A82" s="154"/>
      <c r="B82" s="154"/>
      <c r="C82" s="60" t="s">
        <v>455</v>
      </c>
      <c r="D82" s="61"/>
      <c r="E82" s="61"/>
      <c r="F82" s="154"/>
      <c r="G82" s="12">
        <v>80</v>
      </c>
      <c r="I82" s="154"/>
      <c r="J82" s="154"/>
      <c r="K82" s="154"/>
      <c r="L82" s="154"/>
    </row>
    <row r="83" spans="1:47" ht="12.75">
      <c r="A83" s="2"/>
      <c r="B83" s="9" t="s">
        <v>102</v>
      </c>
      <c r="C83" s="56" t="s">
        <v>408</v>
      </c>
      <c r="D83" s="57"/>
      <c r="E83" s="57"/>
      <c r="F83" s="2" t="s">
        <v>6</v>
      </c>
      <c r="G83" s="2" t="s">
        <v>6</v>
      </c>
      <c r="H83" s="139" t="s">
        <v>6</v>
      </c>
      <c r="I83" s="23">
        <f>SUM(I84:I86)</f>
        <v>0</v>
      </c>
      <c r="J83" s="23">
        <f>SUM(J84:J86)</f>
        <v>0</v>
      </c>
      <c r="K83" s="23">
        <f>SUM(K84:K86)</f>
        <v>0</v>
      </c>
      <c r="L83" s="16"/>
      <c r="AI83" s="137" t="s">
        <v>857</v>
      </c>
      <c r="AS83" s="140">
        <f>SUM(AJ84:AJ86)</f>
        <v>0</v>
      </c>
      <c r="AT83" s="140">
        <f>SUM(AK84:AK86)</f>
        <v>0</v>
      </c>
      <c r="AU83" s="140">
        <f>SUM(AL84:AL86)</f>
        <v>0</v>
      </c>
    </row>
    <row r="84" spans="1:62" ht="12.75">
      <c r="A84" s="3" t="s">
        <v>37</v>
      </c>
      <c r="B84" s="3" t="s">
        <v>237</v>
      </c>
      <c r="C84" s="58" t="s">
        <v>456</v>
      </c>
      <c r="D84" s="59"/>
      <c r="E84" s="59"/>
      <c r="F84" s="3" t="s">
        <v>821</v>
      </c>
      <c r="G84" s="11">
        <v>6.528</v>
      </c>
      <c r="H84" s="141">
        <v>0</v>
      </c>
      <c r="I84" s="11">
        <f>G84*AO84</f>
        <v>0</v>
      </c>
      <c r="J84" s="11">
        <f>G84*AP84</f>
        <v>0</v>
      </c>
      <c r="K84" s="11">
        <f>G84*H84</f>
        <v>0</v>
      </c>
      <c r="L84" s="17" t="s">
        <v>845</v>
      </c>
      <c r="Z84" s="143">
        <f>IF(AQ84="5",BJ84,0)</f>
        <v>0</v>
      </c>
      <c r="AB84" s="143">
        <f>IF(AQ84="1",BH84,0)</f>
        <v>0</v>
      </c>
      <c r="AC84" s="143">
        <f>IF(AQ84="1",BI84,0)</f>
        <v>0</v>
      </c>
      <c r="AD84" s="143">
        <f>IF(AQ84="7",BH84,0)</f>
        <v>0</v>
      </c>
      <c r="AE84" s="143">
        <f>IF(AQ84="7",BI84,0)</f>
        <v>0</v>
      </c>
      <c r="AF84" s="143">
        <f>IF(AQ84="2",BH84,0)</f>
        <v>0</v>
      </c>
      <c r="AG84" s="143">
        <f>IF(AQ84="2",BI84,0)</f>
        <v>0</v>
      </c>
      <c r="AH84" s="143">
        <f>IF(AQ84="0",BJ84,0)</f>
        <v>0</v>
      </c>
      <c r="AI84" s="137" t="s">
        <v>857</v>
      </c>
      <c r="AJ84" s="141">
        <f>IF(AN84=0,K84,0)</f>
        <v>0</v>
      </c>
      <c r="AK84" s="141">
        <f>IF(AN84=15,K84,0)</f>
        <v>0</v>
      </c>
      <c r="AL84" s="141">
        <f>IF(AN84=21,K84,0)</f>
        <v>0</v>
      </c>
      <c r="AN84" s="143">
        <v>21</v>
      </c>
      <c r="AO84" s="143">
        <f>H84*0</f>
        <v>0</v>
      </c>
      <c r="AP84" s="143">
        <f>H84*(1-0)</f>
        <v>0</v>
      </c>
      <c r="AQ84" s="142" t="s">
        <v>7</v>
      </c>
      <c r="AV84" s="143">
        <f>AW84+AX84</f>
        <v>0</v>
      </c>
      <c r="AW84" s="143">
        <f>G84*AO84</f>
        <v>0</v>
      </c>
      <c r="AX84" s="143">
        <f>G84*AP84</f>
        <v>0</v>
      </c>
      <c r="AY84" s="144" t="s">
        <v>884</v>
      </c>
      <c r="AZ84" s="144" t="s">
        <v>908</v>
      </c>
      <c r="BA84" s="137" t="s">
        <v>953</v>
      </c>
      <c r="BC84" s="143">
        <f>AW84+AX84</f>
        <v>0</v>
      </c>
      <c r="BD84" s="143">
        <f>H84/(100-BE84)*100</f>
        <v>0</v>
      </c>
      <c r="BE84" s="143">
        <v>0</v>
      </c>
      <c r="BF84" s="143">
        <f>84</f>
        <v>84</v>
      </c>
      <c r="BH84" s="141">
        <f>G84*AO84</f>
        <v>0</v>
      </c>
      <c r="BI84" s="141">
        <f>G84*AP84</f>
        <v>0</v>
      </c>
      <c r="BJ84" s="141">
        <f>G84*H84</f>
        <v>0</v>
      </c>
    </row>
    <row r="85" spans="1:12" ht="12.75">
      <c r="A85" s="154"/>
      <c r="B85" s="154"/>
      <c r="C85" s="60" t="s">
        <v>457</v>
      </c>
      <c r="D85" s="61"/>
      <c r="E85" s="61"/>
      <c r="F85" s="154"/>
      <c r="G85" s="12">
        <v>6.528</v>
      </c>
      <c r="I85" s="154"/>
      <c r="J85" s="154"/>
      <c r="K85" s="154"/>
      <c r="L85" s="154"/>
    </row>
    <row r="86" spans="1:62" ht="12.75">
      <c r="A86" s="3" t="s">
        <v>38</v>
      </c>
      <c r="B86" s="3" t="s">
        <v>237</v>
      </c>
      <c r="C86" s="58" t="s">
        <v>458</v>
      </c>
      <c r="D86" s="59"/>
      <c r="E86" s="59"/>
      <c r="F86" s="3" t="s">
        <v>821</v>
      </c>
      <c r="G86" s="11">
        <v>2.45</v>
      </c>
      <c r="H86" s="141">
        <v>0</v>
      </c>
      <c r="I86" s="11">
        <f>G86*AO86</f>
        <v>0</v>
      </c>
      <c r="J86" s="11">
        <f>G86*AP86</f>
        <v>0</v>
      </c>
      <c r="K86" s="11">
        <f>G86*H86</f>
        <v>0</v>
      </c>
      <c r="L86" s="17" t="s">
        <v>845</v>
      </c>
      <c r="Z86" s="143">
        <f>IF(AQ86="5",BJ86,0)</f>
        <v>0</v>
      </c>
      <c r="AB86" s="143">
        <f>IF(AQ86="1",BH86,0)</f>
        <v>0</v>
      </c>
      <c r="AC86" s="143">
        <f>IF(AQ86="1",BI86,0)</f>
        <v>0</v>
      </c>
      <c r="AD86" s="143">
        <f>IF(AQ86="7",BH86,0)</f>
        <v>0</v>
      </c>
      <c r="AE86" s="143">
        <f>IF(AQ86="7",BI86,0)</f>
        <v>0</v>
      </c>
      <c r="AF86" s="143">
        <f>IF(AQ86="2",BH86,0)</f>
        <v>0</v>
      </c>
      <c r="AG86" s="143">
        <f>IF(AQ86="2",BI86,0)</f>
        <v>0</v>
      </c>
      <c r="AH86" s="143">
        <f>IF(AQ86="0",BJ86,0)</f>
        <v>0</v>
      </c>
      <c r="AI86" s="137" t="s">
        <v>857</v>
      </c>
      <c r="AJ86" s="141">
        <f>IF(AN86=0,K86,0)</f>
        <v>0</v>
      </c>
      <c r="AK86" s="141">
        <f>IF(AN86=15,K86,0)</f>
        <v>0</v>
      </c>
      <c r="AL86" s="141">
        <f>IF(AN86=21,K86,0)</f>
        <v>0</v>
      </c>
      <c r="AN86" s="143">
        <v>21</v>
      </c>
      <c r="AO86" s="143">
        <f>H86*0</f>
        <v>0</v>
      </c>
      <c r="AP86" s="143">
        <f>H86*(1-0)</f>
        <v>0</v>
      </c>
      <c r="AQ86" s="142" t="s">
        <v>7</v>
      </c>
      <c r="AV86" s="143">
        <f>AW86+AX86</f>
        <v>0</v>
      </c>
      <c r="AW86" s="143">
        <f>G86*AO86</f>
        <v>0</v>
      </c>
      <c r="AX86" s="143">
        <f>G86*AP86</f>
        <v>0</v>
      </c>
      <c r="AY86" s="144" t="s">
        <v>884</v>
      </c>
      <c r="AZ86" s="144" t="s">
        <v>908</v>
      </c>
      <c r="BA86" s="137" t="s">
        <v>953</v>
      </c>
      <c r="BC86" s="143">
        <f>AW86+AX86</f>
        <v>0</v>
      </c>
      <c r="BD86" s="143">
        <f>H86/(100-BE86)*100</f>
        <v>0</v>
      </c>
      <c r="BE86" s="143">
        <v>0</v>
      </c>
      <c r="BF86" s="143">
        <f>86</f>
        <v>86</v>
      </c>
      <c r="BH86" s="141">
        <f>G86*AO86</f>
        <v>0</v>
      </c>
      <c r="BI86" s="141">
        <f>G86*AP86</f>
        <v>0</v>
      </c>
      <c r="BJ86" s="141">
        <f>G86*H86</f>
        <v>0</v>
      </c>
    </row>
    <row r="87" spans="1:12" ht="12.75">
      <c r="A87" s="154"/>
      <c r="B87" s="154"/>
      <c r="C87" s="60" t="s">
        <v>459</v>
      </c>
      <c r="D87" s="61"/>
      <c r="E87" s="61"/>
      <c r="F87" s="154"/>
      <c r="G87" s="12">
        <v>0.1</v>
      </c>
      <c r="I87" s="154"/>
      <c r="J87" s="154"/>
      <c r="K87" s="154"/>
      <c r="L87" s="154"/>
    </row>
    <row r="88" spans="1:12" ht="12.75">
      <c r="A88" s="154"/>
      <c r="B88" s="154"/>
      <c r="C88" s="60" t="s">
        <v>460</v>
      </c>
      <c r="D88" s="61"/>
      <c r="E88" s="61"/>
      <c r="F88" s="154"/>
      <c r="G88" s="12">
        <v>0.05</v>
      </c>
      <c r="I88" s="154"/>
      <c r="J88" s="154"/>
      <c r="K88" s="154"/>
      <c r="L88" s="154"/>
    </row>
    <row r="89" spans="1:12" ht="12.75">
      <c r="A89" s="154"/>
      <c r="B89" s="154"/>
      <c r="C89" s="60" t="s">
        <v>461</v>
      </c>
      <c r="D89" s="61"/>
      <c r="E89" s="61"/>
      <c r="F89" s="154"/>
      <c r="G89" s="12">
        <v>1.25</v>
      </c>
      <c r="I89" s="154"/>
      <c r="J89" s="154"/>
      <c r="K89" s="154"/>
      <c r="L89" s="154"/>
    </row>
    <row r="90" spans="1:12" ht="12.75">
      <c r="A90" s="154"/>
      <c r="B90" s="154"/>
      <c r="C90" s="60" t="s">
        <v>462</v>
      </c>
      <c r="D90" s="61"/>
      <c r="E90" s="61"/>
      <c r="F90" s="154"/>
      <c r="G90" s="12">
        <v>0.25</v>
      </c>
      <c r="I90" s="154"/>
      <c r="J90" s="154"/>
      <c r="K90" s="154"/>
      <c r="L90" s="154"/>
    </row>
    <row r="91" spans="1:12" ht="12.75">
      <c r="A91" s="154"/>
      <c r="B91" s="154"/>
      <c r="C91" s="60" t="s">
        <v>463</v>
      </c>
      <c r="D91" s="61"/>
      <c r="E91" s="61"/>
      <c r="F91" s="154"/>
      <c r="G91" s="12">
        <v>0.1</v>
      </c>
      <c r="I91" s="154"/>
      <c r="J91" s="154"/>
      <c r="K91" s="154"/>
      <c r="L91" s="154"/>
    </row>
    <row r="92" spans="1:12" ht="12.75">
      <c r="A92" s="154"/>
      <c r="B92" s="154"/>
      <c r="C92" s="60" t="s">
        <v>464</v>
      </c>
      <c r="D92" s="61"/>
      <c r="E92" s="61"/>
      <c r="F92" s="154"/>
      <c r="G92" s="12">
        <v>0.1</v>
      </c>
      <c r="I92" s="154"/>
      <c r="J92" s="154"/>
      <c r="K92" s="154"/>
      <c r="L92" s="154"/>
    </row>
    <row r="93" spans="1:12" ht="12.75">
      <c r="A93" s="154"/>
      <c r="B93" s="154"/>
      <c r="C93" s="60" t="s">
        <v>465</v>
      </c>
      <c r="D93" s="61"/>
      <c r="E93" s="61"/>
      <c r="F93" s="154"/>
      <c r="G93" s="12">
        <v>0.1</v>
      </c>
      <c r="I93" s="154"/>
      <c r="J93" s="154"/>
      <c r="K93" s="154"/>
      <c r="L93" s="154"/>
    </row>
    <row r="94" spans="1:12" ht="12.75">
      <c r="A94" s="154"/>
      <c r="B94" s="154"/>
      <c r="C94" s="60" t="s">
        <v>466</v>
      </c>
      <c r="D94" s="61"/>
      <c r="E94" s="61"/>
      <c r="F94" s="154"/>
      <c r="G94" s="12">
        <v>0.5</v>
      </c>
      <c r="I94" s="154"/>
      <c r="J94" s="154"/>
      <c r="K94" s="154"/>
      <c r="L94" s="154"/>
    </row>
    <row r="95" spans="1:47" ht="12.75">
      <c r="A95" s="2"/>
      <c r="B95" s="9" t="s">
        <v>216</v>
      </c>
      <c r="C95" s="56" t="s">
        <v>411</v>
      </c>
      <c r="D95" s="57"/>
      <c r="E95" s="57"/>
      <c r="F95" s="2" t="s">
        <v>6</v>
      </c>
      <c r="G95" s="2" t="s">
        <v>6</v>
      </c>
      <c r="H95" s="139" t="s">
        <v>6</v>
      </c>
      <c r="I95" s="23">
        <f>SUM(I96:I104)</f>
        <v>0</v>
      </c>
      <c r="J95" s="23">
        <f>SUM(J96:J104)</f>
        <v>0</v>
      </c>
      <c r="K95" s="23">
        <f>SUM(K96:K104)</f>
        <v>0</v>
      </c>
      <c r="L95" s="16"/>
      <c r="AI95" s="137" t="s">
        <v>857</v>
      </c>
      <c r="AS95" s="140">
        <f>SUM(AJ96:AJ104)</f>
        <v>0</v>
      </c>
      <c r="AT95" s="140">
        <f>SUM(AK96:AK104)</f>
        <v>0</v>
      </c>
      <c r="AU95" s="140">
        <f>SUM(AL96:AL104)</f>
        <v>0</v>
      </c>
    </row>
    <row r="96" spans="1:62" ht="12.75">
      <c r="A96" s="3" t="s">
        <v>39</v>
      </c>
      <c r="B96" s="3" t="s">
        <v>217</v>
      </c>
      <c r="C96" s="58" t="s">
        <v>412</v>
      </c>
      <c r="D96" s="59"/>
      <c r="E96" s="59"/>
      <c r="F96" s="3" t="s">
        <v>817</v>
      </c>
      <c r="G96" s="11">
        <v>49.313</v>
      </c>
      <c r="H96" s="141">
        <v>0</v>
      </c>
      <c r="I96" s="11">
        <f>G96*AO96</f>
        <v>0</v>
      </c>
      <c r="J96" s="11">
        <f>G96*AP96</f>
        <v>0</v>
      </c>
      <c r="K96" s="11">
        <f>G96*H96</f>
        <v>0</v>
      </c>
      <c r="L96" s="17" t="s">
        <v>845</v>
      </c>
      <c r="Z96" s="143">
        <f>IF(AQ96="5",BJ96,0)</f>
        <v>0</v>
      </c>
      <c r="AB96" s="143">
        <f>IF(AQ96="1",BH96,0)</f>
        <v>0</v>
      </c>
      <c r="AC96" s="143">
        <f>IF(AQ96="1",BI96,0)</f>
        <v>0</v>
      </c>
      <c r="AD96" s="143">
        <f>IF(AQ96="7",BH96,0)</f>
        <v>0</v>
      </c>
      <c r="AE96" s="143">
        <f>IF(AQ96="7",BI96,0)</f>
        <v>0</v>
      </c>
      <c r="AF96" s="143">
        <f>IF(AQ96="2",BH96,0)</f>
        <v>0</v>
      </c>
      <c r="AG96" s="143">
        <f>IF(AQ96="2",BI96,0)</f>
        <v>0</v>
      </c>
      <c r="AH96" s="143">
        <f>IF(AQ96="0",BJ96,0)</f>
        <v>0</v>
      </c>
      <c r="AI96" s="137" t="s">
        <v>857</v>
      </c>
      <c r="AJ96" s="141">
        <f>IF(AN96=0,K96,0)</f>
        <v>0</v>
      </c>
      <c r="AK96" s="141">
        <f>IF(AN96=15,K96,0)</f>
        <v>0</v>
      </c>
      <c r="AL96" s="141">
        <f>IF(AN96=21,K96,0)</f>
        <v>0</v>
      </c>
      <c r="AN96" s="143">
        <v>21</v>
      </c>
      <c r="AO96" s="143">
        <f>H96*0</f>
        <v>0</v>
      </c>
      <c r="AP96" s="143">
        <f>H96*(1-0)</f>
        <v>0</v>
      </c>
      <c r="AQ96" s="142" t="s">
        <v>11</v>
      </c>
      <c r="AV96" s="143">
        <f>AW96+AX96</f>
        <v>0</v>
      </c>
      <c r="AW96" s="143">
        <f>G96*AO96</f>
        <v>0</v>
      </c>
      <c r="AX96" s="143">
        <f>G96*AP96</f>
        <v>0</v>
      </c>
      <c r="AY96" s="144" t="s">
        <v>885</v>
      </c>
      <c r="AZ96" s="144" t="s">
        <v>908</v>
      </c>
      <c r="BA96" s="137" t="s">
        <v>953</v>
      </c>
      <c r="BC96" s="143">
        <f>AW96+AX96</f>
        <v>0</v>
      </c>
      <c r="BD96" s="143">
        <f>H96/(100-BE96)*100</f>
        <v>0</v>
      </c>
      <c r="BE96" s="143">
        <v>0</v>
      </c>
      <c r="BF96" s="143">
        <f>96</f>
        <v>96</v>
      </c>
      <c r="BH96" s="141">
        <f>G96*AO96</f>
        <v>0</v>
      </c>
      <c r="BI96" s="141">
        <f>G96*AP96</f>
        <v>0</v>
      </c>
      <c r="BJ96" s="141">
        <f>G96*H96</f>
        <v>0</v>
      </c>
    </row>
    <row r="97" spans="1:12" ht="12.75">
      <c r="A97" s="154"/>
      <c r="B97" s="154"/>
      <c r="C97" s="60" t="s">
        <v>467</v>
      </c>
      <c r="D97" s="61"/>
      <c r="E97" s="61"/>
      <c r="F97" s="154"/>
      <c r="G97" s="12">
        <v>49.313</v>
      </c>
      <c r="I97" s="154"/>
      <c r="J97" s="154"/>
      <c r="K97" s="154"/>
      <c r="L97" s="154"/>
    </row>
    <row r="98" spans="1:62" ht="12.75">
      <c r="A98" s="3" t="s">
        <v>40</v>
      </c>
      <c r="B98" s="3" t="s">
        <v>218</v>
      </c>
      <c r="C98" s="58" t="s">
        <v>414</v>
      </c>
      <c r="D98" s="59"/>
      <c r="E98" s="59"/>
      <c r="F98" s="3" t="s">
        <v>817</v>
      </c>
      <c r="G98" s="11">
        <v>49.313</v>
      </c>
      <c r="H98" s="141">
        <v>0</v>
      </c>
      <c r="I98" s="11">
        <f>G98*AO98</f>
        <v>0</v>
      </c>
      <c r="J98" s="11">
        <f>G98*AP98</f>
        <v>0</v>
      </c>
      <c r="K98" s="11">
        <f>G98*H98</f>
        <v>0</v>
      </c>
      <c r="L98" s="17" t="s">
        <v>845</v>
      </c>
      <c r="Z98" s="143">
        <f>IF(AQ98="5",BJ98,0)</f>
        <v>0</v>
      </c>
      <c r="AB98" s="143">
        <f>IF(AQ98="1",BH98,0)</f>
        <v>0</v>
      </c>
      <c r="AC98" s="143">
        <f>IF(AQ98="1",BI98,0)</f>
        <v>0</v>
      </c>
      <c r="AD98" s="143">
        <f>IF(AQ98="7",BH98,0)</f>
        <v>0</v>
      </c>
      <c r="AE98" s="143">
        <f>IF(AQ98="7",BI98,0)</f>
        <v>0</v>
      </c>
      <c r="AF98" s="143">
        <f>IF(AQ98="2",BH98,0)</f>
        <v>0</v>
      </c>
      <c r="AG98" s="143">
        <f>IF(AQ98="2",BI98,0)</f>
        <v>0</v>
      </c>
      <c r="AH98" s="143">
        <f>IF(AQ98="0",BJ98,0)</f>
        <v>0</v>
      </c>
      <c r="AI98" s="137" t="s">
        <v>857</v>
      </c>
      <c r="AJ98" s="141">
        <f>IF(AN98=0,K98,0)</f>
        <v>0</v>
      </c>
      <c r="AK98" s="141">
        <f>IF(AN98=15,K98,0)</f>
        <v>0</v>
      </c>
      <c r="AL98" s="141">
        <f>IF(AN98=21,K98,0)</f>
        <v>0</v>
      </c>
      <c r="AN98" s="143">
        <v>21</v>
      </c>
      <c r="AO98" s="143">
        <f>H98*0.00942249065888888</f>
        <v>0</v>
      </c>
      <c r="AP98" s="143">
        <f>H98*(1-0.00942249065888888)</f>
        <v>0</v>
      </c>
      <c r="AQ98" s="142" t="s">
        <v>11</v>
      </c>
      <c r="AV98" s="143">
        <f>AW98+AX98</f>
        <v>0</v>
      </c>
      <c r="AW98" s="143">
        <f>G98*AO98</f>
        <v>0</v>
      </c>
      <c r="AX98" s="143">
        <f>G98*AP98</f>
        <v>0</v>
      </c>
      <c r="AY98" s="144" t="s">
        <v>885</v>
      </c>
      <c r="AZ98" s="144" t="s">
        <v>908</v>
      </c>
      <c r="BA98" s="137" t="s">
        <v>953</v>
      </c>
      <c r="BC98" s="143">
        <f>AW98+AX98</f>
        <v>0</v>
      </c>
      <c r="BD98" s="143">
        <f>H98/(100-BE98)*100</f>
        <v>0</v>
      </c>
      <c r="BE98" s="143">
        <v>0</v>
      </c>
      <c r="BF98" s="143">
        <f>98</f>
        <v>98</v>
      </c>
      <c r="BH98" s="141">
        <f>G98*AO98</f>
        <v>0</v>
      </c>
      <c r="BI98" s="141">
        <f>G98*AP98</f>
        <v>0</v>
      </c>
      <c r="BJ98" s="141">
        <f>G98*H98</f>
        <v>0</v>
      </c>
    </row>
    <row r="99" spans="1:12" ht="12.75">
      <c r="A99" s="154"/>
      <c r="B99" s="154"/>
      <c r="C99" s="60" t="s">
        <v>467</v>
      </c>
      <c r="D99" s="61"/>
      <c r="E99" s="61"/>
      <c r="F99" s="154"/>
      <c r="G99" s="12">
        <v>49.313</v>
      </c>
      <c r="I99" s="154"/>
      <c r="J99" s="154"/>
      <c r="K99" s="154"/>
      <c r="L99" s="154"/>
    </row>
    <row r="100" spans="1:62" ht="12.75">
      <c r="A100" s="3" t="s">
        <v>41</v>
      </c>
      <c r="B100" s="3" t="s">
        <v>219</v>
      </c>
      <c r="C100" s="58" t="s">
        <v>415</v>
      </c>
      <c r="D100" s="59"/>
      <c r="E100" s="59"/>
      <c r="F100" s="3" t="s">
        <v>817</v>
      </c>
      <c r="G100" s="11">
        <v>49.313</v>
      </c>
      <c r="H100" s="141">
        <v>0</v>
      </c>
      <c r="I100" s="11">
        <f>G100*AO100</f>
        <v>0</v>
      </c>
      <c r="J100" s="11">
        <f>G100*AP100</f>
        <v>0</v>
      </c>
      <c r="K100" s="11">
        <f>G100*H100</f>
        <v>0</v>
      </c>
      <c r="L100" s="17" t="s">
        <v>845</v>
      </c>
      <c r="Z100" s="143">
        <f>IF(AQ100="5",BJ100,0)</f>
        <v>0</v>
      </c>
      <c r="AB100" s="143">
        <f>IF(AQ100="1",BH100,0)</f>
        <v>0</v>
      </c>
      <c r="AC100" s="143">
        <f>IF(AQ100="1",BI100,0)</f>
        <v>0</v>
      </c>
      <c r="AD100" s="143">
        <f>IF(AQ100="7",BH100,0)</f>
        <v>0</v>
      </c>
      <c r="AE100" s="143">
        <f>IF(AQ100="7",BI100,0)</f>
        <v>0</v>
      </c>
      <c r="AF100" s="143">
        <f>IF(AQ100="2",BH100,0)</f>
        <v>0</v>
      </c>
      <c r="AG100" s="143">
        <f>IF(AQ100="2",BI100,0)</f>
        <v>0</v>
      </c>
      <c r="AH100" s="143">
        <f>IF(AQ100="0",BJ100,0)</f>
        <v>0</v>
      </c>
      <c r="AI100" s="137" t="s">
        <v>857</v>
      </c>
      <c r="AJ100" s="141">
        <f>IF(AN100=0,K100,0)</f>
        <v>0</v>
      </c>
      <c r="AK100" s="141">
        <f>IF(AN100=15,K100,0)</f>
        <v>0</v>
      </c>
      <c r="AL100" s="141">
        <f>IF(AN100=21,K100,0)</f>
        <v>0</v>
      </c>
      <c r="AN100" s="143">
        <v>21</v>
      </c>
      <c r="AO100" s="143">
        <f>H100*0</f>
        <v>0</v>
      </c>
      <c r="AP100" s="143">
        <f>H100*(1-0)</f>
        <v>0</v>
      </c>
      <c r="AQ100" s="142" t="s">
        <v>11</v>
      </c>
      <c r="AV100" s="143">
        <f>AW100+AX100</f>
        <v>0</v>
      </c>
      <c r="AW100" s="143">
        <f>G100*AO100</f>
        <v>0</v>
      </c>
      <c r="AX100" s="143">
        <f>G100*AP100</f>
        <v>0</v>
      </c>
      <c r="AY100" s="144" t="s">
        <v>885</v>
      </c>
      <c r="AZ100" s="144" t="s">
        <v>908</v>
      </c>
      <c r="BA100" s="137" t="s">
        <v>953</v>
      </c>
      <c r="BC100" s="143">
        <f>AW100+AX100</f>
        <v>0</v>
      </c>
      <c r="BD100" s="143">
        <f>H100/(100-BE100)*100</f>
        <v>0</v>
      </c>
      <c r="BE100" s="143">
        <v>0</v>
      </c>
      <c r="BF100" s="143">
        <f>100</f>
        <v>100</v>
      </c>
      <c r="BH100" s="141">
        <f>G100*AO100</f>
        <v>0</v>
      </c>
      <c r="BI100" s="141">
        <f>G100*AP100</f>
        <v>0</v>
      </c>
      <c r="BJ100" s="141">
        <f>G100*H100</f>
        <v>0</v>
      </c>
    </row>
    <row r="101" spans="1:12" ht="12.75">
      <c r="A101" s="154"/>
      <c r="B101" s="154"/>
      <c r="C101" s="60" t="s">
        <v>467</v>
      </c>
      <c r="D101" s="61"/>
      <c r="E101" s="61"/>
      <c r="F101" s="154"/>
      <c r="G101" s="12">
        <v>49.313</v>
      </c>
      <c r="I101" s="154"/>
      <c r="J101" s="154"/>
      <c r="K101" s="154"/>
      <c r="L101" s="154"/>
    </row>
    <row r="102" spans="1:62" ht="12.75">
      <c r="A102" s="3" t="s">
        <v>42</v>
      </c>
      <c r="B102" s="3" t="s">
        <v>220</v>
      </c>
      <c r="C102" s="58" t="s">
        <v>417</v>
      </c>
      <c r="D102" s="59"/>
      <c r="E102" s="59"/>
      <c r="F102" s="3" t="s">
        <v>817</v>
      </c>
      <c r="G102" s="11">
        <v>49.313</v>
      </c>
      <c r="H102" s="141">
        <v>0</v>
      </c>
      <c r="I102" s="11">
        <f>G102*AO102</f>
        <v>0</v>
      </c>
      <c r="J102" s="11">
        <f>G102*AP102</f>
        <v>0</v>
      </c>
      <c r="K102" s="11">
        <f>G102*H102</f>
        <v>0</v>
      </c>
      <c r="L102" s="17" t="s">
        <v>845</v>
      </c>
      <c r="Z102" s="143">
        <f>IF(AQ102="5",BJ102,0)</f>
        <v>0</v>
      </c>
      <c r="AB102" s="143">
        <f>IF(AQ102="1",BH102,0)</f>
        <v>0</v>
      </c>
      <c r="AC102" s="143">
        <f>IF(AQ102="1",BI102,0)</f>
        <v>0</v>
      </c>
      <c r="AD102" s="143">
        <f>IF(AQ102="7",BH102,0)</f>
        <v>0</v>
      </c>
      <c r="AE102" s="143">
        <f>IF(AQ102="7",BI102,0)</f>
        <v>0</v>
      </c>
      <c r="AF102" s="143">
        <f>IF(AQ102="2",BH102,0)</f>
        <v>0</v>
      </c>
      <c r="AG102" s="143">
        <f>IF(AQ102="2",BI102,0)</f>
        <v>0</v>
      </c>
      <c r="AH102" s="143">
        <f>IF(AQ102="0",BJ102,0)</f>
        <v>0</v>
      </c>
      <c r="AI102" s="137" t="s">
        <v>857</v>
      </c>
      <c r="AJ102" s="141">
        <f>IF(AN102=0,K102,0)</f>
        <v>0</v>
      </c>
      <c r="AK102" s="141">
        <f>IF(AN102=15,K102,0)</f>
        <v>0</v>
      </c>
      <c r="AL102" s="141">
        <f>IF(AN102=21,K102,0)</f>
        <v>0</v>
      </c>
      <c r="AN102" s="143">
        <v>21</v>
      </c>
      <c r="AO102" s="143">
        <f>H102*0</f>
        <v>0</v>
      </c>
      <c r="AP102" s="143">
        <f>H102*(1-0)</f>
        <v>0</v>
      </c>
      <c r="AQ102" s="142" t="s">
        <v>11</v>
      </c>
      <c r="AV102" s="143">
        <f>AW102+AX102</f>
        <v>0</v>
      </c>
      <c r="AW102" s="143">
        <f>G102*AO102</f>
        <v>0</v>
      </c>
      <c r="AX102" s="143">
        <f>G102*AP102</f>
        <v>0</v>
      </c>
      <c r="AY102" s="144" t="s">
        <v>885</v>
      </c>
      <c r="AZ102" s="144" t="s">
        <v>908</v>
      </c>
      <c r="BA102" s="137" t="s">
        <v>953</v>
      </c>
      <c r="BC102" s="143">
        <f>AW102+AX102</f>
        <v>0</v>
      </c>
      <c r="BD102" s="143">
        <f>H102/(100-BE102)*100</f>
        <v>0</v>
      </c>
      <c r="BE102" s="143">
        <v>0</v>
      </c>
      <c r="BF102" s="143">
        <f>102</f>
        <v>102</v>
      </c>
      <c r="BH102" s="141">
        <f>G102*AO102</f>
        <v>0</v>
      </c>
      <c r="BI102" s="141">
        <f>G102*AP102</f>
        <v>0</v>
      </c>
      <c r="BJ102" s="141">
        <f>G102*H102</f>
        <v>0</v>
      </c>
    </row>
    <row r="103" spans="1:12" ht="12.75">
      <c r="A103" s="154"/>
      <c r="B103" s="154"/>
      <c r="C103" s="60" t="s">
        <v>467</v>
      </c>
      <c r="D103" s="61"/>
      <c r="E103" s="61"/>
      <c r="F103" s="154"/>
      <c r="G103" s="12">
        <v>49.313</v>
      </c>
      <c r="I103" s="154"/>
      <c r="J103" s="154"/>
      <c r="K103" s="154"/>
      <c r="L103" s="154"/>
    </row>
    <row r="104" spans="1:62" ht="12.75">
      <c r="A104" s="3" t="s">
        <v>43</v>
      </c>
      <c r="B104" s="3" t="s">
        <v>221</v>
      </c>
      <c r="C104" s="58" t="s">
        <v>418</v>
      </c>
      <c r="D104" s="59"/>
      <c r="E104" s="59"/>
      <c r="F104" s="3" t="s">
        <v>817</v>
      </c>
      <c r="G104" s="11">
        <v>49.313</v>
      </c>
      <c r="H104" s="141">
        <v>0</v>
      </c>
      <c r="I104" s="11">
        <f>G104*AO104</f>
        <v>0</v>
      </c>
      <c r="J104" s="11">
        <f>G104*AP104</f>
        <v>0</v>
      </c>
      <c r="K104" s="11">
        <f>G104*H104</f>
        <v>0</v>
      </c>
      <c r="L104" s="17" t="s">
        <v>845</v>
      </c>
      <c r="Z104" s="143">
        <f>IF(AQ104="5",BJ104,0)</f>
        <v>0</v>
      </c>
      <c r="AB104" s="143">
        <f>IF(AQ104="1",BH104,0)</f>
        <v>0</v>
      </c>
      <c r="AC104" s="143">
        <f>IF(AQ104="1",BI104,0)</f>
        <v>0</v>
      </c>
      <c r="AD104" s="143">
        <f>IF(AQ104="7",BH104,0)</f>
        <v>0</v>
      </c>
      <c r="AE104" s="143">
        <f>IF(AQ104="7",BI104,0)</f>
        <v>0</v>
      </c>
      <c r="AF104" s="143">
        <f>IF(AQ104="2",BH104,0)</f>
        <v>0</v>
      </c>
      <c r="AG104" s="143">
        <f>IF(AQ104="2",BI104,0)</f>
        <v>0</v>
      </c>
      <c r="AH104" s="143">
        <f>IF(AQ104="0",BJ104,0)</f>
        <v>0</v>
      </c>
      <c r="AI104" s="137" t="s">
        <v>857</v>
      </c>
      <c r="AJ104" s="141">
        <f>IF(AN104=0,K104,0)</f>
        <v>0</v>
      </c>
      <c r="AK104" s="141">
        <f>IF(AN104=15,K104,0)</f>
        <v>0</v>
      </c>
      <c r="AL104" s="141">
        <f>IF(AN104=21,K104,0)</f>
        <v>0</v>
      </c>
      <c r="AN104" s="143">
        <v>21</v>
      </c>
      <c r="AO104" s="143">
        <f>H104*0</f>
        <v>0</v>
      </c>
      <c r="AP104" s="143">
        <f>H104*(1-0)</f>
        <v>0</v>
      </c>
      <c r="AQ104" s="142" t="s">
        <v>11</v>
      </c>
      <c r="AV104" s="143">
        <f>AW104+AX104</f>
        <v>0</v>
      </c>
      <c r="AW104" s="143">
        <f>G104*AO104</f>
        <v>0</v>
      </c>
      <c r="AX104" s="143">
        <f>G104*AP104</f>
        <v>0</v>
      </c>
      <c r="AY104" s="144" t="s">
        <v>885</v>
      </c>
      <c r="AZ104" s="144" t="s">
        <v>908</v>
      </c>
      <c r="BA104" s="137" t="s">
        <v>953</v>
      </c>
      <c r="BC104" s="143">
        <f>AW104+AX104</f>
        <v>0</v>
      </c>
      <c r="BD104" s="143">
        <f>H104/(100-BE104)*100</f>
        <v>0</v>
      </c>
      <c r="BE104" s="143">
        <v>0</v>
      </c>
      <c r="BF104" s="143">
        <f>104</f>
        <v>104</v>
      </c>
      <c r="BH104" s="141">
        <f>G104*AO104</f>
        <v>0</v>
      </c>
      <c r="BI104" s="141">
        <f>G104*AP104</f>
        <v>0</v>
      </c>
      <c r="BJ104" s="141">
        <f>G104*H104</f>
        <v>0</v>
      </c>
    </row>
    <row r="105" spans="1:12" ht="12.75">
      <c r="A105" s="154"/>
      <c r="B105" s="154"/>
      <c r="C105" s="60" t="s">
        <v>467</v>
      </c>
      <c r="D105" s="61"/>
      <c r="E105" s="61"/>
      <c r="F105" s="154"/>
      <c r="G105" s="12">
        <v>49.313</v>
      </c>
      <c r="I105" s="154"/>
      <c r="J105" s="154"/>
      <c r="K105" s="154"/>
      <c r="L105" s="154"/>
    </row>
    <row r="106" spans="1:12" ht="12.75">
      <c r="A106" s="4"/>
      <c r="B106" s="10"/>
      <c r="C106" s="62" t="s">
        <v>468</v>
      </c>
      <c r="D106" s="63"/>
      <c r="E106" s="63"/>
      <c r="F106" s="4" t="s">
        <v>6</v>
      </c>
      <c r="G106" s="4" t="s">
        <v>6</v>
      </c>
      <c r="H106" s="145" t="s">
        <v>6</v>
      </c>
      <c r="I106" s="24">
        <f>I107+I112</f>
        <v>0</v>
      </c>
      <c r="J106" s="24">
        <f>J107+J112</f>
        <v>0</v>
      </c>
      <c r="K106" s="24">
        <f>K107+K112</f>
        <v>0</v>
      </c>
      <c r="L106" s="18"/>
    </row>
    <row r="107" spans="1:47" ht="12.75">
      <c r="A107" s="2"/>
      <c r="B107" s="9" t="s">
        <v>230</v>
      </c>
      <c r="C107" s="56" t="s">
        <v>439</v>
      </c>
      <c r="D107" s="57"/>
      <c r="E107" s="57"/>
      <c r="F107" s="2" t="s">
        <v>6</v>
      </c>
      <c r="G107" s="2" t="s">
        <v>6</v>
      </c>
      <c r="H107" s="139" t="s">
        <v>6</v>
      </c>
      <c r="I107" s="23">
        <f>SUM(I108:I110)</f>
        <v>0</v>
      </c>
      <c r="J107" s="23">
        <f>SUM(J108:J110)</f>
        <v>0</v>
      </c>
      <c r="K107" s="23">
        <f>SUM(K108:K110)</f>
        <v>0</v>
      </c>
      <c r="L107" s="16"/>
      <c r="AI107" s="137" t="s">
        <v>858</v>
      </c>
      <c r="AS107" s="140">
        <f>SUM(AJ108:AJ110)</f>
        <v>0</v>
      </c>
      <c r="AT107" s="140">
        <f>SUM(AK108:AK110)</f>
        <v>0</v>
      </c>
      <c r="AU107" s="140">
        <f>SUM(AL108:AL110)</f>
        <v>0</v>
      </c>
    </row>
    <row r="108" spans="1:62" ht="12.75">
      <c r="A108" s="3" t="s">
        <v>44</v>
      </c>
      <c r="B108" s="3" t="s">
        <v>238</v>
      </c>
      <c r="C108" s="58" t="s">
        <v>469</v>
      </c>
      <c r="D108" s="59"/>
      <c r="E108" s="59"/>
      <c r="F108" s="3" t="s">
        <v>818</v>
      </c>
      <c r="G108" s="11">
        <v>1.68</v>
      </c>
      <c r="H108" s="141">
        <v>0</v>
      </c>
      <c r="I108" s="11">
        <f>G108*AO108</f>
        <v>0</v>
      </c>
      <c r="J108" s="11">
        <f>G108*AP108</f>
        <v>0</v>
      </c>
      <c r="K108" s="11">
        <f>G108*H108</f>
        <v>0</v>
      </c>
      <c r="L108" s="17" t="s">
        <v>845</v>
      </c>
      <c r="Z108" s="143">
        <f>IF(AQ108="5",BJ108,0)</f>
        <v>0</v>
      </c>
      <c r="AB108" s="143">
        <f>IF(AQ108="1",BH108,0)</f>
        <v>0</v>
      </c>
      <c r="AC108" s="143">
        <f>IF(AQ108="1",BI108,0)</f>
        <v>0</v>
      </c>
      <c r="AD108" s="143">
        <f>IF(AQ108="7",BH108,0)</f>
        <v>0</v>
      </c>
      <c r="AE108" s="143">
        <f>IF(AQ108="7",BI108,0)</f>
        <v>0</v>
      </c>
      <c r="AF108" s="143">
        <f>IF(AQ108="2",BH108,0)</f>
        <v>0</v>
      </c>
      <c r="AG108" s="143">
        <f>IF(AQ108="2",BI108,0)</f>
        <v>0</v>
      </c>
      <c r="AH108" s="143">
        <f>IF(AQ108="0",BJ108,0)</f>
        <v>0</v>
      </c>
      <c r="AI108" s="137" t="s">
        <v>858</v>
      </c>
      <c r="AJ108" s="141">
        <f>IF(AN108=0,K108,0)</f>
        <v>0</v>
      </c>
      <c r="AK108" s="141">
        <f>IF(AN108=15,K108,0)</f>
        <v>0</v>
      </c>
      <c r="AL108" s="141">
        <f>IF(AN108=21,K108,0)</f>
        <v>0</v>
      </c>
      <c r="AN108" s="143">
        <v>21</v>
      </c>
      <c r="AO108" s="143">
        <f>H108*0.0491060606060606</f>
        <v>0</v>
      </c>
      <c r="AP108" s="143">
        <f>H108*(1-0.0491060606060606)</f>
        <v>0</v>
      </c>
      <c r="AQ108" s="142" t="s">
        <v>13</v>
      </c>
      <c r="AV108" s="143">
        <f>AW108+AX108</f>
        <v>0</v>
      </c>
      <c r="AW108" s="143">
        <f>G108*AO108</f>
        <v>0</v>
      </c>
      <c r="AX108" s="143">
        <f>G108*AP108</f>
        <v>0</v>
      </c>
      <c r="AY108" s="144" t="s">
        <v>887</v>
      </c>
      <c r="AZ108" s="144" t="s">
        <v>909</v>
      </c>
      <c r="BA108" s="137" t="s">
        <v>954</v>
      </c>
      <c r="BC108" s="143">
        <f>AW108+AX108</f>
        <v>0</v>
      </c>
      <c r="BD108" s="143">
        <f>H108/(100-BE108)*100</f>
        <v>0</v>
      </c>
      <c r="BE108" s="143">
        <v>0</v>
      </c>
      <c r="BF108" s="143">
        <f>108</f>
        <v>108</v>
      </c>
      <c r="BH108" s="141">
        <f>G108*AO108</f>
        <v>0</v>
      </c>
      <c r="BI108" s="141">
        <f>G108*AP108</f>
        <v>0</v>
      </c>
      <c r="BJ108" s="141">
        <f>G108*H108</f>
        <v>0</v>
      </c>
    </row>
    <row r="109" spans="1:12" ht="12.75">
      <c r="A109" s="154"/>
      <c r="B109" s="154"/>
      <c r="C109" s="60" t="s">
        <v>470</v>
      </c>
      <c r="D109" s="61"/>
      <c r="E109" s="61"/>
      <c r="F109" s="154"/>
      <c r="G109" s="12">
        <v>1.68</v>
      </c>
      <c r="I109" s="154"/>
      <c r="J109" s="154"/>
      <c r="K109" s="154"/>
      <c r="L109" s="154"/>
    </row>
    <row r="110" spans="1:62" ht="12.75">
      <c r="A110" s="3" t="s">
        <v>45</v>
      </c>
      <c r="B110" s="3" t="s">
        <v>239</v>
      </c>
      <c r="C110" s="58" t="s">
        <v>471</v>
      </c>
      <c r="D110" s="59"/>
      <c r="E110" s="59"/>
      <c r="F110" s="3" t="s">
        <v>818</v>
      </c>
      <c r="G110" s="11">
        <v>4.8</v>
      </c>
      <c r="H110" s="141">
        <v>0</v>
      </c>
      <c r="I110" s="11">
        <f>G110*AO110</f>
        <v>0</v>
      </c>
      <c r="J110" s="11">
        <f>G110*AP110</f>
        <v>0</v>
      </c>
      <c r="K110" s="11">
        <f>G110*H110</f>
        <v>0</v>
      </c>
      <c r="L110" s="17" t="s">
        <v>845</v>
      </c>
      <c r="Z110" s="143">
        <f>IF(AQ110="5",BJ110,0)</f>
        <v>0</v>
      </c>
      <c r="AB110" s="143">
        <f>IF(AQ110="1",BH110,0)</f>
        <v>0</v>
      </c>
      <c r="AC110" s="143">
        <f>IF(AQ110="1",BI110,0)</f>
        <v>0</v>
      </c>
      <c r="AD110" s="143">
        <f>IF(AQ110="7",BH110,0)</f>
        <v>0</v>
      </c>
      <c r="AE110" s="143">
        <f>IF(AQ110="7",BI110,0)</f>
        <v>0</v>
      </c>
      <c r="AF110" s="143">
        <f>IF(AQ110="2",BH110,0)</f>
        <v>0</v>
      </c>
      <c r="AG110" s="143">
        <f>IF(AQ110="2",BI110,0)</f>
        <v>0</v>
      </c>
      <c r="AH110" s="143">
        <f>IF(AQ110="0",BJ110,0)</f>
        <v>0</v>
      </c>
      <c r="AI110" s="137" t="s">
        <v>858</v>
      </c>
      <c r="AJ110" s="141">
        <f>IF(AN110=0,K110,0)</f>
        <v>0</v>
      </c>
      <c r="AK110" s="141">
        <f>IF(AN110=15,K110,0)</f>
        <v>0</v>
      </c>
      <c r="AL110" s="141">
        <f>IF(AN110=21,K110,0)</f>
        <v>0</v>
      </c>
      <c r="AN110" s="143">
        <v>21</v>
      </c>
      <c r="AO110" s="143">
        <f>H110*0.462855809612692</f>
        <v>0</v>
      </c>
      <c r="AP110" s="143">
        <f>H110*(1-0.462855809612692)</f>
        <v>0</v>
      </c>
      <c r="AQ110" s="142" t="s">
        <v>13</v>
      </c>
      <c r="AV110" s="143">
        <f>AW110+AX110</f>
        <v>0</v>
      </c>
      <c r="AW110" s="143">
        <f>G110*AO110</f>
        <v>0</v>
      </c>
      <c r="AX110" s="143">
        <f>G110*AP110</f>
        <v>0</v>
      </c>
      <c r="AY110" s="144" t="s">
        <v>887</v>
      </c>
      <c r="AZ110" s="144" t="s">
        <v>909</v>
      </c>
      <c r="BA110" s="137" t="s">
        <v>954</v>
      </c>
      <c r="BC110" s="143">
        <f>AW110+AX110</f>
        <v>0</v>
      </c>
      <c r="BD110" s="143">
        <f>H110/(100-BE110)*100</f>
        <v>0</v>
      </c>
      <c r="BE110" s="143">
        <v>0</v>
      </c>
      <c r="BF110" s="143">
        <f>110</f>
        <v>110</v>
      </c>
      <c r="BH110" s="141">
        <f>G110*AO110</f>
        <v>0</v>
      </c>
      <c r="BI110" s="141">
        <f>G110*AP110</f>
        <v>0</v>
      </c>
      <c r="BJ110" s="141">
        <f>G110*H110</f>
        <v>0</v>
      </c>
    </row>
    <row r="111" spans="1:12" ht="12.75">
      <c r="A111" s="154"/>
      <c r="B111" s="154"/>
      <c r="C111" s="60" t="s">
        <v>472</v>
      </c>
      <c r="D111" s="61"/>
      <c r="E111" s="61"/>
      <c r="F111" s="154"/>
      <c r="G111" s="12">
        <v>4.8</v>
      </c>
      <c r="I111" s="154"/>
      <c r="J111" s="154"/>
      <c r="K111" s="154"/>
      <c r="L111" s="154"/>
    </row>
    <row r="112" spans="1:47" ht="12.75">
      <c r="A112" s="2"/>
      <c r="B112" s="9" t="s">
        <v>213</v>
      </c>
      <c r="C112" s="56" t="s">
        <v>405</v>
      </c>
      <c r="D112" s="57"/>
      <c r="E112" s="57"/>
      <c r="F112" s="2" t="s">
        <v>6</v>
      </c>
      <c r="G112" s="2" t="s">
        <v>6</v>
      </c>
      <c r="H112" s="139" t="s">
        <v>6</v>
      </c>
      <c r="I112" s="23">
        <f>SUM(I113:I119)</f>
        <v>0</v>
      </c>
      <c r="J112" s="23">
        <f>SUM(J113:J119)</f>
        <v>0</v>
      </c>
      <c r="K112" s="23">
        <f>SUM(K113:K119)</f>
        <v>0</v>
      </c>
      <c r="L112" s="16"/>
      <c r="AI112" s="137" t="s">
        <v>858</v>
      </c>
      <c r="AS112" s="140">
        <f>SUM(AJ113:AJ119)</f>
        <v>0</v>
      </c>
      <c r="AT112" s="140">
        <f>SUM(AK113:AK119)</f>
        <v>0</v>
      </c>
      <c r="AU112" s="140">
        <f>SUM(AL113:AL119)</f>
        <v>0</v>
      </c>
    </row>
    <row r="113" spans="1:62" ht="12.75">
      <c r="A113" s="3" t="s">
        <v>46</v>
      </c>
      <c r="B113" s="3" t="s">
        <v>240</v>
      </c>
      <c r="C113" s="58" t="s">
        <v>473</v>
      </c>
      <c r="D113" s="59"/>
      <c r="E113" s="59"/>
      <c r="F113" s="3" t="s">
        <v>822</v>
      </c>
      <c r="G113" s="11">
        <v>3</v>
      </c>
      <c r="H113" s="141">
        <v>0</v>
      </c>
      <c r="I113" s="11">
        <f>G113*AO113</f>
        <v>0</v>
      </c>
      <c r="J113" s="11">
        <f>G113*AP113</f>
        <v>0</v>
      </c>
      <c r="K113" s="11">
        <f>G113*H113</f>
        <v>0</v>
      </c>
      <c r="L113" s="17" t="s">
        <v>845</v>
      </c>
      <c r="Z113" s="143">
        <f>IF(AQ113="5",BJ113,0)</f>
        <v>0</v>
      </c>
      <c r="AB113" s="143">
        <f>IF(AQ113="1",BH113,0)</f>
        <v>0</v>
      </c>
      <c r="AC113" s="143">
        <f>IF(AQ113="1",BI113,0)</f>
        <v>0</v>
      </c>
      <c r="AD113" s="143">
        <f>IF(AQ113="7",BH113,0)</f>
        <v>0</v>
      </c>
      <c r="AE113" s="143">
        <f>IF(AQ113="7",BI113,0)</f>
        <v>0</v>
      </c>
      <c r="AF113" s="143">
        <f>IF(AQ113="2",BH113,0)</f>
        <v>0</v>
      </c>
      <c r="AG113" s="143">
        <f>IF(AQ113="2",BI113,0)</f>
        <v>0</v>
      </c>
      <c r="AH113" s="143">
        <f>IF(AQ113="0",BJ113,0)</f>
        <v>0</v>
      </c>
      <c r="AI113" s="137" t="s">
        <v>858</v>
      </c>
      <c r="AJ113" s="141">
        <f>IF(AN113=0,K113,0)</f>
        <v>0</v>
      </c>
      <c r="AK113" s="141">
        <f>IF(AN113=15,K113,0)</f>
        <v>0</v>
      </c>
      <c r="AL113" s="141">
        <f>IF(AN113=21,K113,0)</f>
        <v>0</v>
      </c>
      <c r="AN113" s="143">
        <v>21</v>
      </c>
      <c r="AO113" s="143">
        <f>H113*0.07165625</f>
        <v>0</v>
      </c>
      <c r="AP113" s="143">
        <f>H113*(1-0.07165625)</f>
        <v>0</v>
      </c>
      <c r="AQ113" s="142" t="s">
        <v>7</v>
      </c>
      <c r="AV113" s="143">
        <f>AW113+AX113</f>
        <v>0</v>
      </c>
      <c r="AW113" s="143">
        <f>G113*AO113</f>
        <v>0</v>
      </c>
      <c r="AX113" s="143">
        <f>G113*AP113</f>
        <v>0</v>
      </c>
      <c r="AY113" s="144" t="s">
        <v>883</v>
      </c>
      <c r="AZ113" s="144" t="s">
        <v>910</v>
      </c>
      <c r="BA113" s="137" t="s">
        <v>954</v>
      </c>
      <c r="BC113" s="143">
        <f>AW113+AX113</f>
        <v>0</v>
      </c>
      <c r="BD113" s="143">
        <f>H113/(100-BE113)*100</f>
        <v>0</v>
      </c>
      <c r="BE113" s="143">
        <v>0</v>
      </c>
      <c r="BF113" s="143">
        <f>113</f>
        <v>113</v>
      </c>
      <c r="BH113" s="141">
        <f>G113*AO113</f>
        <v>0</v>
      </c>
      <c r="BI113" s="141">
        <f>G113*AP113</f>
        <v>0</v>
      </c>
      <c r="BJ113" s="141">
        <f>G113*H113</f>
        <v>0</v>
      </c>
    </row>
    <row r="114" spans="1:12" ht="12.75">
      <c r="A114" s="154"/>
      <c r="B114" s="154"/>
      <c r="C114" s="60" t="s">
        <v>474</v>
      </c>
      <c r="D114" s="61"/>
      <c r="E114" s="61"/>
      <c r="F114" s="154"/>
      <c r="G114" s="12">
        <v>3</v>
      </c>
      <c r="I114" s="154"/>
      <c r="J114" s="154"/>
      <c r="K114" s="154"/>
      <c r="L114" s="154"/>
    </row>
    <row r="115" spans="1:62" ht="12.75">
      <c r="A115" s="3" t="s">
        <v>47</v>
      </c>
      <c r="B115" s="3" t="s">
        <v>241</v>
      </c>
      <c r="C115" s="58" t="s">
        <v>475</v>
      </c>
      <c r="D115" s="59"/>
      <c r="E115" s="59"/>
      <c r="F115" s="3" t="s">
        <v>822</v>
      </c>
      <c r="G115" s="11">
        <v>3</v>
      </c>
      <c r="H115" s="141">
        <v>0</v>
      </c>
      <c r="I115" s="11">
        <f>G115*AO115</f>
        <v>0</v>
      </c>
      <c r="J115" s="11">
        <f>G115*AP115</f>
        <v>0</v>
      </c>
      <c r="K115" s="11">
        <f>G115*H115</f>
        <v>0</v>
      </c>
      <c r="L115" s="17" t="s">
        <v>845</v>
      </c>
      <c r="Z115" s="143">
        <f>IF(AQ115="5",BJ115,0)</f>
        <v>0</v>
      </c>
      <c r="AB115" s="143">
        <f>IF(AQ115="1",BH115,0)</f>
        <v>0</v>
      </c>
      <c r="AC115" s="143">
        <f>IF(AQ115="1",BI115,0)</f>
        <v>0</v>
      </c>
      <c r="AD115" s="143">
        <f>IF(AQ115="7",BH115,0)</f>
        <v>0</v>
      </c>
      <c r="AE115" s="143">
        <f>IF(AQ115="7",BI115,0)</f>
        <v>0</v>
      </c>
      <c r="AF115" s="143">
        <f>IF(AQ115="2",BH115,0)</f>
        <v>0</v>
      </c>
      <c r="AG115" s="143">
        <f>IF(AQ115="2",BI115,0)</f>
        <v>0</v>
      </c>
      <c r="AH115" s="143">
        <f>IF(AQ115="0",BJ115,0)</f>
        <v>0</v>
      </c>
      <c r="AI115" s="137" t="s">
        <v>858</v>
      </c>
      <c r="AJ115" s="141">
        <f>IF(AN115=0,K115,0)</f>
        <v>0</v>
      </c>
      <c r="AK115" s="141">
        <f>IF(AN115=15,K115,0)</f>
        <v>0</v>
      </c>
      <c r="AL115" s="141">
        <f>IF(AN115=21,K115,0)</f>
        <v>0</v>
      </c>
      <c r="AN115" s="143">
        <v>21</v>
      </c>
      <c r="AO115" s="143">
        <f>H115*0.0716585365853658</f>
        <v>0</v>
      </c>
      <c r="AP115" s="143">
        <f>H115*(1-0.0716585365853658)</f>
        <v>0</v>
      </c>
      <c r="AQ115" s="142" t="s">
        <v>7</v>
      </c>
      <c r="AV115" s="143">
        <f>AW115+AX115</f>
        <v>0</v>
      </c>
      <c r="AW115" s="143">
        <f>G115*AO115</f>
        <v>0</v>
      </c>
      <c r="AX115" s="143">
        <f>G115*AP115</f>
        <v>0</v>
      </c>
      <c r="AY115" s="144" t="s">
        <v>883</v>
      </c>
      <c r="AZ115" s="144" t="s">
        <v>910</v>
      </c>
      <c r="BA115" s="137" t="s">
        <v>954</v>
      </c>
      <c r="BC115" s="143">
        <f>AW115+AX115</f>
        <v>0</v>
      </c>
      <c r="BD115" s="143">
        <f>H115/(100-BE115)*100</f>
        <v>0</v>
      </c>
      <c r="BE115" s="143">
        <v>0</v>
      </c>
      <c r="BF115" s="143">
        <f>115</f>
        <v>115</v>
      </c>
      <c r="BH115" s="141">
        <f>G115*AO115</f>
        <v>0</v>
      </c>
      <c r="BI115" s="141">
        <f>G115*AP115</f>
        <v>0</v>
      </c>
      <c r="BJ115" s="141">
        <f>G115*H115</f>
        <v>0</v>
      </c>
    </row>
    <row r="116" spans="1:12" ht="12.75">
      <c r="A116" s="154"/>
      <c r="B116" s="154"/>
      <c r="C116" s="60" t="s">
        <v>476</v>
      </c>
      <c r="D116" s="61"/>
      <c r="E116" s="61"/>
      <c r="F116" s="154"/>
      <c r="G116" s="12">
        <v>3</v>
      </c>
      <c r="I116" s="154"/>
      <c r="J116" s="154"/>
      <c r="K116" s="154"/>
      <c r="L116" s="154"/>
    </row>
    <row r="117" spans="1:62" ht="12.75">
      <c r="A117" s="3" t="s">
        <v>48</v>
      </c>
      <c r="B117" s="3" t="s">
        <v>242</v>
      </c>
      <c r="C117" s="58" t="s">
        <v>477</v>
      </c>
      <c r="D117" s="59"/>
      <c r="E117" s="59"/>
      <c r="F117" s="3" t="s">
        <v>822</v>
      </c>
      <c r="G117" s="11">
        <v>2</v>
      </c>
      <c r="H117" s="141">
        <v>0</v>
      </c>
      <c r="I117" s="11">
        <f>G117*AO117</f>
        <v>0</v>
      </c>
      <c r="J117" s="11">
        <f>G117*AP117</f>
        <v>0</v>
      </c>
      <c r="K117" s="11">
        <f>G117*H117</f>
        <v>0</v>
      </c>
      <c r="L117" s="17" t="s">
        <v>845</v>
      </c>
      <c r="Z117" s="143">
        <f>IF(AQ117="5",BJ117,0)</f>
        <v>0</v>
      </c>
      <c r="AB117" s="143">
        <f>IF(AQ117="1",BH117,0)</f>
        <v>0</v>
      </c>
      <c r="AC117" s="143">
        <f>IF(AQ117="1",BI117,0)</f>
        <v>0</v>
      </c>
      <c r="AD117" s="143">
        <f>IF(AQ117="7",BH117,0)</f>
        <v>0</v>
      </c>
      <c r="AE117" s="143">
        <f>IF(AQ117="7",BI117,0)</f>
        <v>0</v>
      </c>
      <c r="AF117" s="143">
        <f>IF(AQ117="2",BH117,0)</f>
        <v>0</v>
      </c>
      <c r="AG117" s="143">
        <f>IF(AQ117="2",BI117,0)</f>
        <v>0</v>
      </c>
      <c r="AH117" s="143">
        <f>IF(AQ117="0",BJ117,0)</f>
        <v>0</v>
      </c>
      <c r="AI117" s="137" t="s">
        <v>858</v>
      </c>
      <c r="AJ117" s="141">
        <f>IF(AN117=0,K117,0)</f>
        <v>0</v>
      </c>
      <c r="AK117" s="141">
        <f>IF(AN117=15,K117,0)</f>
        <v>0</v>
      </c>
      <c r="AL117" s="141">
        <f>IF(AN117=21,K117,0)</f>
        <v>0</v>
      </c>
      <c r="AN117" s="143">
        <v>21</v>
      </c>
      <c r="AO117" s="143">
        <f>H117*0.0798611111111111</f>
        <v>0</v>
      </c>
      <c r="AP117" s="143">
        <f>H117*(1-0.0798611111111111)</f>
        <v>0</v>
      </c>
      <c r="AQ117" s="142" t="s">
        <v>7</v>
      </c>
      <c r="AV117" s="143">
        <f>AW117+AX117</f>
        <v>0</v>
      </c>
      <c r="AW117" s="143">
        <f>G117*AO117</f>
        <v>0</v>
      </c>
      <c r="AX117" s="143">
        <f>G117*AP117</f>
        <v>0</v>
      </c>
      <c r="AY117" s="144" t="s">
        <v>883</v>
      </c>
      <c r="AZ117" s="144" t="s">
        <v>910</v>
      </c>
      <c r="BA117" s="137" t="s">
        <v>954</v>
      </c>
      <c r="BC117" s="143">
        <f>AW117+AX117</f>
        <v>0</v>
      </c>
      <c r="BD117" s="143">
        <f>H117/(100-BE117)*100</f>
        <v>0</v>
      </c>
      <c r="BE117" s="143">
        <v>0</v>
      </c>
      <c r="BF117" s="143">
        <f>117</f>
        <v>117</v>
      </c>
      <c r="BH117" s="141">
        <f>G117*AO117</f>
        <v>0</v>
      </c>
      <c r="BI117" s="141">
        <f>G117*AP117</f>
        <v>0</v>
      </c>
      <c r="BJ117" s="141">
        <f>G117*H117</f>
        <v>0</v>
      </c>
    </row>
    <row r="118" spans="1:12" ht="12.75">
      <c r="A118" s="154"/>
      <c r="B118" s="154"/>
      <c r="C118" s="60" t="s">
        <v>478</v>
      </c>
      <c r="D118" s="61"/>
      <c r="E118" s="61"/>
      <c r="F118" s="154"/>
      <c r="G118" s="12">
        <v>2</v>
      </c>
      <c r="I118" s="154"/>
      <c r="J118" s="154"/>
      <c r="K118" s="154"/>
      <c r="L118" s="154"/>
    </row>
    <row r="119" spans="1:62" ht="12.75">
      <c r="A119" s="3" t="s">
        <v>49</v>
      </c>
      <c r="B119" s="3" t="s">
        <v>243</v>
      </c>
      <c r="C119" s="58" t="s">
        <v>479</v>
      </c>
      <c r="D119" s="59"/>
      <c r="E119" s="59"/>
      <c r="F119" s="3" t="s">
        <v>822</v>
      </c>
      <c r="G119" s="11">
        <v>2</v>
      </c>
      <c r="H119" s="141">
        <v>0</v>
      </c>
      <c r="I119" s="11">
        <f>G119*AO119</f>
        <v>0</v>
      </c>
      <c r="J119" s="11">
        <f>G119*AP119</f>
        <v>0</v>
      </c>
      <c r="K119" s="11">
        <f>G119*H119</f>
        <v>0</v>
      </c>
      <c r="L119" s="17" t="s">
        <v>845</v>
      </c>
      <c r="Z119" s="143">
        <f>IF(AQ119="5",BJ119,0)</f>
        <v>0</v>
      </c>
      <c r="AB119" s="143">
        <f>IF(AQ119="1",BH119,0)</f>
        <v>0</v>
      </c>
      <c r="AC119" s="143">
        <f>IF(AQ119="1",BI119,0)</f>
        <v>0</v>
      </c>
      <c r="AD119" s="143">
        <f>IF(AQ119="7",BH119,0)</f>
        <v>0</v>
      </c>
      <c r="AE119" s="143">
        <f>IF(AQ119="7",BI119,0)</f>
        <v>0</v>
      </c>
      <c r="AF119" s="143">
        <f>IF(AQ119="2",BH119,0)</f>
        <v>0</v>
      </c>
      <c r="AG119" s="143">
        <f>IF(AQ119="2",BI119,0)</f>
        <v>0</v>
      </c>
      <c r="AH119" s="143">
        <f>IF(AQ119="0",BJ119,0)</f>
        <v>0</v>
      </c>
      <c r="AI119" s="137" t="s">
        <v>858</v>
      </c>
      <c r="AJ119" s="141">
        <f>IF(AN119=0,K119,0)</f>
        <v>0</v>
      </c>
      <c r="AK119" s="141">
        <f>IF(AN119=15,K119,0)</f>
        <v>0</v>
      </c>
      <c r="AL119" s="141">
        <f>IF(AN119=21,K119,0)</f>
        <v>0</v>
      </c>
      <c r="AN119" s="143">
        <v>21</v>
      </c>
      <c r="AO119" s="143">
        <f>H119*0.0976416666666667</f>
        <v>0</v>
      </c>
      <c r="AP119" s="143">
        <f>H119*(1-0.0976416666666667)</f>
        <v>0</v>
      </c>
      <c r="AQ119" s="142" t="s">
        <v>7</v>
      </c>
      <c r="AV119" s="143">
        <f>AW119+AX119</f>
        <v>0</v>
      </c>
      <c r="AW119" s="143">
        <f>G119*AO119</f>
        <v>0</v>
      </c>
      <c r="AX119" s="143">
        <f>G119*AP119</f>
        <v>0</v>
      </c>
      <c r="AY119" s="144" t="s">
        <v>883</v>
      </c>
      <c r="AZ119" s="144" t="s">
        <v>910</v>
      </c>
      <c r="BA119" s="137" t="s">
        <v>954</v>
      </c>
      <c r="BC119" s="143">
        <f>AW119+AX119</f>
        <v>0</v>
      </c>
      <c r="BD119" s="143">
        <f>H119/(100-BE119)*100</f>
        <v>0</v>
      </c>
      <c r="BE119" s="143">
        <v>0</v>
      </c>
      <c r="BF119" s="143">
        <f>119</f>
        <v>119</v>
      </c>
      <c r="BH119" s="141">
        <f>G119*AO119</f>
        <v>0</v>
      </c>
      <c r="BI119" s="141">
        <f>G119*AP119</f>
        <v>0</v>
      </c>
      <c r="BJ119" s="141">
        <f>G119*H119</f>
        <v>0</v>
      </c>
    </row>
    <row r="120" spans="1:12" ht="12.75">
      <c r="A120" s="154"/>
      <c r="B120" s="154"/>
      <c r="C120" s="60" t="s">
        <v>480</v>
      </c>
      <c r="D120" s="61"/>
      <c r="E120" s="61"/>
      <c r="F120" s="154"/>
      <c r="G120" s="12">
        <v>2</v>
      </c>
      <c r="I120" s="154"/>
      <c r="J120" s="154"/>
      <c r="K120" s="154"/>
      <c r="L120" s="154"/>
    </row>
    <row r="121" spans="1:12" ht="12.75">
      <c r="A121" s="4"/>
      <c r="B121" s="10"/>
      <c r="C121" s="62" t="s">
        <v>481</v>
      </c>
      <c r="D121" s="63"/>
      <c r="E121" s="63"/>
      <c r="F121" s="4" t="s">
        <v>6</v>
      </c>
      <c r="G121" s="4" t="s">
        <v>6</v>
      </c>
      <c r="H121" s="145" t="s">
        <v>6</v>
      </c>
      <c r="I121" s="24">
        <f>I122+I125</f>
        <v>0</v>
      </c>
      <c r="J121" s="24">
        <f>J122+J125</f>
        <v>0</v>
      </c>
      <c r="K121" s="24">
        <f>K122+K125</f>
        <v>0</v>
      </c>
      <c r="L121" s="18"/>
    </row>
    <row r="122" spans="1:47" ht="12.75">
      <c r="A122" s="2"/>
      <c r="B122" s="9" t="s">
        <v>65</v>
      </c>
      <c r="C122" s="56" t="s">
        <v>482</v>
      </c>
      <c r="D122" s="57"/>
      <c r="E122" s="57"/>
      <c r="F122" s="2" t="s">
        <v>6</v>
      </c>
      <c r="G122" s="2" t="s">
        <v>6</v>
      </c>
      <c r="H122" s="139" t="s">
        <v>6</v>
      </c>
      <c r="I122" s="23">
        <f>SUM(I123:I123)</f>
        <v>0</v>
      </c>
      <c r="J122" s="23">
        <f>SUM(J123:J123)</f>
        <v>0</v>
      </c>
      <c r="K122" s="23">
        <f>SUM(K123:K123)</f>
        <v>0</v>
      </c>
      <c r="L122" s="16"/>
      <c r="AI122" s="137" t="s">
        <v>859</v>
      </c>
      <c r="AS122" s="140">
        <f>SUM(AJ123:AJ123)</f>
        <v>0</v>
      </c>
      <c r="AT122" s="140">
        <f>SUM(AK123:AK123)</f>
        <v>0</v>
      </c>
      <c r="AU122" s="140">
        <f>SUM(AL123:AL123)</f>
        <v>0</v>
      </c>
    </row>
    <row r="123" spans="1:62" ht="12.75">
      <c r="A123" s="3" t="s">
        <v>50</v>
      </c>
      <c r="B123" s="3" t="s">
        <v>244</v>
      </c>
      <c r="C123" s="58" t="s">
        <v>483</v>
      </c>
      <c r="D123" s="59"/>
      <c r="E123" s="59"/>
      <c r="F123" s="3" t="s">
        <v>818</v>
      </c>
      <c r="G123" s="11">
        <v>330.2</v>
      </c>
      <c r="H123" s="141">
        <v>0</v>
      </c>
      <c r="I123" s="11">
        <f>G123*AO123</f>
        <v>0</v>
      </c>
      <c r="J123" s="11">
        <f>G123*AP123</f>
        <v>0</v>
      </c>
      <c r="K123" s="11">
        <f>G123*H123</f>
        <v>0</v>
      </c>
      <c r="L123" s="17" t="s">
        <v>845</v>
      </c>
      <c r="Z123" s="143">
        <f>IF(AQ123="5",BJ123,0)</f>
        <v>0</v>
      </c>
      <c r="AB123" s="143">
        <f>IF(AQ123="1",BH123,0)</f>
        <v>0</v>
      </c>
      <c r="AC123" s="143">
        <f>IF(AQ123="1",BI123,0)</f>
        <v>0</v>
      </c>
      <c r="AD123" s="143">
        <f>IF(AQ123="7",BH123,0)</f>
        <v>0</v>
      </c>
      <c r="AE123" s="143">
        <f>IF(AQ123="7",BI123,0)</f>
        <v>0</v>
      </c>
      <c r="AF123" s="143">
        <f>IF(AQ123="2",BH123,0)</f>
        <v>0</v>
      </c>
      <c r="AG123" s="143">
        <f>IF(AQ123="2",BI123,0)</f>
        <v>0</v>
      </c>
      <c r="AH123" s="143">
        <f>IF(AQ123="0",BJ123,0)</f>
        <v>0</v>
      </c>
      <c r="AI123" s="137" t="s">
        <v>859</v>
      </c>
      <c r="AJ123" s="141">
        <f>IF(AN123=0,K123,0)</f>
        <v>0</v>
      </c>
      <c r="AK123" s="141">
        <f>IF(AN123=15,K123,0)</f>
        <v>0</v>
      </c>
      <c r="AL123" s="141">
        <f>IF(AN123=21,K123,0)</f>
        <v>0</v>
      </c>
      <c r="AN123" s="143">
        <v>21</v>
      </c>
      <c r="AO123" s="143">
        <f>H123*0.462707423580786</f>
        <v>0</v>
      </c>
      <c r="AP123" s="143">
        <f>H123*(1-0.462707423580786)</f>
        <v>0</v>
      </c>
      <c r="AQ123" s="142" t="s">
        <v>7</v>
      </c>
      <c r="AV123" s="143">
        <f>AW123+AX123</f>
        <v>0</v>
      </c>
      <c r="AW123" s="143">
        <f>G123*AO123</f>
        <v>0</v>
      </c>
      <c r="AX123" s="143">
        <f>G123*AP123</f>
        <v>0</v>
      </c>
      <c r="AY123" s="144" t="s">
        <v>888</v>
      </c>
      <c r="AZ123" s="144" t="s">
        <v>911</v>
      </c>
      <c r="BA123" s="137" t="s">
        <v>955</v>
      </c>
      <c r="BC123" s="143">
        <f>AW123+AX123</f>
        <v>0</v>
      </c>
      <c r="BD123" s="143">
        <f>H123/(100-BE123)*100</f>
        <v>0</v>
      </c>
      <c r="BE123" s="143">
        <v>0</v>
      </c>
      <c r="BF123" s="143">
        <f>123</f>
        <v>123</v>
      </c>
      <c r="BH123" s="141">
        <f>G123*AO123</f>
        <v>0</v>
      </c>
      <c r="BI123" s="141">
        <f>G123*AP123</f>
        <v>0</v>
      </c>
      <c r="BJ123" s="141">
        <f>G123*H123</f>
        <v>0</v>
      </c>
    </row>
    <row r="124" spans="1:12" ht="12.75">
      <c r="A124" s="154"/>
      <c r="B124" s="154"/>
      <c r="C124" s="60" t="s">
        <v>484</v>
      </c>
      <c r="D124" s="61"/>
      <c r="E124" s="61"/>
      <c r="F124" s="154"/>
      <c r="G124" s="12">
        <v>330.2</v>
      </c>
      <c r="I124" s="154"/>
      <c r="J124" s="154"/>
      <c r="K124" s="154"/>
      <c r="L124" s="154"/>
    </row>
    <row r="125" spans="1:47" ht="12.75">
      <c r="A125" s="2"/>
      <c r="B125" s="9" t="s">
        <v>97</v>
      </c>
      <c r="C125" s="56" t="s">
        <v>485</v>
      </c>
      <c r="D125" s="57"/>
      <c r="E125" s="57"/>
      <c r="F125" s="2" t="s">
        <v>6</v>
      </c>
      <c r="G125" s="2" t="s">
        <v>6</v>
      </c>
      <c r="H125" s="139" t="s">
        <v>6</v>
      </c>
      <c r="I125" s="23">
        <f>SUM(I126:I126)</f>
        <v>0</v>
      </c>
      <c r="J125" s="23">
        <f>SUM(J126:J126)</f>
        <v>0</v>
      </c>
      <c r="K125" s="23">
        <f>SUM(K126:K126)</f>
        <v>0</v>
      </c>
      <c r="L125" s="16"/>
      <c r="AI125" s="137" t="s">
        <v>859</v>
      </c>
      <c r="AS125" s="140">
        <f>SUM(AJ126:AJ126)</f>
        <v>0</v>
      </c>
      <c r="AT125" s="140">
        <f>SUM(AK126:AK126)</f>
        <v>0</v>
      </c>
      <c r="AU125" s="140">
        <f>SUM(AL126:AL126)</f>
        <v>0</v>
      </c>
    </row>
    <row r="126" spans="1:62" ht="12.75">
      <c r="A126" s="3" t="s">
        <v>51</v>
      </c>
      <c r="B126" s="3" t="s">
        <v>245</v>
      </c>
      <c r="C126" s="58" t="s">
        <v>486</v>
      </c>
      <c r="D126" s="59"/>
      <c r="E126" s="59"/>
      <c r="F126" s="3" t="s">
        <v>815</v>
      </c>
      <c r="G126" s="11">
        <v>387.2</v>
      </c>
      <c r="H126" s="141">
        <v>0</v>
      </c>
      <c r="I126" s="11">
        <f>G126*AO126</f>
        <v>0</v>
      </c>
      <c r="J126" s="11">
        <f>G126*AP126</f>
        <v>0</v>
      </c>
      <c r="K126" s="11">
        <f>G126*H126</f>
        <v>0</v>
      </c>
      <c r="L126" s="17" t="s">
        <v>845</v>
      </c>
      <c r="Z126" s="143">
        <f>IF(AQ126="5",BJ126,0)</f>
        <v>0</v>
      </c>
      <c r="AB126" s="143">
        <f>IF(AQ126="1",BH126,0)</f>
        <v>0</v>
      </c>
      <c r="AC126" s="143">
        <f>IF(AQ126="1",BI126,0)</f>
        <v>0</v>
      </c>
      <c r="AD126" s="143">
        <f>IF(AQ126="7",BH126,0)</f>
        <v>0</v>
      </c>
      <c r="AE126" s="143">
        <f>IF(AQ126="7",BI126,0)</f>
        <v>0</v>
      </c>
      <c r="AF126" s="143">
        <f>IF(AQ126="2",BH126,0)</f>
        <v>0</v>
      </c>
      <c r="AG126" s="143">
        <f>IF(AQ126="2",BI126,0)</f>
        <v>0</v>
      </c>
      <c r="AH126" s="143">
        <f>IF(AQ126="0",BJ126,0)</f>
        <v>0</v>
      </c>
      <c r="AI126" s="137" t="s">
        <v>859</v>
      </c>
      <c r="AJ126" s="141">
        <f>IF(AN126=0,K126,0)</f>
        <v>0</v>
      </c>
      <c r="AK126" s="141">
        <f>IF(AN126=15,K126,0)</f>
        <v>0</v>
      </c>
      <c r="AL126" s="141">
        <f>IF(AN126=21,K126,0)</f>
        <v>0</v>
      </c>
      <c r="AN126" s="143">
        <v>21</v>
      </c>
      <c r="AO126" s="143">
        <f>H126*0.668415672913118</f>
        <v>0</v>
      </c>
      <c r="AP126" s="143">
        <f>H126*(1-0.668415672913118)</f>
        <v>0</v>
      </c>
      <c r="AQ126" s="142" t="s">
        <v>7</v>
      </c>
      <c r="AV126" s="143">
        <f>AW126+AX126</f>
        <v>0</v>
      </c>
      <c r="AW126" s="143">
        <f>G126*AO126</f>
        <v>0</v>
      </c>
      <c r="AX126" s="143">
        <f>G126*AP126</f>
        <v>0</v>
      </c>
      <c r="AY126" s="144" t="s">
        <v>889</v>
      </c>
      <c r="AZ126" s="144" t="s">
        <v>912</v>
      </c>
      <c r="BA126" s="137" t="s">
        <v>955</v>
      </c>
      <c r="BC126" s="143">
        <f>AW126+AX126</f>
        <v>0</v>
      </c>
      <c r="BD126" s="143">
        <f>H126/(100-BE126)*100</f>
        <v>0</v>
      </c>
      <c r="BE126" s="143">
        <v>0</v>
      </c>
      <c r="BF126" s="143">
        <f>126</f>
        <v>126</v>
      </c>
      <c r="BH126" s="141">
        <f>G126*AO126</f>
        <v>0</v>
      </c>
      <c r="BI126" s="141">
        <f>G126*AP126</f>
        <v>0</v>
      </c>
      <c r="BJ126" s="141">
        <f>G126*H126</f>
        <v>0</v>
      </c>
    </row>
    <row r="127" spans="1:12" ht="12.75">
      <c r="A127" s="154"/>
      <c r="B127" s="154"/>
      <c r="C127" s="60" t="s">
        <v>487</v>
      </c>
      <c r="D127" s="61"/>
      <c r="E127" s="61"/>
      <c r="F127" s="154"/>
      <c r="G127" s="12">
        <v>387.2</v>
      </c>
      <c r="I127" s="154"/>
      <c r="J127" s="154"/>
      <c r="K127" s="154"/>
      <c r="L127" s="154"/>
    </row>
    <row r="128" spans="1:12" ht="12.75">
      <c r="A128" s="4"/>
      <c r="B128" s="10"/>
      <c r="C128" s="62" t="s">
        <v>488</v>
      </c>
      <c r="D128" s="63"/>
      <c r="E128" s="63"/>
      <c r="F128" s="4" t="s">
        <v>6</v>
      </c>
      <c r="G128" s="4" t="s">
        <v>6</v>
      </c>
      <c r="H128" s="145" t="s">
        <v>6</v>
      </c>
      <c r="I128" s="24">
        <f>I129+I140</f>
        <v>0</v>
      </c>
      <c r="J128" s="24">
        <f>J129+J140</f>
        <v>0</v>
      </c>
      <c r="K128" s="24">
        <f>K129+K140</f>
        <v>0</v>
      </c>
      <c r="L128" s="18"/>
    </row>
    <row r="129" spans="1:47" ht="12.75">
      <c r="A129" s="2"/>
      <c r="B129" s="9" t="s">
        <v>62</v>
      </c>
      <c r="C129" s="56" t="s">
        <v>489</v>
      </c>
      <c r="D129" s="57"/>
      <c r="E129" s="57"/>
      <c r="F129" s="2" t="s">
        <v>6</v>
      </c>
      <c r="G129" s="2" t="s">
        <v>6</v>
      </c>
      <c r="H129" s="139" t="s">
        <v>6</v>
      </c>
      <c r="I129" s="23">
        <f>SUM(I130:I138)</f>
        <v>0</v>
      </c>
      <c r="J129" s="23">
        <f>SUM(J130:J138)</f>
        <v>0</v>
      </c>
      <c r="K129" s="23">
        <f>SUM(K130:K138)</f>
        <v>0</v>
      </c>
      <c r="L129" s="16"/>
      <c r="AI129" s="137" t="s">
        <v>860</v>
      </c>
      <c r="AS129" s="140">
        <f>SUM(AJ130:AJ138)</f>
        <v>0</v>
      </c>
      <c r="AT129" s="140">
        <f>SUM(AK130:AK138)</f>
        <v>0</v>
      </c>
      <c r="AU129" s="140">
        <f>SUM(AL130:AL138)</f>
        <v>0</v>
      </c>
    </row>
    <row r="130" spans="1:62" ht="12.75">
      <c r="A130" s="3" t="s">
        <v>52</v>
      </c>
      <c r="B130" s="3" t="s">
        <v>246</v>
      </c>
      <c r="C130" s="58" t="s">
        <v>490</v>
      </c>
      <c r="D130" s="59"/>
      <c r="E130" s="59"/>
      <c r="F130" s="3" t="s">
        <v>822</v>
      </c>
      <c r="G130" s="11">
        <v>1</v>
      </c>
      <c r="H130" s="141">
        <v>0</v>
      </c>
      <c r="I130" s="11">
        <f>G130*AO130</f>
        <v>0</v>
      </c>
      <c r="J130" s="11">
        <f>G130*AP130</f>
        <v>0</v>
      </c>
      <c r="K130" s="11">
        <f>G130*H130</f>
        <v>0</v>
      </c>
      <c r="L130" s="17" t="s">
        <v>845</v>
      </c>
      <c r="Z130" s="143">
        <f>IF(AQ130="5",BJ130,0)</f>
        <v>0</v>
      </c>
      <c r="AB130" s="143">
        <f>IF(AQ130="1",BH130,0)</f>
        <v>0</v>
      </c>
      <c r="AC130" s="143">
        <f>IF(AQ130="1",BI130,0)</f>
        <v>0</v>
      </c>
      <c r="AD130" s="143">
        <f>IF(AQ130="7",BH130,0)</f>
        <v>0</v>
      </c>
      <c r="AE130" s="143">
        <f>IF(AQ130="7",BI130,0)</f>
        <v>0</v>
      </c>
      <c r="AF130" s="143">
        <f>IF(AQ130="2",BH130,0)</f>
        <v>0</v>
      </c>
      <c r="AG130" s="143">
        <f>IF(AQ130="2",BI130,0)</f>
        <v>0</v>
      </c>
      <c r="AH130" s="143">
        <f>IF(AQ130="0",BJ130,0)</f>
        <v>0</v>
      </c>
      <c r="AI130" s="137" t="s">
        <v>860</v>
      </c>
      <c r="AJ130" s="141">
        <f>IF(AN130=0,K130,0)</f>
        <v>0</v>
      </c>
      <c r="AK130" s="141">
        <f>IF(AN130=15,K130,0)</f>
        <v>0</v>
      </c>
      <c r="AL130" s="141">
        <f>IF(AN130=21,K130,0)</f>
        <v>0</v>
      </c>
      <c r="AN130" s="143">
        <v>21</v>
      </c>
      <c r="AO130" s="143">
        <f>H130*0.856912299806114</f>
        <v>0</v>
      </c>
      <c r="AP130" s="143">
        <f>H130*(1-0.856912299806114)</f>
        <v>0</v>
      </c>
      <c r="AQ130" s="142" t="s">
        <v>7</v>
      </c>
      <c r="AV130" s="143">
        <f>AW130+AX130</f>
        <v>0</v>
      </c>
      <c r="AW130" s="143">
        <f>G130*AO130</f>
        <v>0</v>
      </c>
      <c r="AX130" s="143">
        <f>G130*AP130</f>
        <v>0</v>
      </c>
      <c r="AY130" s="144" t="s">
        <v>890</v>
      </c>
      <c r="AZ130" s="144" t="s">
        <v>913</v>
      </c>
      <c r="BA130" s="137" t="s">
        <v>956</v>
      </c>
      <c r="BC130" s="143">
        <f>AW130+AX130</f>
        <v>0</v>
      </c>
      <c r="BD130" s="143">
        <f>H130/(100-BE130)*100</f>
        <v>0</v>
      </c>
      <c r="BE130" s="143">
        <v>0</v>
      </c>
      <c r="BF130" s="143">
        <f>130</f>
        <v>130</v>
      </c>
      <c r="BH130" s="141">
        <f>G130*AO130</f>
        <v>0</v>
      </c>
      <c r="BI130" s="141">
        <f>G130*AP130</f>
        <v>0</v>
      </c>
      <c r="BJ130" s="141">
        <f>G130*H130</f>
        <v>0</v>
      </c>
    </row>
    <row r="131" spans="1:12" ht="12.75">
      <c r="A131" s="154"/>
      <c r="B131" s="154"/>
      <c r="C131" s="60" t="s">
        <v>491</v>
      </c>
      <c r="D131" s="61"/>
      <c r="E131" s="61"/>
      <c r="F131" s="154"/>
      <c r="G131" s="12">
        <v>1</v>
      </c>
      <c r="I131" s="154"/>
      <c r="J131" s="154"/>
      <c r="K131" s="154"/>
      <c r="L131" s="154"/>
    </row>
    <row r="132" spans="1:62" ht="12.75">
      <c r="A132" s="3" t="s">
        <v>53</v>
      </c>
      <c r="B132" s="3" t="s">
        <v>247</v>
      </c>
      <c r="C132" s="58" t="s">
        <v>492</v>
      </c>
      <c r="D132" s="59"/>
      <c r="E132" s="59"/>
      <c r="F132" s="3" t="s">
        <v>818</v>
      </c>
      <c r="G132" s="11">
        <v>170</v>
      </c>
      <c r="H132" s="141">
        <v>0</v>
      </c>
      <c r="I132" s="11">
        <f>G132*AO132</f>
        <v>0</v>
      </c>
      <c r="J132" s="11">
        <f>G132*AP132</f>
        <v>0</v>
      </c>
      <c r="K132" s="11">
        <f>G132*H132</f>
        <v>0</v>
      </c>
      <c r="L132" s="17" t="s">
        <v>845</v>
      </c>
      <c r="Z132" s="143">
        <f>IF(AQ132="5",BJ132,0)</f>
        <v>0</v>
      </c>
      <c r="AB132" s="143">
        <f>IF(AQ132="1",BH132,0)</f>
        <v>0</v>
      </c>
      <c r="AC132" s="143">
        <f>IF(AQ132="1",BI132,0)</f>
        <v>0</v>
      </c>
      <c r="AD132" s="143">
        <f>IF(AQ132="7",BH132,0)</f>
        <v>0</v>
      </c>
      <c r="AE132" s="143">
        <f>IF(AQ132="7",BI132,0)</f>
        <v>0</v>
      </c>
      <c r="AF132" s="143">
        <f>IF(AQ132="2",BH132,0)</f>
        <v>0</v>
      </c>
      <c r="AG132" s="143">
        <f>IF(AQ132="2",BI132,0)</f>
        <v>0</v>
      </c>
      <c r="AH132" s="143">
        <f>IF(AQ132="0",BJ132,0)</f>
        <v>0</v>
      </c>
      <c r="AI132" s="137" t="s">
        <v>860</v>
      </c>
      <c r="AJ132" s="141">
        <f>IF(AN132=0,K132,0)</f>
        <v>0</v>
      </c>
      <c r="AK132" s="141">
        <f>IF(AN132=15,K132,0)</f>
        <v>0</v>
      </c>
      <c r="AL132" s="141">
        <f>IF(AN132=21,K132,0)</f>
        <v>0</v>
      </c>
      <c r="AN132" s="143">
        <v>21</v>
      </c>
      <c r="AO132" s="143">
        <f>H132*0.856865464632455</f>
        <v>0</v>
      </c>
      <c r="AP132" s="143">
        <f>H132*(1-0.856865464632455)</f>
        <v>0</v>
      </c>
      <c r="AQ132" s="142" t="s">
        <v>7</v>
      </c>
      <c r="AV132" s="143">
        <f>AW132+AX132</f>
        <v>0</v>
      </c>
      <c r="AW132" s="143">
        <f>G132*AO132</f>
        <v>0</v>
      </c>
      <c r="AX132" s="143">
        <f>G132*AP132</f>
        <v>0</v>
      </c>
      <c r="AY132" s="144" t="s">
        <v>890</v>
      </c>
      <c r="AZ132" s="144" t="s">
        <v>913</v>
      </c>
      <c r="BA132" s="137" t="s">
        <v>956</v>
      </c>
      <c r="BC132" s="143">
        <f>AW132+AX132</f>
        <v>0</v>
      </c>
      <c r="BD132" s="143">
        <f>H132/(100-BE132)*100</f>
        <v>0</v>
      </c>
      <c r="BE132" s="143">
        <v>0</v>
      </c>
      <c r="BF132" s="143">
        <f>132</f>
        <v>132</v>
      </c>
      <c r="BH132" s="141">
        <f>G132*AO132</f>
        <v>0</v>
      </c>
      <c r="BI132" s="141">
        <f>G132*AP132</f>
        <v>0</v>
      </c>
      <c r="BJ132" s="141">
        <f>G132*H132</f>
        <v>0</v>
      </c>
    </row>
    <row r="133" spans="1:12" ht="12.75">
      <c r="A133" s="154"/>
      <c r="B133" s="154"/>
      <c r="C133" s="60" t="s">
        <v>493</v>
      </c>
      <c r="D133" s="61"/>
      <c r="E133" s="61"/>
      <c r="F133" s="154"/>
      <c r="G133" s="12">
        <v>170</v>
      </c>
      <c r="I133" s="154"/>
      <c r="J133" s="154"/>
      <c r="K133" s="154"/>
      <c r="L133" s="154"/>
    </row>
    <row r="134" spans="1:62" ht="12.75">
      <c r="A134" s="3" t="s">
        <v>54</v>
      </c>
      <c r="B134" s="3" t="s">
        <v>248</v>
      </c>
      <c r="C134" s="58" t="s">
        <v>494</v>
      </c>
      <c r="D134" s="59"/>
      <c r="E134" s="59"/>
      <c r="F134" s="3" t="s">
        <v>822</v>
      </c>
      <c r="G134" s="11">
        <v>1</v>
      </c>
      <c r="H134" s="141">
        <v>0</v>
      </c>
      <c r="I134" s="11">
        <f>G134*AO134</f>
        <v>0</v>
      </c>
      <c r="J134" s="11">
        <f>G134*AP134</f>
        <v>0</v>
      </c>
      <c r="K134" s="11">
        <f>G134*H134</f>
        <v>0</v>
      </c>
      <c r="L134" s="17" t="s">
        <v>845</v>
      </c>
      <c r="Z134" s="143">
        <f>IF(AQ134="5",BJ134,0)</f>
        <v>0</v>
      </c>
      <c r="AB134" s="143">
        <f>IF(AQ134="1",BH134,0)</f>
        <v>0</v>
      </c>
      <c r="AC134" s="143">
        <f>IF(AQ134="1",BI134,0)</f>
        <v>0</v>
      </c>
      <c r="AD134" s="143">
        <f>IF(AQ134="7",BH134,0)</f>
        <v>0</v>
      </c>
      <c r="AE134" s="143">
        <f>IF(AQ134="7",BI134,0)</f>
        <v>0</v>
      </c>
      <c r="AF134" s="143">
        <f>IF(AQ134="2",BH134,0)</f>
        <v>0</v>
      </c>
      <c r="AG134" s="143">
        <f>IF(AQ134="2",BI134,0)</f>
        <v>0</v>
      </c>
      <c r="AH134" s="143">
        <f>IF(AQ134="0",BJ134,0)</f>
        <v>0</v>
      </c>
      <c r="AI134" s="137" t="s">
        <v>860</v>
      </c>
      <c r="AJ134" s="141">
        <f>IF(AN134=0,K134,0)</f>
        <v>0</v>
      </c>
      <c r="AK134" s="141">
        <f>IF(AN134=15,K134,0)</f>
        <v>0</v>
      </c>
      <c r="AL134" s="141">
        <f>IF(AN134=21,K134,0)</f>
        <v>0</v>
      </c>
      <c r="AN134" s="143">
        <v>21</v>
      </c>
      <c r="AO134" s="143">
        <f>H134*0.856912290263557</f>
        <v>0</v>
      </c>
      <c r="AP134" s="143">
        <f>H134*(1-0.856912290263557)</f>
        <v>0</v>
      </c>
      <c r="AQ134" s="142" t="s">
        <v>7</v>
      </c>
      <c r="AV134" s="143">
        <f>AW134+AX134</f>
        <v>0</v>
      </c>
      <c r="AW134" s="143">
        <f>G134*AO134</f>
        <v>0</v>
      </c>
      <c r="AX134" s="143">
        <f>G134*AP134</f>
        <v>0</v>
      </c>
      <c r="AY134" s="144" t="s">
        <v>890</v>
      </c>
      <c r="AZ134" s="144" t="s">
        <v>913</v>
      </c>
      <c r="BA134" s="137" t="s">
        <v>956</v>
      </c>
      <c r="BC134" s="143">
        <f>AW134+AX134</f>
        <v>0</v>
      </c>
      <c r="BD134" s="143">
        <f>H134/(100-BE134)*100</f>
        <v>0</v>
      </c>
      <c r="BE134" s="143">
        <v>0</v>
      </c>
      <c r="BF134" s="143">
        <f>134</f>
        <v>134</v>
      </c>
      <c r="BH134" s="141">
        <f>G134*AO134</f>
        <v>0</v>
      </c>
      <c r="BI134" s="141">
        <f>G134*AP134</f>
        <v>0</v>
      </c>
      <c r="BJ134" s="141">
        <f>G134*H134</f>
        <v>0</v>
      </c>
    </row>
    <row r="135" spans="1:12" ht="12.75">
      <c r="A135" s="154"/>
      <c r="B135" s="154"/>
      <c r="C135" s="60" t="s">
        <v>495</v>
      </c>
      <c r="D135" s="61"/>
      <c r="E135" s="61"/>
      <c r="F135" s="154"/>
      <c r="G135" s="12">
        <v>1</v>
      </c>
      <c r="I135" s="154"/>
      <c r="J135" s="154"/>
      <c r="K135" s="154"/>
      <c r="L135" s="154"/>
    </row>
    <row r="136" spans="1:62" ht="12.75">
      <c r="A136" s="3" t="s">
        <v>55</v>
      </c>
      <c r="B136" s="3" t="s">
        <v>249</v>
      </c>
      <c r="C136" s="58" t="s">
        <v>496</v>
      </c>
      <c r="D136" s="59"/>
      <c r="E136" s="59"/>
      <c r="F136" s="3" t="s">
        <v>818</v>
      </c>
      <c r="G136" s="11">
        <v>108</v>
      </c>
      <c r="H136" s="141">
        <v>0</v>
      </c>
      <c r="I136" s="11">
        <f>G136*AO136</f>
        <v>0</v>
      </c>
      <c r="J136" s="11">
        <f>G136*AP136</f>
        <v>0</v>
      </c>
      <c r="K136" s="11">
        <f>G136*H136</f>
        <v>0</v>
      </c>
      <c r="L136" s="17" t="s">
        <v>845</v>
      </c>
      <c r="Z136" s="143">
        <f>IF(AQ136="5",BJ136,0)</f>
        <v>0</v>
      </c>
      <c r="AB136" s="143">
        <f>IF(AQ136="1",BH136,0)</f>
        <v>0</v>
      </c>
      <c r="AC136" s="143">
        <f>IF(AQ136="1",BI136,0)</f>
        <v>0</v>
      </c>
      <c r="AD136" s="143">
        <f>IF(AQ136="7",BH136,0)</f>
        <v>0</v>
      </c>
      <c r="AE136" s="143">
        <f>IF(AQ136="7",BI136,0)</f>
        <v>0</v>
      </c>
      <c r="AF136" s="143">
        <f>IF(AQ136="2",BH136,0)</f>
        <v>0</v>
      </c>
      <c r="AG136" s="143">
        <f>IF(AQ136="2",BI136,0)</f>
        <v>0</v>
      </c>
      <c r="AH136" s="143">
        <f>IF(AQ136="0",BJ136,0)</f>
        <v>0</v>
      </c>
      <c r="AI136" s="137" t="s">
        <v>860</v>
      </c>
      <c r="AJ136" s="141">
        <f>IF(AN136=0,K136,0)</f>
        <v>0</v>
      </c>
      <c r="AK136" s="141">
        <f>IF(AN136=15,K136,0)</f>
        <v>0</v>
      </c>
      <c r="AL136" s="141">
        <f>IF(AN136=21,K136,0)</f>
        <v>0</v>
      </c>
      <c r="AN136" s="143">
        <v>21</v>
      </c>
      <c r="AO136" s="143">
        <f>H136*0.859066382852334</f>
        <v>0</v>
      </c>
      <c r="AP136" s="143">
        <f>H136*(1-0.859066382852334)</f>
        <v>0</v>
      </c>
      <c r="AQ136" s="142" t="s">
        <v>7</v>
      </c>
      <c r="AV136" s="143">
        <f>AW136+AX136</f>
        <v>0</v>
      </c>
      <c r="AW136" s="143">
        <f>G136*AO136</f>
        <v>0</v>
      </c>
      <c r="AX136" s="143">
        <f>G136*AP136</f>
        <v>0</v>
      </c>
      <c r="AY136" s="144" t="s">
        <v>890</v>
      </c>
      <c r="AZ136" s="144" t="s">
        <v>913</v>
      </c>
      <c r="BA136" s="137" t="s">
        <v>956</v>
      </c>
      <c r="BC136" s="143">
        <f>AW136+AX136</f>
        <v>0</v>
      </c>
      <c r="BD136" s="143">
        <f>H136/(100-BE136)*100</f>
        <v>0</v>
      </c>
      <c r="BE136" s="143">
        <v>0</v>
      </c>
      <c r="BF136" s="143">
        <f>136</f>
        <v>136</v>
      </c>
      <c r="BH136" s="141">
        <f>G136*AO136</f>
        <v>0</v>
      </c>
      <c r="BI136" s="141">
        <f>G136*AP136</f>
        <v>0</v>
      </c>
      <c r="BJ136" s="141">
        <f>G136*H136</f>
        <v>0</v>
      </c>
    </row>
    <row r="137" spans="1:12" ht="12.75">
      <c r="A137" s="154"/>
      <c r="B137" s="154"/>
      <c r="C137" s="60" t="s">
        <v>497</v>
      </c>
      <c r="D137" s="61"/>
      <c r="E137" s="61"/>
      <c r="F137" s="154"/>
      <c r="G137" s="12">
        <v>108</v>
      </c>
      <c r="I137" s="154"/>
      <c r="J137" s="154"/>
      <c r="K137" s="154"/>
      <c r="L137" s="154"/>
    </row>
    <row r="138" spans="1:62" ht="12.75">
      <c r="A138" s="3" t="s">
        <v>56</v>
      </c>
      <c r="B138" s="3" t="s">
        <v>250</v>
      </c>
      <c r="C138" s="58" t="s">
        <v>498</v>
      </c>
      <c r="D138" s="59"/>
      <c r="E138" s="59"/>
      <c r="F138" s="3" t="s">
        <v>818</v>
      </c>
      <c r="G138" s="11">
        <v>108</v>
      </c>
      <c r="H138" s="141">
        <v>0</v>
      </c>
      <c r="I138" s="11">
        <f>G138*AO138</f>
        <v>0</v>
      </c>
      <c r="J138" s="11">
        <f>G138*AP138</f>
        <v>0</v>
      </c>
      <c r="K138" s="11">
        <f>G138*H138</f>
        <v>0</v>
      </c>
      <c r="L138" s="17" t="s">
        <v>845</v>
      </c>
      <c r="Z138" s="143">
        <f>IF(AQ138="5",BJ138,0)</f>
        <v>0</v>
      </c>
      <c r="AB138" s="143">
        <f>IF(AQ138="1",BH138,0)</f>
        <v>0</v>
      </c>
      <c r="AC138" s="143">
        <f>IF(AQ138="1",BI138,0)</f>
        <v>0</v>
      </c>
      <c r="AD138" s="143">
        <f>IF(AQ138="7",BH138,0)</f>
        <v>0</v>
      </c>
      <c r="AE138" s="143">
        <f>IF(AQ138="7",BI138,0)</f>
        <v>0</v>
      </c>
      <c r="AF138" s="143">
        <f>IF(AQ138="2",BH138,0)</f>
        <v>0</v>
      </c>
      <c r="AG138" s="143">
        <f>IF(AQ138="2",BI138,0)</f>
        <v>0</v>
      </c>
      <c r="AH138" s="143">
        <f>IF(AQ138="0",BJ138,0)</f>
        <v>0</v>
      </c>
      <c r="AI138" s="137" t="s">
        <v>860</v>
      </c>
      <c r="AJ138" s="141">
        <f>IF(AN138=0,K138,0)</f>
        <v>0</v>
      </c>
      <c r="AK138" s="141">
        <f>IF(AN138=15,K138,0)</f>
        <v>0</v>
      </c>
      <c r="AL138" s="141">
        <f>IF(AN138=21,K138,0)</f>
        <v>0</v>
      </c>
      <c r="AN138" s="143">
        <v>21</v>
      </c>
      <c r="AO138" s="143">
        <f>H138*0.561203319502075</f>
        <v>0</v>
      </c>
      <c r="AP138" s="143">
        <f>H138*(1-0.561203319502075)</f>
        <v>0</v>
      </c>
      <c r="AQ138" s="142" t="s">
        <v>7</v>
      </c>
      <c r="AV138" s="143">
        <f>AW138+AX138</f>
        <v>0</v>
      </c>
      <c r="AW138" s="143">
        <f>G138*AO138</f>
        <v>0</v>
      </c>
      <c r="AX138" s="143">
        <f>G138*AP138</f>
        <v>0</v>
      </c>
      <c r="AY138" s="144" t="s">
        <v>890</v>
      </c>
      <c r="AZ138" s="144" t="s">
        <v>913</v>
      </c>
      <c r="BA138" s="137" t="s">
        <v>956</v>
      </c>
      <c r="BC138" s="143">
        <f>AW138+AX138</f>
        <v>0</v>
      </c>
      <c r="BD138" s="143">
        <f>H138/(100-BE138)*100</f>
        <v>0</v>
      </c>
      <c r="BE138" s="143">
        <v>0</v>
      </c>
      <c r="BF138" s="143">
        <f>138</f>
        <v>138</v>
      </c>
      <c r="BH138" s="141">
        <f>G138*AO138</f>
        <v>0</v>
      </c>
      <c r="BI138" s="141">
        <f>G138*AP138</f>
        <v>0</v>
      </c>
      <c r="BJ138" s="141">
        <f>G138*H138</f>
        <v>0</v>
      </c>
    </row>
    <row r="139" spans="1:12" ht="12.75">
      <c r="A139" s="154"/>
      <c r="B139" s="154"/>
      <c r="C139" s="60" t="s">
        <v>497</v>
      </c>
      <c r="D139" s="61"/>
      <c r="E139" s="61"/>
      <c r="F139" s="154"/>
      <c r="G139" s="12">
        <v>108</v>
      </c>
      <c r="I139" s="154"/>
      <c r="J139" s="154"/>
      <c r="K139" s="154"/>
      <c r="L139" s="154"/>
    </row>
    <row r="140" spans="1:47" ht="12.75">
      <c r="A140" s="2"/>
      <c r="B140" s="9" t="s">
        <v>97</v>
      </c>
      <c r="C140" s="56" t="s">
        <v>485</v>
      </c>
      <c r="D140" s="57"/>
      <c r="E140" s="57"/>
      <c r="F140" s="2" t="s">
        <v>6</v>
      </c>
      <c r="G140" s="2" t="s">
        <v>6</v>
      </c>
      <c r="H140" s="139" t="s">
        <v>6</v>
      </c>
      <c r="I140" s="23">
        <f>SUM(I141:I145)</f>
        <v>0</v>
      </c>
      <c r="J140" s="23">
        <f>SUM(J141:J145)</f>
        <v>0</v>
      </c>
      <c r="K140" s="23">
        <f>SUM(K141:K145)</f>
        <v>0</v>
      </c>
      <c r="L140" s="16"/>
      <c r="AI140" s="137" t="s">
        <v>860</v>
      </c>
      <c r="AS140" s="140">
        <f>SUM(AJ141:AJ145)</f>
        <v>0</v>
      </c>
      <c r="AT140" s="140">
        <f>SUM(AK141:AK145)</f>
        <v>0</v>
      </c>
      <c r="AU140" s="140">
        <f>SUM(AL141:AL145)</f>
        <v>0</v>
      </c>
    </row>
    <row r="141" spans="1:62" ht="12.75">
      <c r="A141" s="3" t="s">
        <v>57</v>
      </c>
      <c r="B141" s="3" t="s">
        <v>251</v>
      </c>
      <c r="C141" s="58" t="s">
        <v>499</v>
      </c>
      <c r="D141" s="59"/>
      <c r="E141" s="59"/>
      <c r="F141" s="3" t="s">
        <v>815</v>
      </c>
      <c r="G141" s="11">
        <v>74</v>
      </c>
      <c r="H141" s="141">
        <v>0</v>
      </c>
      <c r="I141" s="11">
        <f>G141*AO141</f>
        <v>0</v>
      </c>
      <c r="J141" s="11">
        <f>G141*AP141</f>
        <v>0</v>
      </c>
      <c r="K141" s="11">
        <f>G141*H141</f>
        <v>0</v>
      </c>
      <c r="L141" s="17" t="s">
        <v>845</v>
      </c>
      <c r="Z141" s="143">
        <f>IF(AQ141="5",BJ141,0)</f>
        <v>0</v>
      </c>
      <c r="AB141" s="143">
        <f>IF(AQ141="1",BH141,0)</f>
        <v>0</v>
      </c>
      <c r="AC141" s="143">
        <f>IF(AQ141="1",BI141,0)</f>
        <v>0</v>
      </c>
      <c r="AD141" s="143">
        <f>IF(AQ141="7",BH141,0)</f>
        <v>0</v>
      </c>
      <c r="AE141" s="143">
        <f>IF(AQ141="7",BI141,0)</f>
        <v>0</v>
      </c>
      <c r="AF141" s="143">
        <f>IF(AQ141="2",BH141,0)</f>
        <v>0</v>
      </c>
      <c r="AG141" s="143">
        <f>IF(AQ141="2",BI141,0)</f>
        <v>0</v>
      </c>
      <c r="AH141" s="143">
        <f>IF(AQ141="0",BJ141,0)</f>
        <v>0</v>
      </c>
      <c r="AI141" s="137" t="s">
        <v>860</v>
      </c>
      <c r="AJ141" s="141">
        <f>IF(AN141=0,K141,0)</f>
        <v>0</v>
      </c>
      <c r="AK141" s="141">
        <f>IF(AN141=15,K141,0)</f>
        <v>0</v>
      </c>
      <c r="AL141" s="141">
        <f>IF(AN141=21,K141,0)</f>
        <v>0</v>
      </c>
      <c r="AN141" s="143">
        <v>21</v>
      </c>
      <c r="AO141" s="143">
        <f>H141*0.699787118174167</f>
        <v>0</v>
      </c>
      <c r="AP141" s="143">
        <f>H141*(1-0.699787118174167)</f>
        <v>0</v>
      </c>
      <c r="AQ141" s="142" t="s">
        <v>7</v>
      </c>
      <c r="AV141" s="143">
        <f>AW141+AX141</f>
        <v>0</v>
      </c>
      <c r="AW141" s="143">
        <f>G141*AO141</f>
        <v>0</v>
      </c>
      <c r="AX141" s="143">
        <f>G141*AP141</f>
        <v>0</v>
      </c>
      <c r="AY141" s="144" t="s">
        <v>889</v>
      </c>
      <c r="AZ141" s="144" t="s">
        <v>914</v>
      </c>
      <c r="BA141" s="137" t="s">
        <v>956</v>
      </c>
      <c r="BC141" s="143">
        <f>AW141+AX141</f>
        <v>0</v>
      </c>
      <c r="BD141" s="143">
        <f>H141/(100-BE141)*100</f>
        <v>0</v>
      </c>
      <c r="BE141" s="143">
        <v>0</v>
      </c>
      <c r="BF141" s="143">
        <f>141</f>
        <v>141</v>
      </c>
      <c r="BH141" s="141">
        <f>G141*AO141</f>
        <v>0</v>
      </c>
      <c r="BI141" s="141">
        <f>G141*AP141</f>
        <v>0</v>
      </c>
      <c r="BJ141" s="141">
        <f>G141*H141</f>
        <v>0</v>
      </c>
    </row>
    <row r="142" spans="1:12" ht="12.75">
      <c r="A142" s="154"/>
      <c r="B142" s="154"/>
      <c r="C142" s="60" t="s">
        <v>500</v>
      </c>
      <c r="D142" s="61"/>
      <c r="E142" s="61"/>
      <c r="F142" s="154"/>
      <c r="G142" s="12">
        <v>74</v>
      </c>
      <c r="I142" s="154"/>
      <c r="J142" s="154"/>
      <c r="K142" s="154"/>
      <c r="L142" s="154"/>
    </row>
    <row r="143" spans="1:62" ht="12.75">
      <c r="A143" s="3" t="s">
        <v>58</v>
      </c>
      <c r="B143" s="3" t="s">
        <v>252</v>
      </c>
      <c r="C143" s="58" t="s">
        <v>501</v>
      </c>
      <c r="D143" s="59"/>
      <c r="E143" s="59"/>
      <c r="F143" s="3" t="s">
        <v>821</v>
      </c>
      <c r="G143" s="11">
        <v>2.64</v>
      </c>
      <c r="H143" s="141">
        <v>0</v>
      </c>
      <c r="I143" s="11">
        <f>G143*AO143</f>
        <v>0</v>
      </c>
      <c r="J143" s="11">
        <f>G143*AP143</f>
        <v>0</v>
      </c>
      <c r="K143" s="11">
        <f>G143*H143</f>
        <v>0</v>
      </c>
      <c r="L143" s="17" t="s">
        <v>845</v>
      </c>
      <c r="Z143" s="143">
        <f>IF(AQ143="5",BJ143,0)</f>
        <v>0</v>
      </c>
      <c r="AB143" s="143">
        <f>IF(AQ143="1",BH143,0)</f>
        <v>0</v>
      </c>
      <c r="AC143" s="143">
        <f>IF(AQ143="1",BI143,0)</f>
        <v>0</v>
      </c>
      <c r="AD143" s="143">
        <f>IF(AQ143="7",BH143,0)</f>
        <v>0</v>
      </c>
      <c r="AE143" s="143">
        <f>IF(AQ143="7",BI143,0)</f>
        <v>0</v>
      </c>
      <c r="AF143" s="143">
        <f>IF(AQ143="2",BH143,0)</f>
        <v>0</v>
      </c>
      <c r="AG143" s="143">
        <f>IF(AQ143="2",BI143,0)</f>
        <v>0</v>
      </c>
      <c r="AH143" s="143">
        <f>IF(AQ143="0",BJ143,0)</f>
        <v>0</v>
      </c>
      <c r="AI143" s="137" t="s">
        <v>860</v>
      </c>
      <c r="AJ143" s="141">
        <f>IF(AN143=0,K143,0)</f>
        <v>0</v>
      </c>
      <c r="AK143" s="141">
        <f>IF(AN143=15,K143,0)</f>
        <v>0</v>
      </c>
      <c r="AL143" s="141">
        <f>IF(AN143=21,K143,0)</f>
        <v>0</v>
      </c>
      <c r="AN143" s="143">
        <v>21</v>
      </c>
      <c r="AO143" s="143">
        <f>H143*0.771368982151251</f>
        <v>0</v>
      </c>
      <c r="AP143" s="143">
        <f>H143*(1-0.771368982151251)</f>
        <v>0</v>
      </c>
      <c r="AQ143" s="142" t="s">
        <v>7</v>
      </c>
      <c r="AV143" s="143">
        <f>AW143+AX143</f>
        <v>0</v>
      </c>
      <c r="AW143" s="143">
        <f>G143*AO143</f>
        <v>0</v>
      </c>
      <c r="AX143" s="143">
        <f>G143*AP143</f>
        <v>0</v>
      </c>
      <c r="AY143" s="144" t="s">
        <v>889</v>
      </c>
      <c r="AZ143" s="144" t="s">
        <v>914</v>
      </c>
      <c r="BA143" s="137" t="s">
        <v>956</v>
      </c>
      <c r="BC143" s="143">
        <f>AW143+AX143</f>
        <v>0</v>
      </c>
      <c r="BD143" s="143">
        <f>H143/(100-BE143)*100</f>
        <v>0</v>
      </c>
      <c r="BE143" s="143">
        <v>0</v>
      </c>
      <c r="BF143" s="143">
        <f>143</f>
        <v>143</v>
      </c>
      <c r="BH143" s="141">
        <f>G143*AO143</f>
        <v>0</v>
      </c>
      <c r="BI143" s="141">
        <f>G143*AP143</f>
        <v>0</v>
      </c>
      <c r="BJ143" s="141">
        <f>G143*H143</f>
        <v>0</v>
      </c>
    </row>
    <row r="144" spans="1:12" ht="12.75">
      <c r="A144" s="154"/>
      <c r="B144" s="154"/>
      <c r="C144" s="60" t="s">
        <v>502</v>
      </c>
      <c r="D144" s="61"/>
      <c r="E144" s="61"/>
      <c r="F144" s="154"/>
      <c r="G144" s="12">
        <v>2.64</v>
      </c>
      <c r="I144" s="154"/>
      <c r="J144" s="154"/>
      <c r="K144" s="154"/>
      <c r="L144" s="154"/>
    </row>
    <row r="145" spans="1:62" ht="12.75">
      <c r="A145" s="3" t="s">
        <v>59</v>
      </c>
      <c r="B145" s="3" t="s">
        <v>253</v>
      </c>
      <c r="C145" s="58" t="s">
        <v>503</v>
      </c>
      <c r="D145" s="59"/>
      <c r="E145" s="59"/>
      <c r="F145" s="3" t="s">
        <v>822</v>
      </c>
      <c r="G145" s="11">
        <v>1</v>
      </c>
      <c r="H145" s="141">
        <v>0</v>
      </c>
      <c r="I145" s="11">
        <f>G145*AO145</f>
        <v>0</v>
      </c>
      <c r="J145" s="11">
        <f>G145*AP145</f>
        <v>0</v>
      </c>
      <c r="K145" s="11">
        <f>G145*H145</f>
        <v>0</v>
      </c>
      <c r="L145" s="17" t="s">
        <v>845</v>
      </c>
      <c r="Z145" s="143">
        <f>IF(AQ145="5",BJ145,0)</f>
        <v>0</v>
      </c>
      <c r="AB145" s="143">
        <f>IF(AQ145="1",BH145,0)</f>
        <v>0</v>
      </c>
      <c r="AC145" s="143">
        <f>IF(AQ145="1",BI145,0)</f>
        <v>0</v>
      </c>
      <c r="AD145" s="143">
        <f>IF(AQ145="7",BH145,0)</f>
        <v>0</v>
      </c>
      <c r="AE145" s="143">
        <f>IF(AQ145="7",BI145,0)</f>
        <v>0</v>
      </c>
      <c r="AF145" s="143">
        <f>IF(AQ145="2",BH145,0)</f>
        <v>0</v>
      </c>
      <c r="AG145" s="143">
        <f>IF(AQ145="2",BI145,0)</f>
        <v>0</v>
      </c>
      <c r="AH145" s="143">
        <f>IF(AQ145="0",BJ145,0)</f>
        <v>0</v>
      </c>
      <c r="AI145" s="137" t="s">
        <v>860</v>
      </c>
      <c r="AJ145" s="141">
        <f>IF(AN145=0,K145,0)</f>
        <v>0</v>
      </c>
      <c r="AK145" s="141">
        <f>IF(AN145=15,K145,0)</f>
        <v>0</v>
      </c>
      <c r="AL145" s="141">
        <f>IF(AN145=21,K145,0)</f>
        <v>0</v>
      </c>
      <c r="AN145" s="143">
        <v>21</v>
      </c>
      <c r="AO145" s="143">
        <f>H145*0.361358980233015</f>
        <v>0</v>
      </c>
      <c r="AP145" s="143">
        <f>H145*(1-0.361358980233015)</f>
        <v>0</v>
      </c>
      <c r="AQ145" s="142" t="s">
        <v>7</v>
      </c>
      <c r="AV145" s="143">
        <f>AW145+AX145</f>
        <v>0</v>
      </c>
      <c r="AW145" s="143">
        <f>G145*AO145</f>
        <v>0</v>
      </c>
      <c r="AX145" s="143">
        <f>G145*AP145</f>
        <v>0</v>
      </c>
      <c r="AY145" s="144" t="s">
        <v>889</v>
      </c>
      <c r="AZ145" s="144" t="s">
        <v>914</v>
      </c>
      <c r="BA145" s="137" t="s">
        <v>956</v>
      </c>
      <c r="BC145" s="143">
        <f>AW145+AX145</f>
        <v>0</v>
      </c>
      <c r="BD145" s="143">
        <f>H145/(100-BE145)*100</f>
        <v>0</v>
      </c>
      <c r="BE145" s="143">
        <v>0</v>
      </c>
      <c r="BF145" s="143">
        <f>145</f>
        <v>145</v>
      </c>
      <c r="BH145" s="141">
        <f>G145*AO145</f>
        <v>0</v>
      </c>
      <c r="BI145" s="141">
        <f>G145*AP145</f>
        <v>0</v>
      </c>
      <c r="BJ145" s="141">
        <f>G145*H145</f>
        <v>0</v>
      </c>
    </row>
    <row r="146" spans="1:12" ht="12.75">
      <c r="A146" s="154"/>
      <c r="B146" s="154"/>
      <c r="C146" s="60" t="s">
        <v>495</v>
      </c>
      <c r="D146" s="61"/>
      <c r="E146" s="61"/>
      <c r="F146" s="154"/>
      <c r="G146" s="12">
        <v>1</v>
      </c>
      <c r="I146" s="154"/>
      <c r="J146" s="154"/>
      <c r="K146" s="154"/>
      <c r="L146" s="154"/>
    </row>
    <row r="147" spans="1:12" ht="12.75">
      <c r="A147" s="4"/>
      <c r="B147" s="10"/>
      <c r="C147" s="62" t="s">
        <v>504</v>
      </c>
      <c r="D147" s="63"/>
      <c r="E147" s="63"/>
      <c r="F147" s="4" t="s">
        <v>6</v>
      </c>
      <c r="G147" s="4" t="s">
        <v>6</v>
      </c>
      <c r="H147" s="145" t="s">
        <v>6</v>
      </c>
      <c r="I147" s="24">
        <f>I148+I153</f>
        <v>0</v>
      </c>
      <c r="J147" s="24">
        <f>J148+J153</f>
        <v>0</v>
      </c>
      <c r="K147" s="24">
        <f>K148+K153</f>
        <v>0</v>
      </c>
      <c r="L147" s="18"/>
    </row>
    <row r="148" spans="1:47" ht="12.75">
      <c r="A148" s="2"/>
      <c r="B148" s="9" t="s">
        <v>96</v>
      </c>
      <c r="C148" s="56" t="s">
        <v>505</v>
      </c>
      <c r="D148" s="57"/>
      <c r="E148" s="57"/>
      <c r="F148" s="2" t="s">
        <v>6</v>
      </c>
      <c r="G148" s="2" t="s">
        <v>6</v>
      </c>
      <c r="H148" s="139" t="s">
        <v>6</v>
      </c>
      <c r="I148" s="23">
        <f>SUM(I149:I151)</f>
        <v>0</v>
      </c>
      <c r="J148" s="23">
        <f>SUM(J149:J151)</f>
        <v>0</v>
      </c>
      <c r="K148" s="23">
        <f>SUM(K149:K151)</f>
        <v>0</v>
      </c>
      <c r="L148" s="16"/>
      <c r="AI148" s="137" t="s">
        <v>861</v>
      </c>
      <c r="AS148" s="140">
        <f>SUM(AJ149:AJ151)</f>
        <v>0</v>
      </c>
      <c r="AT148" s="140">
        <f>SUM(AK149:AK151)</f>
        <v>0</v>
      </c>
      <c r="AU148" s="140">
        <f>SUM(AL149:AL151)</f>
        <v>0</v>
      </c>
    </row>
    <row r="149" spans="1:62" ht="12.75">
      <c r="A149" s="3" t="s">
        <v>60</v>
      </c>
      <c r="B149" s="3" t="s">
        <v>254</v>
      </c>
      <c r="C149" s="58" t="s">
        <v>506</v>
      </c>
      <c r="D149" s="59"/>
      <c r="E149" s="59"/>
      <c r="F149" s="3" t="s">
        <v>823</v>
      </c>
      <c r="G149" s="11">
        <v>3.336</v>
      </c>
      <c r="H149" s="141">
        <v>0</v>
      </c>
      <c r="I149" s="11">
        <f>G149*AO149</f>
        <v>0</v>
      </c>
      <c r="J149" s="11">
        <f>G149*AP149</f>
        <v>0</v>
      </c>
      <c r="K149" s="11">
        <f>G149*H149</f>
        <v>0</v>
      </c>
      <c r="L149" s="17" t="s">
        <v>845</v>
      </c>
      <c r="Z149" s="143">
        <f>IF(AQ149="5",BJ149,0)</f>
        <v>0</v>
      </c>
      <c r="AB149" s="143">
        <f>IF(AQ149="1",BH149,0)</f>
        <v>0</v>
      </c>
      <c r="AC149" s="143">
        <f>IF(AQ149="1",BI149,0)</f>
        <v>0</v>
      </c>
      <c r="AD149" s="143">
        <f>IF(AQ149="7",BH149,0)</f>
        <v>0</v>
      </c>
      <c r="AE149" s="143">
        <f>IF(AQ149="7",BI149,0)</f>
        <v>0</v>
      </c>
      <c r="AF149" s="143">
        <f>IF(AQ149="2",BH149,0)</f>
        <v>0</v>
      </c>
      <c r="AG149" s="143">
        <f>IF(AQ149="2",BI149,0)</f>
        <v>0</v>
      </c>
      <c r="AH149" s="143">
        <f>IF(AQ149="0",BJ149,0)</f>
        <v>0</v>
      </c>
      <c r="AI149" s="137" t="s">
        <v>861</v>
      </c>
      <c r="AJ149" s="141">
        <f>IF(AN149=0,K149,0)</f>
        <v>0</v>
      </c>
      <c r="AK149" s="141">
        <f>IF(AN149=15,K149,0)</f>
        <v>0</v>
      </c>
      <c r="AL149" s="141">
        <f>IF(AN149=21,K149,0)</f>
        <v>0</v>
      </c>
      <c r="AN149" s="143">
        <v>21</v>
      </c>
      <c r="AO149" s="143">
        <f>H149*0.611843569553806</f>
        <v>0</v>
      </c>
      <c r="AP149" s="143">
        <f>H149*(1-0.611843569553806)</f>
        <v>0</v>
      </c>
      <c r="AQ149" s="142" t="s">
        <v>7</v>
      </c>
      <c r="AV149" s="143">
        <f>AW149+AX149</f>
        <v>0</v>
      </c>
      <c r="AW149" s="143">
        <f>G149*AO149</f>
        <v>0</v>
      </c>
      <c r="AX149" s="143">
        <f>G149*AP149</f>
        <v>0</v>
      </c>
      <c r="AY149" s="144" t="s">
        <v>891</v>
      </c>
      <c r="AZ149" s="144" t="s">
        <v>915</v>
      </c>
      <c r="BA149" s="137" t="s">
        <v>957</v>
      </c>
      <c r="BC149" s="143">
        <f>AW149+AX149</f>
        <v>0</v>
      </c>
      <c r="BD149" s="143">
        <f>H149/(100-BE149)*100</f>
        <v>0</v>
      </c>
      <c r="BE149" s="143">
        <v>0</v>
      </c>
      <c r="BF149" s="143">
        <f>149</f>
        <v>149</v>
      </c>
      <c r="BH149" s="141">
        <f>G149*AO149</f>
        <v>0</v>
      </c>
      <c r="BI149" s="141">
        <f>G149*AP149</f>
        <v>0</v>
      </c>
      <c r="BJ149" s="141">
        <f>G149*H149</f>
        <v>0</v>
      </c>
    </row>
    <row r="150" spans="1:12" ht="12.75">
      <c r="A150" s="154"/>
      <c r="B150" s="154"/>
      <c r="C150" s="60" t="s">
        <v>507</v>
      </c>
      <c r="D150" s="61"/>
      <c r="E150" s="61"/>
      <c r="F150" s="154"/>
      <c r="G150" s="12">
        <v>3.336</v>
      </c>
      <c r="I150" s="154"/>
      <c r="J150" s="154"/>
      <c r="K150" s="154"/>
      <c r="L150" s="154"/>
    </row>
    <row r="151" spans="1:62" ht="12.75">
      <c r="A151" s="3" t="s">
        <v>61</v>
      </c>
      <c r="B151" s="3" t="s">
        <v>255</v>
      </c>
      <c r="C151" s="58" t="s">
        <v>508</v>
      </c>
      <c r="D151" s="59"/>
      <c r="E151" s="59"/>
      <c r="F151" s="3" t="s">
        <v>823</v>
      </c>
      <c r="G151" s="11">
        <v>0.0407</v>
      </c>
      <c r="H151" s="141">
        <v>0</v>
      </c>
      <c r="I151" s="11">
        <f>G151*AO151</f>
        <v>0</v>
      </c>
      <c r="J151" s="11">
        <f>G151*AP151</f>
        <v>0</v>
      </c>
      <c r="K151" s="11">
        <f>G151*H151</f>
        <v>0</v>
      </c>
      <c r="L151" s="17" t="s">
        <v>845</v>
      </c>
      <c r="Z151" s="143">
        <f>IF(AQ151="5",BJ151,0)</f>
        <v>0</v>
      </c>
      <c r="AB151" s="143">
        <f>IF(AQ151="1",BH151,0)</f>
        <v>0</v>
      </c>
      <c r="AC151" s="143">
        <f>IF(AQ151="1",BI151,0)</f>
        <v>0</v>
      </c>
      <c r="AD151" s="143">
        <f>IF(AQ151="7",BH151,0)</f>
        <v>0</v>
      </c>
      <c r="AE151" s="143">
        <f>IF(AQ151="7",BI151,0)</f>
        <v>0</v>
      </c>
      <c r="AF151" s="143">
        <f>IF(AQ151="2",BH151,0)</f>
        <v>0</v>
      </c>
      <c r="AG151" s="143">
        <f>IF(AQ151="2",BI151,0)</f>
        <v>0</v>
      </c>
      <c r="AH151" s="143">
        <f>IF(AQ151="0",BJ151,0)</f>
        <v>0</v>
      </c>
      <c r="AI151" s="137" t="s">
        <v>861</v>
      </c>
      <c r="AJ151" s="141">
        <f>IF(AN151=0,K151,0)</f>
        <v>0</v>
      </c>
      <c r="AK151" s="141">
        <f>IF(AN151=15,K151,0)</f>
        <v>0</v>
      </c>
      <c r="AL151" s="141">
        <f>IF(AN151=21,K151,0)</f>
        <v>0</v>
      </c>
      <c r="AN151" s="143">
        <v>21</v>
      </c>
      <c r="AO151" s="143">
        <f>H151*0.611844186181064</f>
        <v>0</v>
      </c>
      <c r="AP151" s="143">
        <f>H151*(1-0.611844186181064)</f>
        <v>0</v>
      </c>
      <c r="AQ151" s="142" t="s">
        <v>7</v>
      </c>
      <c r="AV151" s="143">
        <f>AW151+AX151</f>
        <v>0</v>
      </c>
      <c r="AW151" s="143">
        <f>G151*AO151</f>
        <v>0</v>
      </c>
      <c r="AX151" s="143">
        <f>G151*AP151</f>
        <v>0</v>
      </c>
      <c r="AY151" s="144" t="s">
        <v>891</v>
      </c>
      <c r="AZ151" s="144" t="s">
        <v>915</v>
      </c>
      <c r="BA151" s="137" t="s">
        <v>957</v>
      </c>
      <c r="BC151" s="143">
        <f>AW151+AX151</f>
        <v>0</v>
      </c>
      <c r="BD151" s="143">
        <f>H151/(100-BE151)*100</f>
        <v>0</v>
      </c>
      <c r="BE151" s="143">
        <v>0</v>
      </c>
      <c r="BF151" s="143">
        <f>151</f>
        <v>151</v>
      </c>
      <c r="BH151" s="141">
        <f>G151*AO151</f>
        <v>0</v>
      </c>
      <c r="BI151" s="141">
        <f>G151*AP151</f>
        <v>0</v>
      </c>
      <c r="BJ151" s="141">
        <f>G151*H151</f>
        <v>0</v>
      </c>
    </row>
    <row r="152" spans="1:12" ht="12.75">
      <c r="A152" s="154"/>
      <c r="B152" s="154"/>
      <c r="C152" s="60" t="s">
        <v>509</v>
      </c>
      <c r="D152" s="61"/>
      <c r="E152" s="61"/>
      <c r="F152" s="154"/>
      <c r="G152" s="12">
        <v>0.0407</v>
      </c>
      <c r="I152" s="154"/>
      <c r="J152" s="154"/>
      <c r="K152" s="154"/>
      <c r="L152" s="154"/>
    </row>
    <row r="153" spans="1:47" ht="12.75">
      <c r="A153" s="2"/>
      <c r="B153" s="9"/>
      <c r="C153" s="56" t="s">
        <v>510</v>
      </c>
      <c r="D153" s="57"/>
      <c r="E153" s="57"/>
      <c r="F153" s="2" t="s">
        <v>6</v>
      </c>
      <c r="G153" s="2" t="s">
        <v>6</v>
      </c>
      <c r="H153" s="139" t="s">
        <v>6</v>
      </c>
      <c r="I153" s="23">
        <f>SUM(I154:I162)</f>
        <v>0</v>
      </c>
      <c r="J153" s="23">
        <f>SUM(J154:J162)</f>
        <v>0</v>
      </c>
      <c r="K153" s="23">
        <f>SUM(K154:K162)</f>
        <v>0</v>
      </c>
      <c r="L153" s="16"/>
      <c r="AI153" s="137" t="s">
        <v>861</v>
      </c>
      <c r="AS153" s="140">
        <f>SUM(AJ154:AJ162)</f>
        <v>0</v>
      </c>
      <c r="AT153" s="140">
        <f>SUM(AK154:AK162)</f>
        <v>0</v>
      </c>
      <c r="AU153" s="140">
        <f>SUM(AL154:AL162)</f>
        <v>0</v>
      </c>
    </row>
    <row r="154" spans="1:62" ht="12.75">
      <c r="A154" s="5" t="s">
        <v>62</v>
      </c>
      <c r="B154" s="5" t="s">
        <v>256</v>
      </c>
      <c r="C154" s="64" t="s">
        <v>511</v>
      </c>
      <c r="D154" s="65"/>
      <c r="E154" s="65"/>
      <c r="F154" s="5" t="s">
        <v>816</v>
      </c>
      <c r="G154" s="13">
        <v>134.7744</v>
      </c>
      <c r="H154" s="146">
        <v>0</v>
      </c>
      <c r="I154" s="13">
        <f>G154*AO154</f>
        <v>0</v>
      </c>
      <c r="J154" s="13">
        <f>G154*AP154</f>
        <v>0</v>
      </c>
      <c r="K154" s="13">
        <f>G154*H154</f>
        <v>0</v>
      </c>
      <c r="L154" s="19" t="s">
        <v>845</v>
      </c>
      <c r="Z154" s="143">
        <f>IF(AQ154="5",BJ154,0)</f>
        <v>0</v>
      </c>
      <c r="AB154" s="143">
        <f>IF(AQ154="1",BH154,0)</f>
        <v>0</v>
      </c>
      <c r="AC154" s="143">
        <f>IF(AQ154="1",BI154,0)</f>
        <v>0</v>
      </c>
      <c r="AD154" s="143">
        <f>IF(AQ154="7",BH154,0)</f>
        <v>0</v>
      </c>
      <c r="AE154" s="143">
        <f>IF(AQ154="7",BI154,0)</f>
        <v>0</v>
      </c>
      <c r="AF154" s="143">
        <f>IF(AQ154="2",BH154,0)</f>
        <v>0</v>
      </c>
      <c r="AG154" s="143">
        <f>IF(AQ154="2",BI154,0)</f>
        <v>0</v>
      </c>
      <c r="AH154" s="143">
        <f>IF(AQ154="0",BJ154,0)</f>
        <v>0</v>
      </c>
      <c r="AI154" s="137" t="s">
        <v>861</v>
      </c>
      <c r="AJ154" s="146">
        <f>IF(AN154=0,K154,0)</f>
        <v>0</v>
      </c>
      <c r="AK154" s="146">
        <f>IF(AN154=15,K154,0)</f>
        <v>0</v>
      </c>
      <c r="AL154" s="146">
        <f>IF(AN154=21,K154,0)</f>
        <v>0</v>
      </c>
      <c r="AN154" s="143">
        <v>21</v>
      </c>
      <c r="AO154" s="143">
        <f>H154*1</f>
        <v>0</v>
      </c>
      <c r="AP154" s="143">
        <f>H154*(1-1)</f>
        <v>0</v>
      </c>
      <c r="AQ154" s="147" t="s">
        <v>882</v>
      </c>
      <c r="AV154" s="143">
        <f>AW154+AX154</f>
        <v>0</v>
      </c>
      <c r="AW154" s="143">
        <f>G154*AO154</f>
        <v>0</v>
      </c>
      <c r="AX154" s="143">
        <f>G154*AP154</f>
        <v>0</v>
      </c>
      <c r="AY154" s="144" t="s">
        <v>892</v>
      </c>
      <c r="AZ154" s="144" t="s">
        <v>916</v>
      </c>
      <c r="BA154" s="137" t="s">
        <v>957</v>
      </c>
      <c r="BC154" s="143">
        <f>AW154+AX154</f>
        <v>0</v>
      </c>
      <c r="BD154" s="143">
        <f>H154/(100-BE154)*100</f>
        <v>0</v>
      </c>
      <c r="BE154" s="143">
        <v>0</v>
      </c>
      <c r="BF154" s="143">
        <f>154</f>
        <v>154</v>
      </c>
      <c r="BH154" s="146">
        <f>G154*AO154</f>
        <v>0</v>
      </c>
      <c r="BI154" s="146">
        <f>G154*AP154</f>
        <v>0</v>
      </c>
      <c r="BJ154" s="146">
        <f>G154*H154</f>
        <v>0</v>
      </c>
    </row>
    <row r="155" spans="1:12" ht="12.75">
      <c r="A155" s="154"/>
      <c r="B155" s="154"/>
      <c r="C155" s="60" t="s">
        <v>512</v>
      </c>
      <c r="D155" s="61"/>
      <c r="E155" s="61"/>
      <c r="F155" s="154"/>
      <c r="G155" s="12">
        <v>133.44</v>
      </c>
      <c r="I155" s="154"/>
      <c r="J155" s="154"/>
      <c r="K155" s="154"/>
      <c r="L155" s="154"/>
    </row>
    <row r="156" spans="1:12" ht="12.75">
      <c r="A156" s="154"/>
      <c r="B156" s="154"/>
      <c r="C156" s="60" t="s">
        <v>513</v>
      </c>
      <c r="D156" s="61"/>
      <c r="E156" s="61"/>
      <c r="F156" s="154"/>
      <c r="G156" s="12">
        <v>1.3344</v>
      </c>
      <c r="I156" s="154"/>
      <c r="J156" s="154"/>
      <c r="K156" s="154"/>
      <c r="L156" s="154"/>
    </row>
    <row r="157" spans="1:62" ht="12.75">
      <c r="A157" s="5" t="s">
        <v>63</v>
      </c>
      <c r="B157" s="5" t="s">
        <v>257</v>
      </c>
      <c r="C157" s="64" t="s">
        <v>514</v>
      </c>
      <c r="D157" s="65"/>
      <c r="E157" s="65"/>
      <c r="F157" s="5" t="s">
        <v>816</v>
      </c>
      <c r="G157" s="13">
        <v>135.34</v>
      </c>
      <c r="H157" s="146">
        <v>0</v>
      </c>
      <c r="I157" s="13">
        <f>G157*AO157</f>
        <v>0</v>
      </c>
      <c r="J157" s="13">
        <f>G157*AP157</f>
        <v>0</v>
      </c>
      <c r="K157" s="13">
        <f>G157*H157</f>
        <v>0</v>
      </c>
      <c r="L157" s="19" t="s">
        <v>845</v>
      </c>
      <c r="Z157" s="143">
        <f>IF(AQ157="5",BJ157,0)</f>
        <v>0</v>
      </c>
      <c r="AB157" s="143">
        <f>IF(AQ157="1",BH157,0)</f>
        <v>0</v>
      </c>
      <c r="AC157" s="143">
        <f>IF(AQ157="1",BI157,0)</f>
        <v>0</v>
      </c>
      <c r="AD157" s="143">
        <f>IF(AQ157="7",BH157,0)</f>
        <v>0</v>
      </c>
      <c r="AE157" s="143">
        <f>IF(AQ157="7",BI157,0)</f>
        <v>0</v>
      </c>
      <c r="AF157" s="143">
        <f>IF(AQ157="2",BH157,0)</f>
        <v>0</v>
      </c>
      <c r="AG157" s="143">
        <f>IF(AQ157="2",BI157,0)</f>
        <v>0</v>
      </c>
      <c r="AH157" s="143">
        <f>IF(AQ157="0",BJ157,0)</f>
        <v>0</v>
      </c>
      <c r="AI157" s="137" t="s">
        <v>861</v>
      </c>
      <c r="AJ157" s="146">
        <f>IF(AN157=0,K157,0)</f>
        <v>0</v>
      </c>
      <c r="AK157" s="146">
        <f>IF(AN157=15,K157,0)</f>
        <v>0</v>
      </c>
      <c r="AL157" s="146">
        <f>IF(AN157=21,K157,0)</f>
        <v>0</v>
      </c>
      <c r="AN157" s="143">
        <v>21</v>
      </c>
      <c r="AO157" s="143">
        <f>H157*1</f>
        <v>0</v>
      </c>
      <c r="AP157" s="143">
        <f>H157*(1-1)</f>
        <v>0</v>
      </c>
      <c r="AQ157" s="147" t="s">
        <v>882</v>
      </c>
      <c r="AV157" s="143">
        <f>AW157+AX157</f>
        <v>0</v>
      </c>
      <c r="AW157" s="143">
        <f>G157*AO157</f>
        <v>0</v>
      </c>
      <c r="AX157" s="143">
        <f>G157*AP157</f>
        <v>0</v>
      </c>
      <c r="AY157" s="144" t="s">
        <v>892</v>
      </c>
      <c r="AZ157" s="144" t="s">
        <v>916</v>
      </c>
      <c r="BA157" s="137" t="s">
        <v>957</v>
      </c>
      <c r="BC157" s="143">
        <f>AW157+AX157</f>
        <v>0</v>
      </c>
      <c r="BD157" s="143">
        <f>H157/(100-BE157)*100</f>
        <v>0</v>
      </c>
      <c r="BE157" s="143">
        <v>0</v>
      </c>
      <c r="BF157" s="143">
        <f>157</f>
        <v>157</v>
      </c>
      <c r="BH157" s="146">
        <f>G157*AO157</f>
        <v>0</v>
      </c>
      <c r="BI157" s="146">
        <f>G157*AP157</f>
        <v>0</v>
      </c>
      <c r="BJ157" s="146">
        <f>G157*H157</f>
        <v>0</v>
      </c>
    </row>
    <row r="158" spans="1:12" ht="12.75">
      <c r="A158" s="154"/>
      <c r="B158" s="154"/>
      <c r="C158" s="60" t="s">
        <v>515</v>
      </c>
      <c r="D158" s="61"/>
      <c r="E158" s="61"/>
      <c r="F158" s="154"/>
      <c r="G158" s="12">
        <v>134</v>
      </c>
      <c r="I158" s="154"/>
      <c r="J158" s="154"/>
      <c r="K158" s="154"/>
      <c r="L158" s="154"/>
    </row>
    <row r="159" spans="1:12" ht="12.75">
      <c r="A159" s="154"/>
      <c r="B159" s="154"/>
      <c r="C159" s="60" t="s">
        <v>516</v>
      </c>
      <c r="D159" s="61"/>
      <c r="E159" s="61"/>
      <c r="F159" s="154"/>
      <c r="G159" s="12">
        <v>1.34</v>
      </c>
      <c r="I159" s="154"/>
      <c r="J159" s="154"/>
      <c r="K159" s="154"/>
      <c r="L159" s="154"/>
    </row>
    <row r="160" spans="1:62" ht="12.75">
      <c r="A160" s="5" t="s">
        <v>64</v>
      </c>
      <c r="B160" s="5" t="s">
        <v>258</v>
      </c>
      <c r="C160" s="64" t="s">
        <v>517</v>
      </c>
      <c r="D160" s="65"/>
      <c r="E160" s="65"/>
      <c r="F160" s="5" t="s">
        <v>816</v>
      </c>
      <c r="G160" s="13">
        <v>1</v>
      </c>
      <c r="H160" s="146">
        <v>0</v>
      </c>
      <c r="I160" s="13">
        <f>G160*AO160</f>
        <v>0</v>
      </c>
      <c r="J160" s="13">
        <f>G160*AP160</f>
        <v>0</v>
      </c>
      <c r="K160" s="13">
        <f>G160*H160</f>
        <v>0</v>
      </c>
      <c r="L160" s="19" t="s">
        <v>845</v>
      </c>
      <c r="Z160" s="143">
        <f>IF(AQ160="5",BJ160,0)</f>
        <v>0</v>
      </c>
      <c r="AB160" s="143">
        <f>IF(AQ160="1",BH160,0)</f>
        <v>0</v>
      </c>
      <c r="AC160" s="143">
        <f>IF(AQ160="1",BI160,0)</f>
        <v>0</v>
      </c>
      <c r="AD160" s="143">
        <f>IF(AQ160="7",BH160,0)</f>
        <v>0</v>
      </c>
      <c r="AE160" s="143">
        <f>IF(AQ160="7",BI160,0)</f>
        <v>0</v>
      </c>
      <c r="AF160" s="143">
        <f>IF(AQ160="2",BH160,0)</f>
        <v>0</v>
      </c>
      <c r="AG160" s="143">
        <f>IF(AQ160="2",BI160,0)</f>
        <v>0</v>
      </c>
      <c r="AH160" s="143">
        <f>IF(AQ160="0",BJ160,0)</f>
        <v>0</v>
      </c>
      <c r="AI160" s="137" t="s">
        <v>861</v>
      </c>
      <c r="AJ160" s="146">
        <f>IF(AN160=0,K160,0)</f>
        <v>0</v>
      </c>
      <c r="AK160" s="146">
        <f>IF(AN160=15,K160,0)</f>
        <v>0</v>
      </c>
      <c r="AL160" s="146">
        <f>IF(AN160=21,K160,0)</f>
        <v>0</v>
      </c>
      <c r="AN160" s="143">
        <v>21</v>
      </c>
      <c r="AO160" s="143">
        <f>H160*1</f>
        <v>0</v>
      </c>
      <c r="AP160" s="143">
        <f>H160*(1-1)</f>
        <v>0</v>
      </c>
      <c r="AQ160" s="147" t="s">
        <v>882</v>
      </c>
      <c r="AV160" s="143">
        <f>AW160+AX160</f>
        <v>0</v>
      </c>
      <c r="AW160" s="143">
        <f>G160*AO160</f>
        <v>0</v>
      </c>
      <c r="AX160" s="143">
        <f>G160*AP160</f>
        <v>0</v>
      </c>
      <c r="AY160" s="144" t="s">
        <v>892</v>
      </c>
      <c r="AZ160" s="144" t="s">
        <v>916</v>
      </c>
      <c r="BA160" s="137" t="s">
        <v>957</v>
      </c>
      <c r="BC160" s="143">
        <f>AW160+AX160</f>
        <v>0</v>
      </c>
      <c r="BD160" s="143">
        <f>H160/(100-BE160)*100</f>
        <v>0</v>
      </c>
      <c r="BE160" s="143">
        <v>0</v>
      </c>
      <c r="BF160" s="143">
        <f>160</f>
        <v>160</v>
      </c>
      <c r="BH160" s="146">
        <f>G160*AO160</f>
        <v>0</v>
      </c>
      <c r="BI160" s="146">
        <f>G160*AP160</f>
        <v>0</v>
      </c>
      <c r="BJ160" s="146">
        <f>G160*H160</f>
        <v>0</v>
      </c>
    </row>
    <row r="161" spans="1:12" ht="12.75">
      <c r="A161" s="154"/>
      <c r="B161" s="154"/>
      <c r="C161" s="60" t="s">
        <v>518</v>
      </c>
      <c r="D161" s="61"/>
      <c r="E161" s="61"/>
      <c r="F161" s="154"/>
      <c r="G161" s="12">
        <v>1</v>
      </c>
      <c r="I161" s="154"/>
      <c r="J161" s="154"/>
      <c r="K161" s="154"/>
      <c r="L161" s="154"/>
    </row>
    <row r="162" spans="1:62" ht="12.75">
      <c r="A162" s="5" t="s">
        <v>65</v>
      </c>
      <c r="B162" s="5" t="s">
        <v>259</v>
      </c>
      <c r="C162" s="64" t="s">
        <v>519</v>
      </c>
      <c r="D162" s="65"/>
      <c r="E162" s="65"/>
      <c r="F162" s="5" t="s">
        <v>816</v>
      </c>
      <c r="G162" s="13">
        <v>1</v>
      </c>
      <c r="H162" s="146">
        <v>0</v>
      </c>
      <c r="I162" s="13">
        <f>G162*AO162</f>
        <v>0</v>
      </c>
      <c r="J162" s="13">
        <f>G162*AP162</f>
        <v>0</v>
      </c>
      <c r="K162" s="13">
        <f>G162*H162</f>
        <v>0</v>
      </c>
      <c r="L162" s="19" t="s">
        <v>845</v>
      </c>
      <c r="Z162" s="143">
        <f>IF(AQ162="5",BJ162,0)</f>
        <v>0</v>
      </c>
      <c r="AB162" s="143">
        <f>IF(AQ162="1",BH162,0)</f>
        <v>0</v>
      </c>
      <c r="AC162" s="143">
        <f>IF(AQ162="1",BI162,0)</f>
        <v>0</v>
      </c>
      <c r="AD162" s="143">
        <f>IF(AQ162="7",BH162,0)</f>
        <v>0</v>
      </c>
      <c r="AE162" s="143">
        <f>IF(AQ162="7",BI162,0)</f>
        <v>0</v>
      </c>
      <c r="AF162" s="143">
        <f>IF(AQ162="2",BH162,0)</f>
        <v>0</v>
      </c>
      <c r="AG162" s="143">
        <f>IF(AQ162="2",BI162,0)</f>
        <v>0</v>
      </c>
      <c r="AH162" s="143">
        <f>IF(AQ162="0",BJ162,0)</f>
        <v>0</v>
      </c>
      <c r="AI162" s="137" t="s">
        <v>861</v>
      </c>
      <c r="AJ162" s="146">
        <f>IF(AN162=0,K162,0)</f>
        <v>0</v>
      </c>
      <c r="AK162" s="146">
        <f>IF(AN162=15,K162,0)</f>
        <v>0</v>
      </c>
      <c r="AL162" s="146">
        <f>IF(AN162=21,K162,0)</f>
        <v>0</v>
      </c>
      <c r="AN162" s="143">
        <v>21</v>
      </c>
      <c r="AO162" s="143">
        <f>H162*1</f>
        <v>0</v>
      </c>
      <c r="AP162" s="143">
        <f>H162*(1-1)</f>
        <v>0</v>
      </c>
      <c r="AQ162" s="147" t="s">
        <v>882</v>
      </c>
      <c r="AV162" s="143">
        <f>AW162+AX162</f>
        <v>0</v>
      </c>
      <c r="AW162" s="143">
        <f>G162*AO162</f>
        <v>0</v>
      </c>
      <c r="AX162" s="143">
        <f>G162*AP162</f>
        <v>0</v>
      </c>
      <c r="AY162" s="144" t="s">
        <v>892</v>
      </c>
      <c r="AZ162" s="144" t="s">
        <v>916</v>
      </c>
      <c r="BA162" s="137" t="s">
        <v>957</v>
      </c>
      <c r="BC162" s="143">
        <f>AW162+AX162</f>
        <v>0</v>
      </c>
      <c r="BD162" s="143">
        <f>H162/(100-BE162)*100</f>
        <v>0</v>
      </c>
      <c r="BE162" s="143">
        <v>0</v>
      </c>
      <c r="BF162" s="143">
        <f>162</f>
        <v>162</v>
      </c>
      <c r="BH162" s="146">
        <f>G162*AO162</f>
        <v>0</v>
      </c>
      <c r="BI162" s="146">
        <f>G162*AP162</f>
        <v>0</v>
      </c>
      <c r="BJ162" s="146">
        <f>G162*H162</f>
        <v>0</v>
      </c>
    </row>
    <row r="163" spans="1:12" ht="12.75">
      <c r="A163" s="154"/>
      <c r="B163" s="154"/>
      <c r="C163" s="60" t="s">
        <v>520</v>
      </c>
      <c r="D163" s="61"/>
      <c r="E163" s="61"/>
      <c r="F163" s="154"/>
      <c r="G163" s="12">
        <v>1</v>
      </c>
      <c r="I163" s="154"/>
      <c r="J163" s="154"/>
      <c r="K163" s="154"/>
      <c r="L163" s="154"/>
    </row>
    <row r="164" spans="1:12" ht="12.75">
      <c r="A164" s="4"/>
      <c r="B164" s="10"/>
      <c r="C164" s="62" t="s">
        <v>521</v>
      </c>
      <c r="D164" s="63"/>
      <c r="E164" s="63"/>
      <c r="F164" s="4" t="s">
        <v>6</v>
      </c>
      <c r="G164" s="4" t="s">
        <v>6</v>
      </c>
      <c r="H164" s="145" t="s">
        <v>6</v>
      </c>
      <c r="I164" s="24">
        <f>I165+I188</f>
        <v>0</v>
      </c>
      <c r="J164" s="24">
        <f>J165+J188</f>
        <v>0</v>
      </c>
      <c r="K164" s="24">
        <f>K165+K188</f>
        <v>0</v>
      </c>
      <c r="L164" s="18"/>
    </row>
    <row r="165" spans="1:47" ht="12.75">
      <c r="A165" s="2"/>
      <c r="B165" s="9" t="s">
        <v>18</v>
      </c>
      <c r="C165" s="56" t="s">
        <v>522</v>
      </c>
      <c r="D165" s="57"/>
      <c r="E165" s="57"/>
      <c r="F165" s="2" t="s">
        <v>6</v>
      </c>
      <c r="G165" s="2" t="s">
        <v>6</v>
      </c>
      <c r="H165" s="139" t="s">
        <v>6</v>
      </c>
      <c r="I165" s="23">
        <f>SUM(I166:I177)</f>
        <v>0</v>
      </c>
      <c r="J165" s="23">
        <f>SUM(J166:J177)</f>
        <v>0</v>
      </c>
      <c r="K165" s="23">
        <f>SUM(K166:K177)</f>
        <v>0</v>
      </c>
      <c r="L165" s="16"/>
      <c r="AI165" s="137" t="s">
        <v>862</v>
      </c>
      <c r="AS165" s="140">
        <f>SUM(AJ166:AJ177)</f>
        <v>0</v>
      </c>
      <c r="AT165" s="140">
        <f>SUM(AK166:AK177)</f>
        <v>0</v>
      </c>
      <c r="AU165" s="140">
        <f>SUM(AL166:AL177)</f>
        <v>0</v>
      </c>
    </row>
    <row r="166" spans="1:62" ht="12.75">
      <c r="A166" s="3" t="s">
        <v>66</v>
      </c>
      <c r="B166" s="3" t="s">
        <v>260</v>
      </c>
      <c r="C166" s="58" t="s">
        <v>523</v>
      </c>
      <c r="D166" s="59"/>
      <c r="E166" s="59"/>
      <c r="F166" s="3" t="s">
        <v>821</v>
      </c>
      <c r="G166" s="11">
        <v>43.4</v>
      </c>
      <c r="H166" s="141">
        <v>0</v>
      </c>
      <c r="I166" s="11">
        <f>G166*AO166</f>
        <v>0</v>
      </c>
      <c r="J166" s="11">
        <f>G166*AP166</f>
        <v>0</v>
      </c>
      <c r="K166" s="11">
        <f>G166*H166</f>
        <v>0</v>
      </c>
      <c r="L166" s="17" t="s">
        <v>845</v>
      </c>
      <c r="Z166" s="143">
        <f>IF(AQ166="5",BJ166,0)</f>
        <v>0</v>
      </c>
      <c r="AB166" s="143">
        <f>IF(AQ166="1",BH166,0)</f>
        <v>0</v>
      </c>
      <c r="AC166" s="143">
        <f>IF(AQ166="1",BI166,0)</f>
        <v>0</v>
      </c>
      <c r="AD166" s="143">
        <f>IF(AQ166="7",BH166,0)</f>
        <v>0</v>
      </c>
      <c r="AE166" s="143">
        <f>IF(AQ166="7",BI166,0)</f>
        <v>0</v>
      </c>
      <c r="AF166" s="143">
        <f>IF(AQ166="2",BH166,0)</f>
        <v>0</v>
      </c>
      <c r="AG166" s="143">
        <f>IF(AQ166="2",BI166,0)</f>
        <v>0</v>
      </c>
      <c r="AH166" s="143">
        <f>IF(AQ166="0",BJ166,0)</f>
        <v>0</v>
      </c>
      <c r="AI166" s="137" t="s">
        <v>862</v>
      </c>
      <c r="AJ166" s="141">
        <f>IF(AN166=0,K166,0)</f>
        <v>0</v>
      </c>
      <c r="AK166" s="141">
        <f>IF(AN166=15,K166,0)</f>
        <v>0</v>
      </c>
      <c r="AL166" s="141">
        <f>IF(AN166=21,K166,0)</f>
        <v>0</v>
      </c>
      <c r="AN166" s="143">
        <v>21</v>
      </c>
      <c r="AO166" s="143">
        <f>H166*0</f>
        <v>0</v>
      </c>
      <c r="AP166" s="143">
        <f>H166*(1-0)</f>
        <v>0</v>
      </c>
      <c r="AQ166" s="142" t="s">
        <v>7</v>
      </c>
      <c r="AV166" s="143">
        <f>AW166+AX166</f>
        <v>0</v>
      </c>
      <c r="AW166" s="143">
        <f>G166*AO166</f>
        <v>0</v>
      </c>
      <c r="AX166" s="143">
        <f>G166*AP166</f>
        <v>0</v>
      </c>
      <c r="AY166" s="144" t="s">
        <v>893</v>
      </c>
      <c r="AZ166" s="144" t="s">
        <v>917</v>
      </c>
      <c r="BA166" s="137" t="s">
        <v>958</v>
      </c>
      <c r="BC166" s="143">
        <f>AW166+AX166</f>
        <v>0</v>
      </c>
      <c r="BD166" s="143">
        <f>H166/(100-BE166)*100</f>
        <v>0</v>
      </c>
      <c r="BE166" s="143">
        <v>0</v>
      </c>
      <c r="BF166" s="143">
        <f>166</f>
        <v>166</v>
      </c>
      <c r="BH166" s="141">
        <f>G166*AO166</f>
        <v>0</v>
      </c>
      <c r="BI166" s="141">
        <f>G166*AP166</f>
        <v>0</v>
      </c>
      <c r="BJ166" s="141">
        <f>G166*H166</f>
        <v>0</v>
      </c>
    </row>
    <row r="167" spans="1:12" ht="12.75">
      <c r="A167" s="154"/>
      <c r="B167" s="154"/>
      <c r="C167" s="60" t="s">
        <v>524</v>
      </c>
      <c r="D167" s="61"/>
      <c r="E167" s="61"/>
      <c r="F167" s="154"/>
      <c r="G167" s="12">
        <v>1.6</v>
      </c>
      <c r="I167" s="154"/>
      <c r="J167" s="154"/>
      <c r="K167" s="154"/>
      <c r="L167" s="154"/>
    </row>
    <row r="168" spans="1:12" ht="12.75">
      <c r="A168" s="154"/>
      <c r="B168" s="154"/>
      <c r="C168" s="60" t="s">
        <v>525</v>
      </c>
      <c r="D168" s="61"/>
      <c r="E168" s="61"/>
      <c r="F168" s="154"/>
      <c r="G168" s="12">
        <v>8.1</v>
      </c>
      <c r="I168" s="154"/>
      <c r="J168" s="154"/>
      <c r="K168" s="154"/>
      <c r="L168" s="154"/>
    </row>
    <row r="169" spans="1:12" ht="12.75">
      <c r="A169" s="154"/>
      <c r="B169" s="154"/>
      <c r="C169" s="60" t="s">
        <v>526</v>
      </c>
      <c r="D169" s="61"/>
      <c r="E169" s="61"/>
      <c r="F169" s="154"/>
      <c r="G169" s="12">
        <v>3</v>
      </c>
      <c r="I169" s="154"/>
      <c r="J169" s="154"/>
      <c r="K169" s="154"/>
      <c r="L169" s="154"/>
    </row>
    <row r="170" spans="1:12" ht="12.75">
      <c r="A170" s="154"/>
      <c r="B170" s="154"/>
      <c r="C170" s="60" t="s">
        <v>527</v>
      </c>
      <c r="D170" s="61"/>
      <c r="E170" s="61"/>
      <c r="F170" s="154"/>
      <c r="G170" s="12">
        <v>2.3</v>
      </c>
      <c r="I170" s="154"/>
      <c r="J170" s="154"/>
      <c r="K170" s="154"/>
      <c r="L170" s="154"/>
    </row>
    <row r="171" spans="1:12" ht="12.75">
      <c r="A171" s="154"/>
      <c r="B171" s="154"/>
      <c r="C171" s="60" t="s">
        <v>528</v>
      </c>
      <c r="D171" s="61"/>
      <c r="E171" s="61"/>
      <c r="F171" s="154"/>
      <c r="G171" s="12">
        <v>1.5</v>
      </c>
      <c r="I171" s="154"/>
      <c r="J171" s="154"/>
      <c r="K171" s="154"/>
      <c r="L171" s="154"/>
    </row>
    <row r="172" spans="1:12" ht="12.75">
      <c r="A172" s="154"/>
      <c r="B172" s="154"/>
      <c r="C172" s="60" t="s">
        <v>529</v>
      </c>
      <c r="D172" s="61"/>
      <c r="E172" s="61"/>
      <c r="F172" s="154"/>
      <c r="G172" s="12">
        <v>6.4</v>
      </c>
      <c r="I172" s="154"/>
      <c r="J172" s="154"/>
      <c r="K172" s="154"/>
      <c r="L172" s="154"/>
    </row>
    <row r="173" spans="1:12" ht="12.75">
      <c r="A173" s="154"/>
      <c r="B173" s="154"/>
      <c r="C173" s="60" t="s">
        <v>530</v>
      </c>
      <c r="D173" s="61"/>
      <c r="E173" s="61"/>
      <c r="F173" s="154"/>
      <c r="G173" s="12">
        <v>4.6</v>
      </c>
      <c r="I173" s="154"/>
      <c r="J173" s="154"/>
      <c r="K173" s="154"/>
      <c r="L173" s="154"/>
    </row>
    <row r="174" spans="1:12" ht="12.75">
      <c r="A174" s="154"/>
      <c r="B174" s="154"/>
      <c r="C174" s="60" t="s">
        <v>531</v>
      </c>
      <c r="D174" s="61"/>
      <c r="E174" s="61"/>
      <c r="F174" s="154"/>
      <c r="G174" s="12">
        <v>2.5</v>
      </c>
      <c r="I174" s="154"/>
      <c r="J174" s="154"/>
      <c r="K174" s="154"/>
      <c r="L174" s="154"/>
    </row>
    <row r="175" spans="1:12" ht="12.75">
      <c r="A175" s="154"/>
      <c r="B175" s="154"/>
      <c r="C175" s="60" t="s">
        <v>532</v>
      </c>
      <c r="D175" s="61"/>
      <c r="E175" s="61"/>
      <c r="F175" s="154"/>
      <c r="G175" s="12">
        <v>2</v>
      </c>
      <c r="I175" s="154"/>
      <c r="J175" s="154"/>
      <c r="K175" s="154"/>
      <c r="L175" s="154"/>
    </row>
    <row r="176" spans="1:12" ht="12.75">
      <c r="A176" s="154"/>
      <c r="B176" s="154"/>
      <c r="C176" s="60" t="s">
        <v>533</v>
      </c>
      <c r="D176" s="61"/>
      <c r="E176" s="61"/>
      <c r="F176" s="154"/>
      <c r="G176" s="12">
        <v>11.4</v>
      </c>
      <c r="I176" s="154"/>
      <c r="J176" s="154"/>
      <c r="K176" s="154"/>
      <c r="L176" s="154"/>
    </row>
    <row r="177" spans="1:62" ht="12.75">
      <c r="A177" s="3" t="s">
        <v>67</v>
      </c>
      <c r="B177" s="3" t="s">
        <v>261</v>
      </c>
      <c r="C177" s="58" t="s">
        <v>534</v>
      </c>
      <c r="D177" s="59"/>
      <c r="E177" s="59"/>
      <c r="F177" s="3" t="s">
        <v>821</v>
      </c>
      <c r="G177" s="11">
        <v>53.4</v>
      </c>
      <c r="H177" s="141">
        <v>0</v>
      </c>
      <c r="I177" s="11">
        <f>G177*AO177</f>
        <v>0</v>
      </c>
      <c r="J177" s="11">
        <f>G177*AP177</f>
        <v>0</v>
      </c>
      <c r="K177" s="11">
        <f>G177*H177</f>
        <v>0</v>
      </c>
      <c r="L177" s="17" t="s">
        <v>845</v>
      </c>
      <c r="Z177" s="143">
        <f>IF(AQ177="5",BJ177,0)</f>
        <v>0</v>
      </c>
      <c r="AB177" s="143">
        <f>IF(AQ177="1",BH177,0)</f>
        <v>0</v>
      </c>
      <c r="AC177" s="143">
        <f>IF(AQ177="1",BI177,0)</f>
        <v>0</v>
      </c>
      <c r="AD177" s="143">
        <f>IF(AQ177="7",BH177,0)</f>
        <v>0</v>
      </c>
      <c r="AE177" s="143">
        <f>IF(AQ177="7",BI177,0)</f>
        <v>0</v>
      </c>
      <c r="AF177" s="143">
        <f>IF(AQ177="2",BH177,0)</f>
        <v>0</v>
      </c>
      <c r="AG177" s="143">
        <f>IF(AQ177="2",BI177,0)</f>
        <v>0</v>
      </c>
      <c r="AH177" s="143">
        <f>IF(AQ177="0",BJ177,0)</f>
        <v>0</v>
      </c>
      <c r="AI177" s="137" t="s">
        <v>862</v>
      </c>
      <c r="AJ177" s="141">
        <f>IF(AN177=0,K177,0)</f>
        <v>0</v>
      </c>
      <c r="AK177" s="141">
        <f>IF(AN177=15,K177,0)</f>
        <v>0</v>
      </c>
      <c r="AL177" s="141">
        <f>IF(AN177=21,K177,0)</f>
        <v>0</v>
      </c>
      <c r="AN177" s="143">
        <v>21</v>
      </c>
      <c r="AO177" s="143">
        <f>H177*0</f>
        <v>0</v>
      </c>
      <c r="AP177" s="143">
        <f>H177*(1-0)</f>
        <v>0</v>
      </c>
      <c r="AQ177" s="142" t="s">
        <v>7</v>
      </c>
      <c r="AV177" s="143">
        <f>AW177+AX177</f>
        <v>0</v>
      </c>
      <c r="AW177" s="143">
        <f>G177*AO177</f>
        <v>0</v>
      </c>
      <c r="AX177" s="143">
        <f>G177*AP177</f>
        <v>0</v>
      </c>
      <c r="AY177" s="144" t="s">
        <v>893</v>
      </c>
      <c r="AZ177" s="144" t="s">
        <v>917</v>
      </c>
      <c r="BA177" s="137" t="s">
        <v>958</v>
      </c>
      <c r="BC177" s="143">
        <f>AW177+AX177</f>
        <v>0</v>
      </c>
      <c r="BD177" s="143">
        <f>H177/(100-BE177)*100</f>
        <v>0</v>
      </c>
      <c r="BE177" s="143">
        <v>0</v>
      </c>
      <c r="BF177" s="143">
        <f>177</f>
        <v>177</v>
      </c>
      <c r="BH177" s="141">
        <f>G177*AO177</f>
        <v>0</v>
      </c>
      <c r="BI177" s="141">
        <f>G177*AP177</f>
        <v>0</v>
      </c>
      <c r="BJ177" s="141">
        <f>G177*H177</f>
        <v>0</v>
      </c>
    </row>
    <row r="178" spans="1:12" ht="12.75">
      <c r="A178" s="154"/>
      <c r="B178" s="154"/>
      <c r="C178" s="60" t="s">
        <v>535</v>
      </c>
      <c r="D178" s="61"/>
      <c r="E178" s="61"/>
      <c r="F178" s="154"/>
      <c r="G178" s="12">
        <v>4.8</v>
      </c>
      <c r="I178" s="154"/>
      <c r="J178" s="154"/>
      <c r="K178" s="154"/>
      <c r="L178" s="154"/>
    </row>
    <row r="179" spans="1:12" ht="12.75">
      <c r="A179" s="154"/>
      <c r="B179" s="154"/>
      <c r="C179" s="60" t="s">
        <v>536</v>
      </c>
      <c r="D179" s="61"/>
      <c r="E179" s="61"/>
      <c r="F179" s="154"/>
      <c r="G179" s="12">
        <v>6</v>
      </c>
      <c r="I179" s="154"/>
      <c r="J179" s="154"/>
      <c r="K179" s="154"/>
      <c r="L179" s="154"/>
    </row>
    <row r="180" spans="1:12" ht="12.75">
      <c r="A180" s="154"/>
      <c r="B180" s="154"/>
      <c r="C180" s="60" t="s">
        <v>537</v>
      </c>
      <c r="D180" s="61"/>
      <c r="E180" s="61"/>
      <c r="F180" s="154"/>
      <c r="G180" s="12">
        <v>6.9</v>
      </c>
      <c r="I180" s="154"/>
      <c r="J180" s="154"/>
      <c r="K180" s="154"/>
      <c r="L180" s="154"/>
    </row>
    <row r="181" spans="1:12" ht="12.75">
      <c r="A181" s="154"/>
      <c r="B181" s="154"/>
      <c r="C181" s="60" t="s">
        <v>538</v>
      </c>
      <c r="D181" s="61"/>
      <c r="E181" s="61"/>
      <c r="F181" s="154"/>
      <c r="G181" s="12">
        <v>3</v>
      </c>
      <c r="I181" s="154"/>
      <c r="J181" s="154"/>
      <c r="K181" s="154"/>
      <c r="L181" s="154"/>
    </row>
    <row r="182" spans="1:12" ht="12.75">
      <c r="A182" s="154"/>
      <c r="B182" s="154"/>
      <c r="C182" s="60" t="s">
        <v>539</v>
      </c>
      <c r="D182" s="61"/>
      <c r="E182" s="61"/>
      <c r="F182" s="154"/>
      <c r="G182" s="12">
        <v>6.4</v>
      </c>
      <c r="I182" s="154"/>
      <c r="J182" s="154"/>
      <c r="K182" s="154"/>
      <c r="L182" s="154"/>
    </row>
    <row r="183" spans="1:12" ht="12.75">
      <c r="A183" s="154"/>
      <c r="B183" s="154"/>
      <c r="C183" s="60" t="s">
        <v>540</v>
      </c>
      <c r="D183" s="61"/>
      <c r="E183" s="61"/>
      <c r="F183" s="154"/>
      <c r="G183" s="12">
        <v>6.4</v>
      </c>
      <c r="I183" s="154"/>
      <c r="J183" s="154"/>
      <c r="K183" s="154"/>
      <c r="L183" s="154"/>
    </row>
    <row r="184" spans="1:12" ht="12.75">
      <c r="A184" s="154"/>
      <c r="B184" s="154"/>
      <c r="C184" s="60" t="s">
        <v>541</v>
      </c>
      <c r="D184" s="61"/>
      <c r="E184" s="61"/>
      <c r="F184" s="154"/>
      <c r="G184" s="12">
        <v>9.2</v>
      </c>
      <c r="I184" s="154"/>
      <c r="J184" s="154"/>
      <c r="K184" s="154"/>
      <c r="L184" s="154"/>
    </row>
    <row r="185" spans="1:12" ht="12.75">
      <c r="A185" s="154"/>
      <c r="B185" s="154"/>
      <c r="C185" s="60" t="s">
        <v>542</v>
      </c>
      <c r="D185" s="61"/>
      <c r="E185" s="61"/>
      <c r="F185" s="154"/>
      <c r="G185" s="12">
        <v>5</v>
      </c>
      <c r="I185" s="154"/>
      <c r="J185" s="154"/>
      <c r="K185" s="154"/>
      <c r="L185" s="154"/>
    </row>
    <row r="186" spans="1:12" ht="12.75">
      <c r="A186" s="154"/>
      <c r="B186" s="154"/>
      <c r="C186" s="60" t="s">
        <v>543</v>
      </c>
      <c r="D186" s="61"/>
      <c r="E186" s="61"/>
      <c r="F186" s="154"/>
      <c r="G186" s="12">
        <v>4</v>
      </c>
      <c r="I186" s="154"/>
      <c r="J186" s="154"/>
      <c r="K186" s="154"/>
      <c r="L186" s="154"/>
    </row>
    <row r="187" spans="1:12" ht="12.75">
      <c r="A187" s="154"/>
      <c r="B187" s="154"/>
      <c r="C187" s="60" t="s">
        <v>544</v>
      </c>
      <c r="D187" s="61"/>
      <c r="E187" s="61"/>
      <c r="F187" s="154"/>
      <c r="G187" s="12">
        <v>1.7</v>
      </c>
      <c r="I187" s="154"/>
      <c r="J187" s="154"/>
      <c r="K187" s="154"/>
      <c r="L187" s="154"/>
    </row>
    <row r="188" spans="1:47" ht="12.75">
      <c r="A188" s="2"/>
      <c r="B188" s="9" t="s">
        <v>23</v>
      </c>
      <c r="C188" s="56" t="s">
        <v>545</v>
      </c>
      <c r="D188" s="57"/>
      <c r="E188" s="57"/>
      <c r="F188" s="2" t="s">
        <v>6</v>
      </c>
      <c r="G188" s="2" t="s">
        <v>6</v>
      </c>
      <c r="H188" s="139" t="s">
        <v>6</v>
      </c>
      <c r="I188" s="23">
        <f>SUM(I189:I189)</f>
        <v>0</v>
      </c>
      <c r="J188" s="23">
        <f>SUM(J189:J189)</f>
        <v>0</v>
      </c>
      <c r="K188" s="23">
        <f>SUM(K189:K189)</f>
        <v>0</v>
      </c>
      <c r="L188" s="16"/>
      <c r="AI188" s="137" t="s">
        <v>862</v>
      </c>
      <c r="AS188" s="140">
        <f>SUM(AJ189:AJ189)</f>
        <v>0</v>
      </c>
      <c r="AT188" s="140">
        <f>SUM(AK189:AK189)</f>
        <v>0</v>
      </c>
      <c r="AU188" s="140">
        <f>SUM(AL189:AL189)</f>
        <v>0</v>
      </c>
    </row>
    <row r="189" spans="1:62" ht="12.75">
      <c r="A189" s="3" t="s">
        <v>68</v>
      </c>
      <c r="B189" s="3" t="s">
        <v>262</v>
      </c>
      <c r="C189" s="58" t="s">
        <v>546</v>
      </c>
      <c r="D189" s="59"/>
      <c r="E189" s="59"/>
      <c r="F189" s="3" t="s">
        <v>818</v>
      </c>
      <c r="G189" s="11">
        <v>393</v>
      </c>
      <c r="H189" s="141">
        <v>0</v>
      </c>
      <c r="I189" s="11">
        <f>G189*AO189</f>
        <v>0</v>
      </c>
      <c r="J189" s="11">
        <f>G189*AP189</f>
        <v>0</v>
      </c>
      <c r="K189" s="11">
        <f>G189*H189</f>
        <v>0</v>
      </c>
      <c r="L189" s="17" t="s">
        <v>845</v>
      </c>
      <c r="Z189" s="143">
        <f>IF(AQ189="5",BJ189,0)</f>
        <v>0</v>
      </c>
      <c r="AB189" s="143">
        <f>IF(AQ189="1",BH189,0)</f>
        <v>0</v>
      </c>
      <c r="AC189" s="143">
        <f>IF(AQ189="1",BI189,0)</f>
        <v>0</v>
      </c>
      <c r="AD189" s="143">
        <f>IF(AQ189="7",BH189,0)</f>
        <v>0</v>
      </c>
      <c r="AE189" s="143">
        <f>IF(AQ189="7",BI189,0)</f>
        <v>0</v>
      </c>
      <c r="AF189" s="143">
        <f>IF(AQ189="2",BH189,0)</f>
        <v>0</v>
      </c>
      <c r="AG189" s="143">
        <f>IF(AQ189="2",BI189,0)</f>
        <v>0</v>
      </c>
      <c r="AH189" s="143">
        <f>IF(AQ189="0",BJ189,0)</f>
        <v>0</v>
      </c>
      <c r="AI189" s="137" t="s">
        <v>862</v>
      </c>
      <c r="AJ189" s="141">
        <f>IF(AN189=0,K189,0)</f>
        <v>0</v>
      </c>
      <c r="AK189" s="141">
        <f>IF(AN189=15,K189,0)</f>
        <v>0</v>
      </c>
      <c r="AL189" s="141">
        <f>IF(AN189=21,K189,0)</f>
        <v>0</v>
      </c>
      <c r="AN189" s="143">
        <v>21</v>
      </c>
      <c r="AO189" s="143">
        <f>H189*0</f>
        <v>0</v>
      </c>
      <c r="AP189" s="143">
        <f>H189*(1-0)</f>
        <v>0</v>
      </c>
      <c r="AQ189" s="142" t="s">
        <v>7</v>
      </c>
      <c r="AV189" s="143">
        <f>AW189+AX189</f>
        <v>0</v>
      </c>
      <c r="AW189" s="143">
        <f>G189*AO189</f>
        <v>0</v>
      </c>
      <c r="AX189" s="143">
        <f>G189*AP189</f>
        <v>0</v>
      </c>
      <c r="AY189" s="144" t="s">
        <v>894</v>
      </c>
      <c r="AZ189" s="144" t="s">
        <v>917</v>
      </c>
      <c r="BA189" s="137" t="s">
        <v>958</v>
      </c>
      <c r="BC189" s="143">
        <f>AW189+AX189</f>
        <v>0</v>
      </c>
      <c r="BD189" s="143">
        <f>H189/(100-BE189)*100</f>
        <v>0</v>
      </c>
      <c r="BE189" s="143">
        <v>0</v>
      </c>
      <c r="BF189" s="143">
        <f>189</f>
        <v>189</v>
      </c>
      <c r="BH189" s="141">
        <f>G189*AO189</f>
        <v>0</v>
      </c>
      <c r="BI189" s="141">
        <f>G189*AP189</f>
        <v>0</v>
      </c>
      <c r="BJ189" s="141">
        <f>G189*H189</f>
        <v>0</v>
      </c>
    </row>
    <row r="190" spans="1:12" ht="12.75">
      <c r="A190" s="154"/>
      <c r="B190" s="154"/>
      <c r="C190" s="60" t="s">
        <v>547</v>
      </c>
      <c r="D190" s="61"/>
      <c r="E190" s="61"/>
      <c r="F190" s="154"/>
      <c r="G190" s="12">
        <v>393</v>
      </c>
      <c r="I190" s="154"/>
      <c r="J190" s="154"/>
      <c r="K190" s="154"/>
      <c r="L190" s="154"/>
    </row>
    <row r="191" spans="1:12" ht="12.75">
      <c r="A191" s="4"/>
      <c r="B191" s="10"/>
      <c r="C191" s="62" t="s">
        <v>548</v>
      </c>
      <c r="D191" s="63"/>
      <c r="E191" s="63"/>
      <c r="F191" s="4" t="s">
        <v>6</v>
      </c>
      <c r="G191" s="4" t="s">
        <v>6</v>
      </c>
      <c r="H191" s="145" t="s">
        <v>6</v>
      </c>
      <c r="I191" s="24">
        <f>I192+I199</f>
        <v>0</v>
      </c>
      <c r="J191" s="24">
        <f>J192+J199</f>
        <v>0</v>
      </c>
      <c r="K191" s="24">
        <f>K192+K199</f>
        <v>0</v>
      </c>
      <c r="L191" s="18"/>
    </row>
    <row r="192" spans="1:47" ht="12.75">
      <c r="A192" s="2"/>
      <c r="B192" s="9" t="s">
        <v>96</v>
      </c>
      <c r="C192" s="56" t="s">
        <v>505</v>
      </c>
      <c r="D192" s="57"/>
      <c r="E192" s="57"/>
      <c r="F192" s="2" t="s">
        <v>6</v>
      </c>
      <c r="G192" s="2" t="s">
        <v>6</v>
      </c>
      <c r="H192" s="139" t="s">
        <v>6</v>
      </c>
      <c r="I192" s="23">
        <f>SUM(I193:I197)</f>
        <v>0</v>
      </c>
      <c r="J192" s="23">
        <f>SUM(J193:J197)</f>
        <v>0</v>
      </c>
      <c r="K192" s="23">
        <f>SUM(K193:K197)</f>
        <v>0</v>
      </c>
      <c r="L192" s="16"/>
      <c r="AI192" s="137" t="s">
        <v>863</v>
      </c>
      <c r="AS192" s="140">
        <f>SUM(AJ193:AJ197)</f>
        <v>0</v>
      </c>
      <c r="AT192" s="140">
        <f>SUM(AK193:AK197)</f>
        <v>0</v>
      </c>
      <c r="AU192" s="140">
        <f>SUM(AL193:AL197)</f>
        <v>0</v>
      </c>
    </row>
    <row r="193" spans="1:62" ht="12.75">
      <c r="A193" s="3" t="s">
        <v>69</v>
      </c>
      <c r="B193" s="3" t="s">
        <v>263</v>
      </c>
      <c r="C193" s="58" t="s">
        <v>549</v>
      </c>
      <c r="D193" s="59"/>
      <c r="E193" s="59"/>
      <c r="F193" s="3" t="s">
        <v>824</v>
      </c>
      <c r="G193" s="11">
        <v>30</v>
      </c>
      <c r="H193" s="141">
        <v>0</v>
      </c>
      <c r="I193" s="11">
        <f>G193*AO193</f>
        <v>0</v>
      </c>
      <c r="J193" s="11">
        <f>G193*AP193</f>
        <v>0</v>
      </c>
      <c r="K193" s="11">
        <f>G193*H193</f>
        <v>0</v>
      </c>
      <c r="L193" s="17" t="s">
        <v>845</v>
      </c>
      <c r="Z193" s="143">
        <f>IF(AQ193="5",BJ193,0)</f>
        <v>0</v>
      </c>
      <c r="AB193" s="143">
        <f>IF(AQ193="1",BH193,0)</f>
        <v>0</v>
      </c>
      <c r="AC193" s="143">
        <f>IF(AQ193="1",BI193,0)</f>
        <v>0</v>
      </c>
      <c r="AD193" s="143">
        <f>IF(AQ193="7",BH193,0)</f>
        <v>0</v>
      </c>
      <c r="AE193" s="143">
        <f>IF(AQ193="7",BI193,0)</f>
        <v>0</v>
      </c>
      <c r="AF193" s="143">
        <f>IF(AQ193="2",BH193,0)</f>
        <v>0</v>
      </c>
      <c r="AG193" s="143">
        <f>IF(AQ193="2",BI193,0)</f>
        <v>0</v>
      </c>
      <c r="AH193" s="143">
        <f>IF(AQ193="0",BJ193,0)</f>
        <v>0</v>
      </c>
      <c r="AI193" s="137" t="s">
        <v>863</v>
      </c>
      <c r="AJ193" s="141">
        <f>IF(AN193=0,K193,0)</f>
        <v>0</v>
      </c>
      <c r="AK193" s="141">
        <f>IF(AN193=15,K193,0)</f>
        <v>0</v>
      </c>
      <c r="AL193" s="141">
        <f>IF(AN193=21,K193,0)</f>
        <v>0</v>
      </c>
      <c r="AN193" s="143">
        <v>21</v>
      </c>
      <c r="AO193" s="143">
        <f>H193*0</f>
        <v>0</v>
      </c>
      <c r="AP193" s="143">
        <f>H193*(1-0)</f>
        <v>0</v>
      </c>
      <c r="AQ193" s="142" t="s">
        <v>7</v>
      </c>
      <c r="AV193" s="143">
        <f>AW193+AX193</f>
        <v>0</v>
      </c>
      <c r="AW193" s="143">
        <f>G193*AO193</f>
        <v>0</v>
      </c>
      <c r="AX193" s="143">
        <f>G193*AP193</f>
        <v>0</v>
      </c>
      <c r="AY193" s="144" t="s">
        <v>891</v>
      </c>
      <c r="AZ193" s="144" t="s">
        <v>918</v>
      </c>
      <c r="BA193" s="137" t="s">
        <v>959</v>
      </c>
      <c r="BC193" s="143">
        <f>AW193+AX193</f>
        <v>0</v>
      </c>
      <c r="BD193" s="143">
        <f>H193/(100-BE193)*100</f>
        <v>0</v>
      </c>
      <c r="BE193" s="143">
        <v>0</v>
      </c>
      <c r="BF193" s="143">
        <f>193</f>
        <v>193</v>
      </c>
      <c r="BH193" s="141">
        <f>G193*AO193</f>
        <v>0</v>
      </c>
      <c r="BI193" s="141">
        <f>G193*AP193</f>
        <v>0</v>
      </c>
      <c r="BJ193" s="141">
        <f>G193*H193</f>
        <v>0</v>
      </c>
    </row>
    <row r="194" spans="1:12" ht="12.75">
      <c r="A194" s="154"/>
      <c r="B194" s="154"/>
      <c r="C194" s="60" t="s">
        <v>550</v>
      </c>
      <c r="D194" s="61"/>
      <c r="E194" s="61"/>
      <c r="F194" s="154"/>
      <c r="G194" s="12">
        <v>30</v>
      </c>
      <c r="I194" s="154"/>
      <c r="J194" s="154"/>
      <c r="K194" s="154"/>
      <c r="L194" s="154"/>
    </row>
    <row r="195" spans="1:62" ht="12.75">
      <c r="A195" s="3" t="s">
        <v>70</v>
      </c>
      <c r="B195" s="3" t="s">
        <v>264</v>
      </c>
      <c r="C195" s="58" t="s">
        <v>551</v>
      </c>
      <c r="D195" s="59"/>
      <c r="E195" s="59"/>
      <c r="F195" s="3" t="s">
        <v>822</v>
      </c>
      <c r="G195" s="11">
        <v>1</v>
      </c>
      <c r="H195" s="141">
        <v>0</v>
      </c>
      <c r="I195" s="11">
        <f>G195*AO195</f>
        <v>0</v>
      </c>
      <c r="J195" s="11">
        <f>G195*AP195</f>
        <v>0</v>
      </c>
      <c r="K195" s="11">
        <f>G195*H195</f>
        <v>0</v>
      </c>
      <c r="L195" s="17" t="s">
        <v>845</v>
      </c>
      <c r="Z195" s="143">
        <f>IF(AQ195="5",BJ195,0)</f>
        <v>0</v>
      </c>
      <c r="AB195" s="143">
        <f>IF(AQ195="1",BH195,0)</f>
        <v>0</v>
      </c>
      <c r="AC195" s="143">
        <f>IF(AQ195="1",BI195,0)</f>
        <v>0</v>
      </c>
      <c r="AD195" s="143">
        <f>IF(AQ195="7",BH195,0)</f>
        <v>0</v>
      </c>
      <c r="AE195" s="143">
        <f>IF(AQ195="7",BI195,0)</f>
        <v>0</v>
      </c>
      <c r="AF195" s="143">
        <f>IF(AQ195="2",BH195,0)</f>
        <v>0</v>
      </c>
      <c r="AG195" s="143">
        <f>IF(AQ195="2",BI195,0)</f>
        <v>0</v>
      </c>
      <c r="AH195" s="143">
        <f>IF(AQ195="0",BJ195,0)</f>
        <v>0</v>
      </c>
      <c r="AI195" s="137" t="s">
        <v>863</v>
      </c>
      <c r="AJ195" s="141">
        <f>IF(AN195=0,K195,0)</f>
        <v>0</v>
      </c>
      <c r="AK195" s="141">
        <f>IF(AN195=15,K195,0)</f>
        <v>0</v>
      </c>
      <c r="AL195" s="141">
        <f>IF(AN195=21,K195,0)</f>
        <v>0</v>
      </c>
      <c r="AN195" s="143">
        <v>21</v>
      </c>
      <c r="AO195" s="143">
        <f>H195*0</f>
        <v>0</v>
      </c>
      <c r="AP195" s="143">
        <f>H195*(1-0)</f>
        <v>0</v>
      </c>
      <c r="AQ195" s="142" t="s">
        <v>7</v>
      </c>
      <c r="AV195" s="143">
        <f>AW195+AX195</f>
        <v>0</v>
      </c>
      <c r="AW195" s="143">
        <f>G195*AO195</f>
        <v>0</v>
      </c>
      <c r="AX195" s="143">
        <f>G195*AP195</f>
        <v>0</v>
      </c>
      <c r="AY195" s="144" t="s">
        <v>891</v>
      </c>
      <c r="AZ195" s="144" t="s">
        <v>918</v>
      </c>
      <c r="BA195" s="137" t="s">
        <v>959</v>
      </c>
      <c r="BC195" s="143">
        <f>AW195+AX195</f>
        <v>0</v>
      </c>
      <c r="BD195" s="143">
        <f>H195/(100-BE195)*100</f>
        <v>0</v>
      </c>
      <c r="BE195" s="143">
        <v>0</v>
      </c>
      <c r="BF195" s="143">
        <f>195</f>
        <v>195</v>
      </c>
      <c r="BH195" s="141">
        <f>G195*AO195</f>
        <v>0</v>
      </c>
      <c r="BI195" s="141">
        <f>G195*AP195</f>
        <v>0</v>
      </c>
      <c r="BJ195" s="141">
        <f>G195*H195</f>
        <v>0</v>
      </c>
    </row>
    <row r="196" spans="1:12" ht="12.75">
      <c r="A196" s="154"/>
      <c r="B196" s="154"/>
      <c r="C196" s="60" t="s">
        <v>552</v>
      </c>
      <c r="D196" s="61"/>
      <c r="E196" s="61"/>
      <c r="F196" s="154"/>
      <c r="G196" s="12">
        <v>1</v>
      </c>
      <c r="I196" s="154"/>
      <c r="J196" s="154"/>
      <c r="K196" s="154"/>
      <c r="L196" s="154"/>
    </row>
    <row r="197" spans="1:62" ht="12.75">
      <c r="A197" s="3" t="s">
        <v>71</v>
      </c>
      <c r="B197" s="3" t="s">
        <v>265</v>
      </c>
      <c r="C197" s="58" t="s">
        <v>553</v>
      </c>
      <c r="D197" s="59"/>
      <c r="E197" s="59"/>
      <c r="F197" s="3" t="s">
        <v>824</v>
      </c>
      <c r="G197" s="11">
        <v>8</v>
      </c>
      <c r="H197" s="141">
        <v>0</v>
      </c>
      <c r="I197" s="11">
        <f>G197*AO197</f>
        <v>0</v>
      </c>
      <c r="J197" s="11">
        <f>G197*AP197</f>
        <v>0</v>
      </c>
      <c r="K197" s="11">
        <f>G197*H197</f>
        <v>0</v>
      </c>
      <c r="L197" s="17" t="s">
        <v>845</v>
      </c>
      <c r="Z197" s="143">
        <f>IF(AQ197="5",BJ197,0)</f>
        <v>0</v>
      </c>
      <c r="AB197" s="143">
        <f>IF(AQ197="1",BH197,0)</f>
        <v>0</v>
      </c>
      <c r="AC197" s="143">
        <f>IF(AQ197="1",BI197,0)</f>
        <v>0</v>
      </c>
      <c r="AD197" s="143">
        <f>IF(AQ197="7",BH197,0)</f>
        <v>0</v>
      </c>
      <c r="AE197" s="143">
        <f>IF(AQ197="7",BI197,0)</f>
        <v>0</v>
      </c>
      <c r="AF197" s="143">
        <f>IF(AQ197="2",BH197,0)</f>
        <v>0</v>
      </c>
      <c r="AG197" s="143">
        <f>IF(AQ197="2",BI197,0)</f>
        <v>0</v>
      </c>
      <c r="AH197" s="143">
        <f>IF(AQ197="0",BJ197,0)</f>
        <v>0</v>
      </c>
      <c r="AI197" s="137" t="s">
        <v>863</v>
      </c>
      <c r="AJ197" s="141">
        <f>IF(AN197=0,K197,0)</f>
        <v>0</v>
      </c>
      <c r="AK197" s="141">
        <f>IF(AN197=15,K197,0)</f>
        <v>0</v>
      </c>
      <c r="AL197" s="141">
        <f>IF(AN197=21,K197,0)</f>
        <v>0</v>
      </c>
      <c r="AN197" s="143">
        <v>21</v>
      </c>
      <c r="AO197" s="143">
        <f>H197*0</f>
        <v>0</v>
      </c>
      <c r="AP197" s="143">
        <f>H197*(1-0)</f>
        <v>0</v>
      </c>
      <c r="AQ197" s="142" t="s">
        <v>7</v>
      </c>
      <c r="AV197" s="143">
        <f>AW197+AX197</f>
        <v>0</v>
      </c>
      <c r="AW197" s="143">
        <f>G197*AO197</f>
        <v>0</v>
      </c>
      <c r="AX197" s="143">
        <f>G197*AP197</f>
        <v>0</v>
      </c>
      <c r="AY197" s="144" t="s">
        <v>891</v>
      </c>
      <c r="AZ197" s="144" t="s">
        <v>918</v>
      </c>
      <c r="BA197" s="137" t="s">
        <v>959</v>
      </c>
      <c r="BC197" s="143">
        <f>AW197+AX197</f>
        <v>0</v>
      </c>
      <c r="BD197" s="143">
        <f>H197/(100-BE197)*100</f>
        <v>0</v>
      </c>
      <c r="BE197" s="143">
        <v>0</v>
      </c>
      <c r="BF197" s="143">
        <f>197</f>
        <v>197</v>
      </c>
      <c r="BH197" s="141">
        <f>G197*AO197</f>
        <v>0</v>
      </c>
      <c r="BI197" s="141">
        <f>G197*AP197</f>
        <v>0</v>
      </c>
      <c r="BJ197" s="141">
        <f>G197*H197</f>
        <v>0</v>
      </c>
    </row>
    <row r="198" spans="1:12" ht="12.75">
      <c r="A198" s="154"/>
      <c r="B198" s="154"/>
      <c r="C198" s="60" t="s">
        <v>554</v>
      </c>
      <c r="D198" s="61"/>
      <c r="E198" s="61"/>
      <c r="F198" s="154"/>
      <c r="G198" s="12">
        <v>8</v>
      </c>
      <c r="I198" s="154"/>
      <c r="J198" s="154"/>
      <c r="K198" s="154"/>
      <c r="L198" s="154"/>
    </row>
    <row r="199" spans="1:47" ht="12.75">
      <c r="A199" s="2"/>
      <c r="B199" s="9" t="s">
        <v>266</v>
      </c>
      <c r="C199" s="56" t="s">
        <v>555</v>
      </c>
      <c r="D199" s="57"/>
      <c r="E199" s="57"/>
      <c r="F199" s="2" t="s">
        <v>6</v>
      </c>
      <c r="G199" s="2" t="s">
        <v>6</v>
      </c>
      <c r="H199" s="139" t="s">
        <v>6</v>
      </c>
      <c r="I199" s="23">
        <f>SUM(I200:I200)</f>
        <v>0</v>
      </c>
      <c r="J199" s="23">
        <f>SUM(J200:J200)</f>
        <v>0</v>
      </c>
      <c r="K199" s="23">
        <f>SUM(K200:K200)</f>
        <v>0</v>
      </c>
      <c r="L199" s="16"/>
      <c r="AI199" s="137" t="s">
        <v>863</v>
      </c>
      <c r="AS199" s="140">
        <f>SUM(AJ200:AJ200)</f>
        <v>0</v>
      </c>
      <c r="AT199" s="140">
        <f>SUM(AK200:AK200)</f>
        <v>0</v>
      </c>
      <c r="AU199" s="140">
        <f>SUM(AL200:AL200)</f>
        <v>0</v>
      </c>
    </row>
    <row r="200" spans="1:62" ht="12.75">
      <c r="A200" s="3" t="s">
        <v>72</v>
      </c>
      <c r="B200" s="3" t="s">
        <v>267</v>
      </c>
      <c r="C200" s="58" t="s">
        <v>556</v>
      </c>
      <c r="D200" s="59"/>
      <c r="E200" s="59"/>
      <c r="F200" s="3" t="s">
        <v>817</v>
      </c>
      <c r="G200" s="11">
        <v>627.791</v>
      </c>
      <c r="H200" s="141">
        <v>0</v>
      </c>
      <c r="I200" s="11">
        <f>G200*AO200</f>
        <v>0</v>
      </c>
      <c r="J200" s="11">
        <f>G200*AP200</f>
        <v>0</v>
      </c>
      <c r="K200" s="11">
        <f>G200*H200</f>
        <v>0</v>
      </c>
      <c r="L200" s="17" t="s">
        <v>845</v>
      </c>
      <c r="Z200" s="143">
        <f>IF(AQ200="5",BJ200,0)</f>
        <v>0</v>
      </c>
      <c r="AB200" s="143">
        <f>IF(AQ200="1",BH200,0)</f>
        <v>0</v>
      </c>
      <c r="AC200" s="143">
        <f>IF(AQ200="1",BI200,0)</f>
        <v>0</v>
      </c>
      <c r="AD200" s="143">
        <f>IF(AQ200="7",BH200,0)</f>
        <v>0</v>
      </c>
      <c r="AE200" s="143">
        <f>IF(AQ200="7",BI200,0)</f>
        <v>0</v>
      </c>
      <c r="AF200" s="143">
        <f>IF(AQ200="2",BH200,0)</f>
        <v>0</v>
      </c>
      <c r="AG200" s="143">
        <f>IF(AQ200="2",BI200,0)</f>
        <v>0</v>
      </c>
      <c r="AH200" s="143">
        <f>IF(AQ200="0",BJ200,0)</f>
        <v>0</v>
      </c>
      <c r="AI200" s="137" t="s">
        <v>863</v>
      </c>
      <c r="AJ200" s="141">
        <f>IF(AN200=0,K200,0)</f>
        <v>0</v>
      </c>
      <c r="AK200" s="141">
        <f>IF(AN200=15,K200,0)</f>
        <v>0</v>
      </c>
      <c r="AL200" s="141">
        <f>IF(AN200=21,K200,0)</f>
        <v>0</v>
      </c>
      <c r="AN200" s="143">
        <v>21</v>
      </c>
      <c r="AO200" s="143">
        <f>H200*0</f>
        <v>0</v>
      </c>
      <c r="AP200" s="143">
        <f>H200*(1-0)</f>
        <v>0</v>
      </c>
      <c r="AQ200" s="142" t="s">
        <v>11</v>
      </c>
      <c r="AV200" s="143">
        <f>AW200+AX200</f>
        <v>0</v>
      </c>
      <c r="AW200" s="143">
        <f>G200*AO200</f>
        <v>0</v>
      </c>
      <c r="AX200" s="143">
        <f>G200*AP200</f>
        <v>0</v>
      </c>
      <c r="AY200" s="144" t="s">
        <v>895</v>
      </c>
      <c r="AZ200" s="144" t="s">
        <v>918</v>
      </c>
      <c r="BA200" s="137" t="s">
        <v>959</v>
      </c>
      <c r="BC200" s="143">
        <f>AW200+AX200</f>
        <v>0</v>
      </c>
      <c r="BD200" s="143">
        <f>H200/(100-BE200)*100</f>
        <v>0</v>
      </c>
      <c r="BE200" s="143">
        <v>0</v>
      </c>
      <c r="BF200" s="143">
        <f>200</f>
        <v>200</v>
      </c>
      <c r="BH200" s="141">
        <f>G200*AO200</f>
        <v>0</v>
      </c>
      <c r="BI200" s="141">
        <f>G200*AP200</f>
        <v>0</v>
      </c>
      <c r="BJ200" s="141">
        <f>G200*H200</f>
        <v>0</v>
      </c>
    </row>
    <row r="201" spans="1:12" ht="12.75">
      <c r="A201" s="154"/>
      <c r="B201" s="154"/>
      <c r="C201" s="60" t="s">
        <v>557</v>
      </c>
      <c r="D201" s="61"/>
      <c r="E201" s="61"/>
      <c r="F201" s="154"/>
      <c r="G201" s="12">
        <v>171.459</v>
      </c>
      <c r="I201" s="154"/>
      <c r="J201" s="154"/>
      <c r="K201" s="154"/>
      <c r="L201" s="154"/>
    </row>
    <row r="202" spans="1:12" ht="12.75">
      <c r="A202" s="154"/>
      <c r="B202" s="154"/>
      <c r="C202" s="60" t="s">
        <v>558</v>
      </c>
      <c r="D202" s="61"/>
      <c r="E202" s="61"/>
      <c r="F202" s="154"/>
      <c r="G202" s="12">
        <v>456.332</v>
      </c>
      <c r="I202" s="154"/>
      <c r="J202" s="154"/>
      <c r="K202" s="154"/>
      <c r="L202" s="154"/>
    </row>
    <row r="203" spans="1:12" ht="12.75">
      <c r="A203" s="4"/>
      <c r="B203" s="10"/>
      <c r="C203" s="62" t="s">
        <v>559</v>
      </c>
      <c r="D203" s="63"/>
      <c r="E203" s="63"/>
      <c r="F203" s="4" t="s">
        <v>6</v>
      </c>
      <c r="G203" s="4" t="s">
        <v>6</v>
      </c>
      <c r="H203" s="145" t="s">
        <v>6</v>
      </c>
      <c r="I203" s="24">
        <f>I204+I233+I270+I337+I340</f>
        <v>0</v>
      </c>
      <c r="J203" s="24">
        <f>J204+J233+J270+J337+J340</f>
        <v>0</v>
      </c>
      <c r="K203" s="24">
        <f>K204+K233+K270+K337+K340</f>
        <v>0</v>
      </c>
      <c r="L203" s="18"/>
    </row>
    <row r="204" spans="1:47" ht="12.75">
      <c r="A204" s="2"/>
      <c r="B204" s="9" t="s">
        <v>17</v>
      </c>
      <c r="C204" s="56" t="s">
        <v>420</v>
      </c>
      <c r="D204" s="57"/>
      <c r="E204" s="57"/>
      <c r="F204" s="2" t="s">
        <v>6</v>
      </c>
      <c r="G204" s="2" t="s">
        <v>6</v>
      </c>
      <c r="H204" s="139" t="s">
        <v>6</v>
      </c>
      <c r="I204" s="23">
        <f>SUM(I205:I231)</f>
        <v>0</v>
      </c>
      <c r="J204" s="23">
        <f>SUM(J205:J231)</f>
        <v>0</v>
      </c>
      <c r="K204" s="23">
        <f>SUM(K205:K231)</f>
        <v>0</v>
      </c>
      <c r="L204" s="16"/>
      <c r="AI204" s="137" t="s">
        <v>864</v>
      </c>
      <c r="AS204" s="140">
        <f>SUM(AJ205:AJ231)</f>
        <v>0</v>
      </c>
      <c r="AT204" s="140">
        <f>SUM(AK205:AK231)</f>
        <v>0</v>
      </c>
      <c r="AU204" s="140">
        <f>SUM(AL205:AL231)</f>
        <v>0</v>
      </c>
    </row>
    <row r="205" spans="1:62" ht="12.75">
      <c r="A205" s="3" t="s">
        <v>73</v>
      </c>
      <c r="B205" s="3" t="s">
        <v>268</v>
      </c>
      <c r="C205" s="58" t="s">
        <v>560</v>
      </c>
      <c r="D205" s="59"/>
      <c r="E205" s="59"/>
      <c r="F205" s="3" t="s">
        <v>816</v>
      </c>
      <c r="G205" s="11">
        <v>2</v>
      </c>
      <c r="H205" s="141">
        <v>0</v>
      </c>
      <c r="I205" s="11">
        <f>G205*AO205</f>
        <v>0</v>
      </c>
      <c r="J205" s="11">
        <f>G205*AP205</f>
        <v>0</v>
      </c>
      <c r="K205" s="11">
        <f>G205*H205</f>
        <v>0</v>
      </c>
      <c r="L205" s="17" t="s">
        <v>845</v>
      </c>
      <c r="Z205" s="143">
        <f>IF(AQ205="5",BJ205,0)</f>
        <v>0</v>
      </c>
      <c r="AB205" s="143">
        <f>IF(AQ205="1",BH205,0)</f>
        <v>0</v>
      </c>
      <c r="AC205" s="143">
        <f>IF(AQ205="1",BI205,0)</f>
        <v>0</v>
      </c>
      <c r="AD205" s="143">
        <f>IF(AQ205="7",BH205,0)</f>
        <v>0</v>
      </c>
      <c r="AE205" s="143">
        <f>IF(AQ205="7",BI205,0)</f>
        <v>0</v>
      </c>
      <c r="AF205" s="143">
        <f>IF(AQ205="2",BH205,0)</f>
        <v>0</v>
      </c>
      <c r="AG205" s="143">
        <f>IF(AQ205="2",BI205,0)</f>
        <v>0</v>
      </c>
      <c r="AH205" s="143">
        <f>IF(AQ205="0",BJ205,0)</f>
        <v>0</v>
      </c>
      <c r="AI205" s="137" t="s">
        <v>864</v>
      </c>
      <c r="AJ205" s="141">
        <f>IF(AN205=0,K205,0)</f>
        <v>0</v>
      </c>
      <c r="AK205" s="141">
        <f>IF(AN205=15,K205,0)</f>
        <v>0</v>
      </c>
      <c r="AL205" s="141">
        <f>IF(AN205=21,K205,0)</f>
        <v>0</v>
      </c>
      <c r="AN205" s="143">
        <v>21</v>
      </c>
      <c r="AO205" s="143">
        <f>H205*0</f>
        <v>0</v>
      </c>
      <c r="AP205" s="143">
        <f>H205*(1-0)</f>
        <v>0</v>
      </c>
      <c r="AQ205" s="142" t="s">
        <v>7</v>
      </c>
      <c r="AV205" s="143">
        <f>AW205+AX205</f>
        <v>0</v>
      </c>
      <c r="AW205" s="143">
        <f>G205*AO205</f>
        <v>0</v>
      </c>
      <c r="AX205" s="143">
        <f>G205*AP205</f>
        <v>0</v>
      </c>
      <c r="AY205" s="144" t="s">
        <v>886</v>
      </c>
      <c r="AZ205" s="144" t="s">
        <v>919</v>
      </c>
      <c r="BA205" s="137" t="s">
        <v>960</v>
      </c>
      <c r="BC205" s="143">
        <f>AW205+AX205</f>
        <v>0</v>
      </c>
      <c r="BD205" s="143">
        <f>H205/(100-BE205)*100</f>
        <v>0</v>
      </c>
      <c r="BE205" s="143">
        <v>0</v>
      </c>
      <c r="BF205" s="143">
        <f>205</f>
        <v>205</v>
      </c>
      <c r="BH205" s="141">
        <f>G205*AO205</f>
        <v>0</v>
      </c>
      <c r="BI205" s="141">
        <f>G205*AP205</f>
        <v>0</v>
      </c>
      <c r="BJ205" s="141">
        <f>G205*H205</f>
        <v>0</v>
      </c>
    </row>
    <row r="206" spans="1:12" ht="12.75">
      <c r="A206" s="154"/>
      <c r="B206" s="154"/>
      <c r="C206" s="60" t="s">
        <v>561</v>
      </c>
      <c r="D206" s="61"/>
      <c r="E206" s="61"/>
      <c r="F206" s="154"/>
      <c r="G206" s="12">
        <v>2</v>
      </c>
      <c r="I206" s="154"/>
      <c r="J206" s="154"/>
      <c r="K206" s="154"/>
      <c r="L206" s="154"/>
    </row>
    <row r="207" spans="1:62" ht="12.75">
      <c r="A207" s="3" t="s">
        <v>74</v>
      </c>
      <c r="B207" s="3" t="s">
        <v>269</v>
      </c>
      <c r="C207" s="58" t="s">
        <v>562</v>
      </c>
      <c r="D207" s="59"/>
      <c r="E207" s="59"/>
      <c r="F207" s="3" t="s">
        <v>816</v>
      </c>
      <c r="G207" s="11">
        <v>4</v>
      </c>
      <c r="H207" s="141">
        <v>0</v>
      </c>
      <c r="I207" s="11">
        <f>G207*AO207</f>
        <v>0</v>
      </c>
      <c r="J207" s="11">
        <f>G207*AP207</f>
        <v>0</v>
      </c>
      <c r="K207" s="11">
        <f>G207*H207</f>
        <v>0</v>
      </c>
      <c r="L207" s="17" t="s">
        <v>845</v>
      </c>
      <c r="Z207" s="143">
        <f>IF(AQ207="5",BJ207,0)</f>
        <v>0</v>
      </c>
      <c r="AB207" s="143">
        <f>IF(AQ207="1",BH207,0)</f>
        <v>0</v>
      </c>
      <c r="AC207" s="143">
        <f>IF(AQ207="1",BI207,0)</f>
        <v>0</v>
      </c>
      <c r="AD207" s="143">
        <f>IF(AQ207="7",BH207,0)</f>
        <v>0</v>
      </c>
      <c r="AE207" s="143">
        <f>IF(AQ207="7",BI207,0)</f>
        <v>0</v>
      </c>
      <c r="AF207" s="143">
        <f>IF(AQ207="2",BH207,0)</f>
        <v>0</v>
      </c>
      <c r="AG207" s="143">
        <f>IF(AQ207="2",BI207,0)</f>
        <v>0</v>
      </c>
      <c r="AH207" s="143">
        <f>IF(AQ207="0",BJ207,0)</f>
        <v>0</v>
      </c>
      <c r="AI207" s="137" t="s">
        <v>864</v>
      </c>
      <c r="AJ207" s="141">
        <f>IF(AN207=0,K207,0)</f>
        <v>0</v>
      </c>
      <c r="AK207" s="141">
        <f>IF(AN207=15,K207,0)</f>
        <v>0</v>
      </c>
      <c r="AL207" s="141">
        <f>IF(AN207=21,K207,0)</f>
        <v>0</v>
      </c>
      <c r="AN207" s="143">
        <v>21</v>
      </c>
      <c r="AO207" s="143">
        <f>H207*0</f>
        <v>0</v>
      </c>
      <c r="AP207" s="143">
        <f>H207*(1-0)</f>
        <v>0</v>
      </c>
      <c r="AQ207" s="142" t="s">
        <v>7</v>
      </c>
      <c r="AV207" s="143">
        <f>AW207+AX207</f>
        <v>0</v>
      </c>
      <c r="AW207" s="143">
        <f>G207*AO207</f>
        <v>0</v>
      </c>
      <c r="AX207" s="143">
        <f>G207*AP207</f>
        <v>0</v>
      </c>
      <c r="AY207" s="144" t="s">
        <v>886</v>
      </c>
      <c r="AZ207" s="144" t="s">
        <v>919</v>
      </c>
      <c r="BA207" s="137" t="s">
        <v>960</v>
      </c>
      <c r="BC207" s="143">
        <f>AW207+AX207</f>
        <v>0</v>
      </c>
      <c r="BD207" s="143">
        <f>H207/(100-BE207)*100</f>
        <v>0</v>
      </c>
      <c r="BE207" s="143">
        <v>0</v>
      </c>
      <c r="BF207" s="143">
        <f>207</f>
        <v>207</v>
      </c>
      <c r="BH207" s="141">
        <f>G207*AO207</f>
        <v>0</v>
      </c>
      <c r="BI207" s="141">
        <f>G207*AP207</f>
        <v>0</v>
      </c>
      <c r="BJ207" s="141">
        <f>G207*H207</f>
        <v>0</v>
      </c>
    </row>
    <row r="208" spans="1:12" ht="12.75">
      <c r="A208" s="154"/>
      <c r="B208" s="154"/>
      <c r="C208" s="60" t="s">
        <v>563</v>
      </c>
      <c r="D208" s="61"/>
      <c r="E208" s="61"/>
      <c r="F208" s="154"/>
      <c r="G208" s="12">
        <v>4</v>
      </c>
      <c r="I208" s="154"/>
      <c r="J208" s="154"/>
      <c r="K208" s="154"/>
      <c r="L208" s="154"/>
    </row>
    <row r="209" spans="1:62" ht="12.75">
      <c r="A209" s="3" t="s">
        <v>75</v>
      </c>
      <c r="B209" s="3" t="s">
        <v>270</v>
      </c>
      <c r="C209" s="58" t="s">
        <v>564</v>
      </c>
      <c r="D209" s="59"/>
      <c r="E209" s="59"/>
      <c r="F209" s="3" t="s">
        <v>816</v>
      </c>
      <c r="G209" s="11">
        <v>4</v>
      </c>
      <c r="H209" s="141">
        <v>0</v>
      </c>
      <c r="I209" s="11">
        <f>G209*AO209</f>
        <v>0</v>
      </c>
      <c r="J209" s="11">
        <f>G209*AP209</f>
        <v>0</v>
      </c>
      <c r="K209" s="11">
        <f>G209*H209</f>
        <v>0</v>
      </c>
      <c r="L209" s="17" t="s">
        <v>845</v>
      </c>
      <c r="Z209" s="143">
        <f>IF(AQ209="5",BJ209,0)</f>
        <v>0</v>
      </c>
      <c r="AB209" s="143">
        <f>IF(AQ209="1",BH209,0)</f>
        <v>0</v>
      </c>
      <c r="AC209" s="143">
        <f>IF(AQ209="1",BI209,0)</f>
        <v>0</v>
      </c>
      <c r="AD209" s="143">
        <f>IF(AQ209="7",BH209,0)</f>
        <v>0</v>
      </c>
      <c r="AE209" s="143">
        <f>IF(AQ209="7",BI209,0)</f>
        <v>0</v>
      </c>
      <c r="AF209" s="143">
        <f>IF(AQ209="2",BH209,0)</f>
        <v>0</v>
      </c>
      <c r="AG209" s="143">
        <f>IF(AQ209="2",BI209,0)</f>
        <v>0</v>
      </c>
      <c r="AH209" s="143">
        <f>IF(AQ209="0",BJ209,0)</f>
        <v>0</v>
      </c>
      <c r="AI209" s="137" t="s">
        <v>864</v>
      </c>
      <c r="AJ209" s="141">
        <f>IF(AN209=0,K209,0)</f>
        <v>0</v>
      </c>
      <c r="AK209" s="141">
        <f>IF(AN209=15,K209,0)</f>
        <v>0</v>
      </c>
      <c r="AL209" s="141">
        <f>IF(AN209=21,K209,0)</f>
        <v>0</v>
      </c>
      <c r="AN209" s="143">
        <v>21</v>
      </c>
      <c r="AO209" s="143">
        <f>H209*0</f>
        <v>0</v>
      </c>
      <c r="AP209" s="143">
        <f>H209*(1-0)</f>
        <v>0</v>
      </c>
      <c r="AQ209" s="142" t="s">
        <v>7</v>
      </c>
      <c r="AV209" s="143">
        <f>AW209+AX209</f>
        <v>0</v>
      </c>
      <c r="AW209" s="143">
        <f>G209*AO209</f>
        <v>0</v>
      </c>
      <c r="AX209" s="143">
        <f>G209*AP209</f>
        <v>0</v>
      </c>
      <c r="AY209" s="144" t="s">
        <v>886</v>
      </c>
      <c r="AZ209" s="144" t="s">
        <v>919</v>
      </c>
      <c r="BA209" s="137" t="s">
        <v>960</v>
      </c>
      <c r="BC209" s="143">
        <f>AW209+AX209</f>
        <v>0</v>
      </c>
      <c r="BD209" s="143">
        <f>H209/(100-BE209)*100</f>
        <v>0</v>
      </c>
      <c r="BE209" s="143">
        <v>0</v>
      </c>
      <c r="BF209" s="143">
        <f>209</f>
        <v>209</v>
      </c>
      <c r="BH209" s="141">
        <f>G209*AO209</f>
        <v>0</v>
      </c>
      <c r="BI209" s="141">
        <f>G209*AP209</f>
        <v>0</v>
      </c>
      <c r="BJ209" s="141">
        <f>G209*H209</f>
        <v>0</v>
      </c>
    </row>
    <row r="210" spans="1:12" ht="12.75">
      <c r="A210" s="154"/>
      <c r="B210" s="154"/>
      <c r="C210" s="60" t="s">
        <v>563</v>
      </c>
      <c r="D210" s="61"/>
      <c r="E210" s="61"/>
      <c r="F210" s="154"/>
      <c r="G210" s="12">
        <v>4</v>
      </c>
      <c r="I210" s="154"/>
      <c r="J210" s="154"/>
      <c r="K210" s="154"/>
      <c r="L210" s="154"/>
    </row>
    <row r="211" spans="1:62" ht="12.75">
      <c r="A211" s="3" t="s">
        <v>76</v>
      </c>
      <c r="B211" s="3" t="s">
        <v>270</v>
      </c>
      <c r="C211" s="58" t="s">
        <v>565</v>
      </c>
      <c r="D211" s="59"/>
      <c r="E211" s="59"/>
      <c r="F211" s="3" t="s">
        <v>816</v>
      </c>
      <c r="G211" s="11">
        <v>1</v>
      </c>
      <c r="H211" s="141">
        <v>0</v>
      </c>
      <c r="I211" s="11">
        <f>G211*AO211</f>
        <v>0</v>
      </c>
      <c r="J211" s="11">
        <f>G211*AP211</f>
        <v>0</v>
      </c>
      <c r="K211" s="11">
        <f>G211*H211</f>
        <v>0</v>
      </c>
      <c r="L211" s="17" t="s">
        <v>845</v>
      </c>
      <c r="Z211" s="143">
        <f>IF(AQ211="5",BJ211,0)</f>
        <v>0</v>
      </c>
      <c r="AB211" s="143">
        <f>IF(AQ211="1",BH211,0)</f>
        <v>0</v>
      </c>
      <c r="AC211" s="143">
        <f>IF(AQ211="1",BI211,0)</f>
        <v>0</v>
      </c>
      <c r="AD211" s="143">
        <f>IF(AQ211="7",BH211,0)</f>
        <v>0</v>
      </c>
      <c r="AE211" s="143">
        <f>IF(AQ211="7",BI211,0)</f>
        <v>0</v>
      </c>
      <c r="AF211" s="143">
        <f>IF(AQ211="2",BH211,0)</f>
        <v>0</v>
      </c>
      <c r="AG211" s="143">
        <f>IF(AQ211="2",BI211,0)</f>
        <v>0</v>
      </c>
      <c r="AH211" s="143">
        <f>IF(AQ211="0",BJ211,0)</f>
        <v>0</v>
      </c>
      <c r="AI211" s="137" t="s">
        <v>864</v>
      </c>
      <c r="AJ211" s="141">
        <f>IF(AN211=0,K211,0)</f>
        <v>0</v>
      </c>
      <c r="AK211" s="141">
        <f>IF(AN211=15,K211,0)</f>
        <v>0</v>
      </c>
      <c r="AL211" s="141">
        <f>IF(AN211=21,K211,0)</f>
        <v>0</v>
      </c>
      <c r="AN211" s="143">
        <v>21</v>
      </c>
      <c r="AO211" s="143">
        <f>H211*0</f>
        <v>0</v>
      </c>
      <c r="AP211" s="143">
        <f>H211*(1-0)</f>
        <v>0</v>
      </c>
      <c r="AQ211" s="142" t="s">
        <v>7</v>
      </c>
      <c r="AV211" s="143">
        <f>AW211+AX211</f>
        <v>0</v>
      </c>
      <c r="AW211" s="143">
        <f>G211*AO211</f>
        <v>0</v>
      </c>
      <c r="AX211" s="143">
        <f>G211*AP211</f>
        <v>0</v>
      </c>
      <c r="AY211" s="144" t="s">
        <v>886</v>
      </c>
      <c r="AZ211" s="144" t="s">
        <v>919</v>
      </c>
      <c r="BA211" s="137" t="s">
        <v>960</v>
      </c>
      <c r="BC211" s="143">
        <f>AW211+AX211</f>
        <v>0</v>
      </c>
      <c r="BD211" s="143">
        <f>H211/(100-BE211)*100</f>
        <v>0</v>
      </c>
      <c r="BE211" s="143">
        <v>0</v>
      </c>
      <c r="BF211" s="143">
        <f>211</f>
        <v>211</v>
      </c>
      <c r="BH211" s="141">
        <f>G211*AO211</f>
        <v>0</v>
      </c>
      <c r="BI211" s="141">
        <f>G211*AP211</f>
        <v>0</v>
      </c>
      <c r="BJ211" s="141">
        <f>G211*H211</f>
        <v>0</v>
      </c>
    </row>
    <row r="212" spans="1:12" ht="12.75">
      <c r="A212" s="154"/>
      <c r="B212" s="154"/>
      <c r="C212" s="60" t="s">
        <v>495</v>
      </c>
      <c r="D212" s="61"/>
      <c r="E212" s="61"/>
      <c r="F212" s="154"/>
      <c r="G212" s="12">
        <v>1</v>
      </c>
      <c r="I212" s="154"/>
      <c r="J212" s="154"/>
      <c r="K212" s="154"/>
      <c r="L212" s="154"/>
    </row>
    <row r="213" spans="1:62" ht="12.75">
      <c r="A213" s="3" t="s">
        <v>77</v>
      </c>
      <c r="B213" s="3" t="s">
        <v>271</v>
      </c>
      <c r="C213" s="58" t="s">
        <v>566</v>
      </c>
      <c r="D213" s="59"/>
      <c r="E213" s="59"/>
      <c r="F213" s="3" t="s">
        <v>816</v>
      </c>
      <c r="G213" s="11">
        <v>2</v>
      </c>
      <c r="H213" s="141">
        <v>0</v>
      </c>
      <c r="I213" s="11">
        <f>G213*AO213</f>
        <v>0</v>
      </c>
      <c r="J213" s="11">
        <f>G213*AP213</f>
        <v>0</v>
      </c>
      <c r="K213" s="11">
        <f>G213*H213</f>
        <v>0</v>
      </c>
      <c r="L213" s="17" t="s">
        <v>845</v>
      </c>
      <c r="Z213" s="143">
        <f>IF(AQ213="5",BJ213,0)</f>
        <v>0</v>
      </c>
      <c r="AB213" s="143">
        <f>IF(AQ213="1",BH213,0)</f>
        <v>0</v>
      </c>
      <c r="AC213" s="143">
        <f>IF(AQ213="1",BI213,0)</f>
        <v>0</v>
      </c>
      <c r="AD213" s="143">
        <f>IF(AQ213="7",BH213,0)</f>
        <v>0</v>
      </c>
      <c r="AE213" s="143">
        <f>IF(AQ213="7",BI213,0)</f>
        <v>0</v>
      </c>
      <c r="AF213" s="143">
        <f>IF(AQ213="2",BH213,0)</f>
        <v>0</v>
      </c>
      <c r="AG213" s="143">
        <f>IF(AQ213="2",BI213,0)</f>
        <v>0</v>
      </c>
      <c r="AH213" s="143">
        <f>IF(AQ213="0",BJ213,0)</f>
        <v>0</v>
      </c>
      <c r="AI213" s="137" t="s">
        <v>864</v>
      </c>
      <c r="AJ213" s="141">
        <f>IF(AN213=0,K213,0)</f>
        <v>0</v>
      </c>
      <c r="AK213" s="141">
        <f>IF(AN213=15,K213,0)</f>
        <v>0</v>
      </c>
      <c r="AL213" s="141">
        <f>IF(AN213=21,K213,0)</f>
        <v>0</v>
      </c>
      <c r="AN213" s="143">
        <v>21</v>
      </c>
      <c r="AO213" s="143">
        <f>H213*0</f>
        <v>0</v>
      </c>
      <c r="AP213" s="143">
        <f>H213*(1-0)</f>
        <v>0</v>
      </c>
      <c r="AQ213" s="142" t="s">
        <v>7</v>
      </c>
      <c r="AV213" s="143">
        <f>AW213+AX213</f>
        <v>0</v>
      </c>
      <c r="AW213" s="143">
        <f>G213*AO213</f>
        <v>0</v>
      </c>
      <c r="AX213" s="143">
        <f>G213*AP213</f>
        <v>0</v>
      </c>
      <c r="AY213" s="144" t="s">
        <v>886</v>
      </c>
      <c r="AZ213" s="144" t="s">
        <v>919</v>
      </c>
      <c r="BA213" s="137" t="s">
        <v>960</v>
      </c>
      <c r="BC213" s="143">
        <f>AW213+AX213</f>
        <v>0</v>
      </c>
      <c r="BD213" s="143">
        <f>H213/(100-BE213)*100</f>
        <v>0</v>
      </c>
      <c r="BE213" s="143">
        <v>0</v>
      </c>
      <c r="BF213" s="143">
        <f>213</f>
        <v>213</v>
      </c>
      <c r="BH213" s="141">
        <f>G213*AO213</f>
        <v>0</v>
      </c>
      <c r="BI213" s="141">
        <f>G213*AP213</f>
        <v>0</v>
      </c>
      <c r="BJ213" s="141">
        <f>G213*H213</f>
        <v>0</v>
      </c>
    </row>
    <row r="214" spans="1:12" ht="12.75">
      <c r="A214" s="154"/>
      <c r="B214" s="154"/>
      <c r="C214" s="60" t="s">
        <v>561</v>
      </c>
      <c r="D214" s="61"/>
      <c r="E214" s="61"/>
      <c r="F214" s="154"/>
      <c r="G214" s="12">
        <v>2</v>
      </c>
      <c r="I214" s="154"/>
      <c r="J214" s="154"/>
      <c r="K214" s="154"/>
      <c r="L214" s="154"/>
    </row>
    <row r="215" spans="1:62" ht="12.75">
      <c r="A215" s="3" t="s">
        <v>78</v>
      </c>
      <c r="B215" s="3" t="s">
        <v>272</v>
      </c>
      <c r="C215" s="58" t="s">
        <v>567</v>
      </c>
      <c r="D215" s="59"/>
      <c r="E215" s="59"/>
      <c r="F215" s="3" t="s">
        <v>816</v>
      </c>
      <c r="G215" s="11">
        <v>1</v>
      </c>
      <c r="H215" s="141">
        <v>0</v>
      </c>
      <c r="I215" s="11">
        <f>G215*AO215</f>
        <v>0</v>
      </c>
      <c r="J215" s="11">
        <f>G215*AP215</f>
        <v>0</v>
      </c>
      <c r="K215" s="11">
        <f>G215*H215</f>
        <v>0</v>
      </c>
      <c r="L215" s="17" t="s">
        <v>845</v>
      </c>
      <c r="Z215" s="143">
        <f>IF(AQ215="5",BJ215,0)</f>
        <v>0</v>
      </c>
      <c r="AB215" s="143">
        <f>IF(AQ215="1",BH215,0)</f>
        <v>0</v>
      </c>
      <c r="AC215" s="143">
        <f>IF(AQ215="1",BI215,0)</f>
        <v>0</v>
      </c>
      <c r="AD215" s="143">
        <f>IF(AQ215="7",BH215,0)</f>
        <v>0</v>
      </c>
      <c r="AE215" s="143">
        <f>IF(AQ215="7",BI215,0)</f>
        <v>0</v>
      </c>
      <c r="AF215" s="143">
        <f>IF(AQ215="2",BH215,0)</f>
        <v>0</v>
      </c>
      <c r="AG215" s="143">
        <f>IF(AQ215="2",BI215,0)</f>
        <v>0</v>
      </c>
      <c r="AH215" s="143">
        <f>IF(AQ215="0",BJ215,0)</f>
        <v>0</v>
      </c>
      <c r="AI215" s="137" t="s">
        <v>864</v>
      </c>
      <c r="AJ215" s="141">
        <f>IF(AN215=0,K215,0)</f>
        <v>0</v>
      </c>
      <c r="AK215" s="141">
        <f>IF(AN215=15,K215,0)</f>
        <v>0</v>
      </c>
      <c r="AL215" s="141">
        <f>IF(AN215=21,K215,0)</f>
        <v>0</v>
      </c>
      <c r="AN215" s="143">
        <v>21</v>
      </c>
      <c r="AO215" s="143">
        <f>H215*0</f>
        <v>0</v>
      </c>
      <c r="AP215" s="143">
        <f>H215*(1-0)</f>
        <v>0</v>
      </c>
      <c r="AQ215" s="142" t="s">
        <v>7</v>
      </c>
      <c r="AV215" s="143">
        <f>AW215+AX215</f>
        <v>0</v>
      </c>
      <c r="AW215" s="143">
        <f>G215*AO215</f>
        <v>0</v>
      </c>
      <c r="AX215" s="143">
        <f>G215*AP215</f>
        <v>0</v>
      </c>
      <c r="AY215" s="144" t="s">
        <v>886</v>
      </c>
      <c r="AZ215" s="144" t="s">
        <v>919</v>
      </c>
      <c r="BA215" s="137" t="s">
        <v>960</v>
      </c>
      <c r="BC215" s="143">
        <f>AW215+AX215</f>
        <v>0</v>
      </c>
      <c r="BD215" s="143">
        <f>H215/(100-BE215)*100</f>
        <v>0</v>
      </c>
      <c r="BE215" s="143">
        <v>0</v>
      </c>
      <c r="BF215" s="143">
        <f>215</f>
        <v>215</v>
      </c>
      <c r="BH215" s="141">
        <f>G215*AO215</f>
        <v>0</v>
      </c>
      <c r="BI215" s="141">
        <f>G215*AP215</f>
        <v>0</v>
      </c>
      <c r="BJ215" s="141">
        <f>G215*H215</f>
        <v>0</v>
      </c>
    </row>
    <row r="216" spans="1:12" ht="12.75">
      <c r="A216" s="154"/>
      <c r="B216" s="154"/>
      <c r="C216" s="60" t="s">
        <v>495</v>
      </c>
      <c r="D216" s="61"/>
      <c r="E216" s="61"/>
      <c r="F216" s="154"/>
      <c r="G216" s="12">
        <v>1</v>
      </c>
      <c r="I216" s="154"/>
      <c r="J216" s="154"/>
      <c r="K216" s="154"/>
      <c r="L216" s="154"/>
    </row>
    <row r="217" spans="1:62" ht="12.75">
      <c r="A217" s="3" t="s">
        <v>79</v>
      </c>
      <c r="B217" s="3" t="s">
        <v>273</v>
      </c>
      <c r="C217" s="58" t="s">
        <v>568</v>
      </c>
      <c r="D217" s="59"/>
      <c r="E217" s="59"/>
      <c r="F217" s="3" t="s">
        <v>816</v>
      </c>
      <c r="G217" s="11">
        <v>2</v>
      </c>
      <c r="H217" s="141">
        <v>0</v>
      </c>
      <c r="I217" s="11">
        <f>G217*AO217</f>
        <v>0</v>
      </c>
      <c r="J217" s="11">
        <f>G217*AP217</f>
        <v>0</v>
      </c>
      <c r="K217" s="11">
        <f>G217*H217</f>
        <v>0</v>
      </c>
      <c r="L217" s="17" t="s">
        <v>845</v>
      </c>
      <c r="Z217" s="143">
        <f>IF(AQ217="5",BJ217,0)</f>
        <v>0</v>
      </c>
      <c r="AB217" s="143">
        <f>IF(AQ217="1",BH217,0)</f>
        <v>0</v>
      </c>
      <c r="AC217" s="143">
        <f>IF(AQ217="1",BI217,0)</f>
        <v>0</v>
      </c>
      <c r="AD217" s="143">
        <f>IF(AQ217="7",BH217,0)</f>
        <v>0</v>
      </c>
      <c r="AE217" s="143">
        <f>IF(AQ217="7",BI217,0)</f>
        <v>0</v>
      </c>
      <c r="AF217" s="143">
        <f>IF(AQ217="2",BH217,0)</f>
        <v>0</v>
      </c>
      <c r="AG217" s="143">
        <f>IF(AQ217="2",BI217,0)</f>
        <v>0</v>
      </c>
      <c r="AH217" s="143">
        <f>IF(AQ217="0",BJ217,0)</f>
        <v>0</v>
      </c>
      <c r="AI217" s="137" t="s">
        <v>864</v>
      </c>
      <c r="AJ217" s="141">
        <f>IF(AN217=0,K217,0)</f>
        <v>0</v>
      </c>
      <c r="AK217" s="141">
        <f>IF(AN217=15,K217,0)</f>
        <v>0</v>
      </c>
      <c r="AL217" s="141">
        <f>IF(AN217=21,K217,0)</f>
        <v>0</v>
      </c>
      <c r="AN217" s="143">
        <v>21</v>
      </c>
      <c r="AO217" s="143">
        <f>H217*0</f>
        <v>0</v>
      </c>
      <c r="AP217" s="143">
        <f>H217*(1-0)</f>
        <v>0</v>
      </c>
      <c r="AQ217" s="142" t="s">
        <v>7</v>
      </c>
      <c r="AV217" s="143">
        <f>AW217+AX217</f>
        <v>0</v>
      </c>
      <c r="AW217" s="143">
        <f>G217*AO217</f>
        <v>0</v>
      </c>
      <c r="AX217" s="143">
        <f>G217*AP217</f>
        <v>0</v>
      </c>
      <c r="AY217" s="144" t="s">
        <v>886</v>
      </c>
      <c r="AZ217" s="144" t="s">
        <v>919</v>
      </c>
      <c r="BA217" s="137" t="s">
        <v>960</v>
      </c>
      <c r="BC217" s="143">
        <f>AW217+AX217</f>
        <v>0</v>
      </c>
      <c r="BD217" s="143">
        <f>H217/(100-BE217)*100</f>
        <v>0</v>
      </c>
      <c r="BE217" s="143">
        <v>0</v>
      </c>
      <c r="BF217" s="143">
        <f>217</f>
        <v>217</v>
      </c>
      <c r="BH217" s="141">
        <f>G217*AO217</f>
        <v>0</v>
      </c>
      <c r="BI217" s="141">
        <f>G217*AP217</f>
        <v>0</v>
      </c>
      <c r="BJ217" s="141">
        <f>G217*H217</f>
        <v>0</v>
      </c>
    </row>
    <row r="218" spans="1:12" ht="12.75">
      <c r="A218" s="154"/>
      <c r="B218" s="154"/>
      <c r="C218" s="60" t="s">
        <v>561</v>
      </c>
      <c r="D218" s="61"/>
      <c r="E218" s="61"/>
      <c r="F218" s="154"/>
      <c r="G218" s="12">
        <v>2</v>
      </c>
      <c r="I218" s="154"/>
      <c r="J218" s="154"/>
      <c r="K218" s="154"/>
      <c r="L218" s="154"/>
    </row>
    <row r="219" spans="1:62" ht="12.75">
      <c r="A219" s="3" t="s">
        <v>80</v>
      </c>
      <c r="B219" s="3" t="s">
        <v>274</v>
      </c>
      <c r="C219" s="58" t="s">
        <v>569</v>
      </c>
      <c r="D219" s="59"/>
      <c r="E219" s="59"/>
      <c r="F219" s="3" t="s">
        <v>816</v>
      </c>
      <c r="G219" s="11">
        <v>2</v>
      </c>
      <c r="H219" s="141">
        <v>0</v>
      </c>
      <c r="I219" s="11">
        <f>G219*AO219</f>
        <v>0</v>
      </c>
      <c r="J219" s="11">
        <f>G219*AP219</f>
        <v>0</v>
      </c>
      <c r="K219" s="11">
        <f>G219*H219</f>
        <v>0</v>
      </c>
      <c r="L219" s="17" t="s">
        <v>845</v>
      </c>
      <c r="Z219" s="143">
        <f>IF(AQ219="5",BJ219,0)</f>
        <v>0</v>
      </c>
      <c r="AB219" s="143">
        <f>IF(AQ219="1",BH219,0)</f>
        <v>0</v>
      </c>
      <c r="AC219" s="143">
        <f>IF(AQ219="1",BI219,0)</f>
        <v>0</v>
      </c>
      <c r="AD219" s="143">
        <f>IF(AQ219="7",BH219,0)</f>
        <v>0</v>
      </c>
      <c r="AE219" s="143">
        <f>IF(AQ219="7",BI219,0)</f>
        <v>0</v>
      </c>
      <c r="AF219" s="143">
        <f>IF(AQ219="2",BH219,0)</f>
        <v>0</v>
      </c>
      <c r="AG219" s="143">
        <f>IF(AQ219="2",BI219,0)</f>
        <v>0</v>
      </c>
      <c r="AH219" s="143">
        <f>IF(AQ219="0",BJ219,0)</f>
        <v>0</v>
      </c>
      <c r="AI219" s="137" t="s">
        <v>864</v>
      </c>
      <c r="AJ219" s="141">
        <f>IF(AN219=0,K219,0)</f>
        <v>0</v>
      </c>
      <c r="AK219" s="141">
        <f>IF(AN219=15,K219,0)</f>
        <v>0</v>
      </c>
      <c r="AL219" s="141">
        <f>IF(AN219=21,K219,0)</f>
        <v>0</v>
      </c>
      <c r="AN219" s="143">
        <v>21</v>
      </c>
      <c r="AO219" s="143">
        <f>H219*0</f>
        <v>0</v>
      </c>
      <c r="AP219" s="143">
        <f>H219*(1-0)</f>
        <v>0</v>
      </c>
      <c r="AQ219" s="142" t="s">
        <v>7</v>
      </c>
      <c r="AV219" s="143">
        <f>AW219+AX219</f>
        <v>0</v>
      </c>
      <c r="AW219" s="143">
        <f>G219*AO219</f>
        <v>0</v>
      </c>
      <c r="AX219" s="143">
        <f>G219*AP219</f>
        <v>0</v>
      </c>
      <c r="AY219" s="144" t="s">
        <v>886</v>
      </c>
      <c r="AZ219" s="144" t="s">
        <v>919</v>
      </c>
      <c r="BA219" s="137" t="s">
        <v>960</v>
      </c>
      <c r="BC219" s="143">
        <f>AW219+AX219</f>
        <v>0</v>
      </c>
      <c r="BD219" s="143">
        <f>H219/(100-BE219)*100</f>
        <v>0</v>
      </c>
      <c r="BE219" s="143">
        <v>0</v>
      </c>
      <c r="BF219" s="143">
        <f>219</f>
        <v>219</v>
      </c>
      <c r="BH219" s="141">
        <f>G219*AO219</f>
        <v>0</v>
      </c>
      <c r="BI219" s="141">
        <f>G219*AP219</f>
        <v>0</v>
      </c>
      <c r="BJ219" s="141">
        <f>G219*H219</f>
        <v>0</v>
      </c>
    </row>
    <row r="220" spans="1:12" ht="12.75">
      <c r="A220" s="154"/>
      <c r="B220" s="154"/>
      <c r="C220" s="60" t="s">
        <v>570</v>
      </c>
      <c r="D220" s="61"/>
      <c r="E220" s="61"/>
      <c r="F220" s="154"/>
      <c r="G220" s="12">
        <v>2</v>
      </c>
      <c r="I220" s="154"/>
      <c r="J220" s="154"/>
      <c r="K220" s="154"/>
      <c r="L220" s="154"/>
    </row>
    <row r="221" spans="1:62" ht="12.75">
      <c r="A221" s="3" t="s">
        <v>81</v>
      </c>
      <c r="B221" s="3" t="s">
        <v>275</v>
      </c>
      <c r="C221" s="58" t="s">
        <v>571</v>
      </c>
      <c r="D221" s="59"/>
      <c r="E221" s="59"/>
      <c r="F221" s="3" t="s">
        <v>816</v>
      </c>
      <c r="G221" s="11">
        <v>1</v>
      </c>
      <c r="H221" s="141">
        <v>0</v>
      </c>
      <c r="I221" s="11">
        <f>G221*AO221</f>
        <v>0</v>
      </c>
      <c r="J221" s="11">
        <f>G221*AP221</f>
        <v>0</v>
      </c>
      <c r="K221" s="11">
        <f>G221*H221</f>
        <v>0</v>
      </c>
      <c r="L221" s="17" t="s">
        <v>845</v>
      </c>
      <c r="Z221" s="143">
        <f>IF(AQ221="5",BJ221,0)</f>
        <v>0</v>
      </c>
      <c r="AB221" s="143">
        <f>IF(AQ221="1",BH221,0)</f>
        <v>0</v>
      </c>
      <c r="AC221" s="143">
        <f>IF(AQ221="1",BI221,0)</f>
        <v>0</v>
      </c>
      <c r="AD221" s="143">
        <f>IF(AQ221="7",BH221,0)</f>
        <v>0</v>
      </c>
      <c r="AE221" s="143">
        <f>IF(AQ221="7",BI221,0)</f>
        <v>0</v>
      </c>
      <c r="AF221" s="143">
        <f>IF(AQ221="2",BH221,0)</f>
        <v>0</v>
      </c>
      <c r="AG221" s="143">
        <f>IF(AQ221="2",BI221,0)</f>
        <v>0</v>
      </c>
      <c r="AH221" s="143">
        <f>IF(AQ221="0",BJ221,0)</f>
        <v>0</v>
      </c>
      <c r="AI221" s="137" t="s">
        <v>864</v>
      </c>
      <c r="AJ221" s="141">
        <f>IF(AN221=0,K221,0)</f>
        <v>0</v>
      </c>
      <c r="AK221" s="141">
        <f>IF(AN221=15,K221,0)</f>
        <v>0</v>
      </c>
      <c r="AL221" s="141">
        <f>IF(AN221=21,K221,0)</f>
        <v>0</v>
      </c>
      <c r="AN221" s="143">
        <v>21</v>
      </c>
      <c r="AO221" s="143">
        <f>H221*0</f>
        <v>0</v>
      </c>
      <c r="AP221" s="143">
        <f>H221*(1-0)</f>
        <v>0</v>
      </c>
      <c r="AQ221" s="142" t="s">
        <v>7</v>
      </c>
      <c r="AV221" s="143">
        <f>AW221+AX221</f>
        <v>0</v>
      </c>
      <c r="AW221" s="143">
        <f>G221*AO221</f>
        <v>0</v>
      </c>
      <c r="AX221" s="143">
        <f>G221*AP221</f>
        <v>0</v>
      </c>
      <c r="AY221" s="144" t="s">
        <v>886</v>
      </c>
      <c r="AZ221" s="144" t="s">
        <v>919</v>
      </c>
      <c r="BA221" s="137" t="s">
        <v>960</v>
      </c>
      <c r="BC221" s="143">
        <f>AW221+AX221</f>
        <v>0</v>
      </c>
      <c r="BD221" s="143">
        <f>H221/(100-BE221)*100</f>
        <v>0</v>
      </c>
      <c r="BE221" s="143">
        <v>0</v>
      </c>
      <c r="BF221" s="143">
        <f>221</f>
        <v>221</v>
      </c>
      <c r="BH221" s="141">
        <f>G221*AO221</f>
        <v>0</v>
      </c>
      <c r="BI221" s="141">
        <f>G221*AP221</f>
        <v>0</v>
      </c>
      <c r="BJ221" s="141">
        <f>G221*H221</f>
        <v>0</v>
      </c>
    </row>
    <row r="222" spans="1:12" ht="12.75">
      <c r="A222" s="154"/>
      <c r="B222" s="154"/>
      <c r="C222" s="60" t="s">
        <v>572</v>
      </c>
      <c r="D222" s="61"/>
      <c r="E222" s="61"/>
      <c r="F222" s="154"/>
      <c r="G222" s="12">
        <v>1</v>
      </c>
      <c r="I222" s="154"/>
      <c r="J222" s="154"/>
      <c r="K222" s="154"/>
      <c r="L222" s="154"/>
    </row>
    <row r="223" spans="1:62" ht="12.75">
      <c r="A223" s="3" t="s">
        <v>82</v>
      </c>
      <c r="B223" s="3" t="s">
        <v>276</v>
      </c>
      <c r="C223" s="58" t="s">
        <v>573</v>
      </c>
      <c r="D223" s="59"/>
      <c r="E223" s="59"/>
      <c r="F223" s="3" t="s">
        <v>816</v>
      </c>
      <c r="G223" s="11">
        <v>3</v>
      </c>
      <c r="H223" s="141">
        <v>0</v>
      </c>
      <c r="I223" s="11">
        <f>G223*AO223</f>
        <v>0</v>
      </c>
      <c r="J223" s="11">
        <f>G223*AP223</f>
        <v>0</v>
      </c>
      <c r="K223" s="11">
        <f>G223*H223</f>
        <v>0</v>
      </c>
      <c r="L223" s="17" t="s">
        <v>845</v>
      </c>
      <c r="Z223" s="143">
        <f>IF(AQ223="5",BJ223,0)</f>
        <v>0</v>
      </c>
      <c r="AB223" s="143">
        <f>IF(AQ223="1",BH223,0)</f>
        <v>0</v>
      </c>
      <c r="AC223" s="143">
        <f>IF(AQ223="1",BI223,0)</f>
        <v>0</v>
      </c>
      <c r="AD223" s="143">
        <f>IF(AQ223="7",BH223,0)</f>
        <v>0</v>
      </c>
      <c r="AE223" s="143">
        <f>IF(AQ223="7",BI223,0)</f>
        <v>0</v>
      </c>
      <c r="AF223" s="143">
        <f>IF(AQ223="2",BH223,0)</f>
        <v>0</v>
      </c>
      <c r="AG223" s="143">
        <f>IF(AQ223="2",BI223,0)</f>
        <v>0</v>
      </c>
      <c r="AH223" s="143">
        <f>IF(AQ223="0",BJ223,0)</f>
        <v>0</v>
      </c>
      <c r="AI223" s="137" t="s">
        <v>864</v>
      </c>
      <c r="AJ223" s="141">
        <f>IF(AN223=0,K223,0)</f>
        <v>0</v>
      </c>
      <c r="AK223" s="141">
        <f>IF(AN223=15,K223,0)</f>
        <v>0</v>
      </c>
      <c r="AL223" s="141">
        <f>IF(AN223=21,K223,0)</f>
        <v>0</v>
      </c>
      <c r="AN223" s="143">
        <v>21</v>
      </c>
      <c r="AO223" s="143">
        <f>H223*0</f>
        <v>0</v>
      </c>
      <c r="AP223" s="143">
        <f>H223*(1-0)</f>
        <v>0</v>
      </c>
      <c r="AQ223" s="142" t="s">
        <v>7</v>
      </c>
      <c r="AV223" s="143">
        <f>AW223+AX223</f>
        <v>0</v>
      </c>
      <c r="AW223" s="143">
        <f>G223*AO223</f>
        <v>0</v>
      </c>
      <c r="AX223" s="143">
        <f>G223*AP223</f>
        <v>0</v>
      </c>
      <c r="AY223" s="144" t="s">
        <v>886</v>
      </c>
      <c r="AZ223" s="144" t="s">
        <v>919</v>
      </c>
      <c r="BA223" s="137" t="s">
        <v>960</v>
      </c>
      <c r="BC223" s="143">
        <f>AW223+AX223</f>
        <v>0</v>
      </c>
      <c r="BD223" s="143">
        <f>H223/(100-BE223)*100</f>
        <v>0</v>
      </c>
      <c r="BE223" s="143">
        <v>0</v>
      </c>
      <c r="BF223" s="143">
        <f>223</f>
        <v>223</v>
      </c>
      <c r="BH223" s="141">
        <f>G223*AO223</f>
        <v>0</v>
      </c>
      <c r="BI223" s="141">
        <f>G223*AP223</f>
        <v>0</v>
      </c>
      <c r="BJ223" s="141">
        <f>G223*H223</f>
        <v>0</v>
      </c>
    </row>
    <row r="224" spans="1:12" ht="12.75">
      <c r="A224" s="154"/>
      <c r="B224" s="154"/>
      <c r="C224" s="60" t="s">
        <v>574</v>
      </c>
      <c r="D224" s="61"/>
      <c r="E224" s="61"/>
      <c r="F224" s="154"/>
      <c r="G224" s="12">
        <v>3</v>
      </c>
      <c r="I224" s="154"/>
      <c r="J224" s="154"/>
      <c r="K224" s="154"/>
      <c r="L224" s="154"/>
    </row>
    <row r="225" spans="1:62" ht="12.75">
      <c r="A225" s="3" t="s">
        <v>83</v>
      </c>
      <c r="B225" s="3" t="s">
        <v>277</v>
      </c>
      <c r="C225" s="58" t="s">
        <v>575</v>
      </c>
      <c r="D225" s="59"/>
      <c r="E225" s="59"/>
      <c r="F225" s="3" t="s">
        <v>816</v>
      </c>
      <c r="G225" s="11">
        <v>9</v>
      </c>
      <c r="H225" s="141">
        <v>0</v>
      </c>
      <c r="I225" s="11">
        <f>G225*AO225</f>
        <v>0</v>
      </c>
      <c r="J225" s="11">
        <f>G225*AP225</f>
        <v>0</v>
      </c>
      <c r="K225" s="11">
        <f>G225*H225</f>
        <v>0</v>
      </c>
      <c r="L225" s="17" t="s">
        <v>845</v>
      </c>
      <c r="Z225" s="143">
        <f>IF(AQ225="5",BJ225,0)</f>
        <v>0</v>
      </c>
      <c r="AB225" s="143">
        <f>IF(AQ225="1",BH225,0)</f>
        <v>0</v>
      </c>
      <c r="AC225" s="143">
        <f>IF(AQ225="1",BI225,0)</f>
        <v>0</v>
      </c>
      <c r="AD225" s="143">
        <f>IF(AQ225="7",BH225,0)</f>
        <v>0</v>
      </c>
      <c r="AE225" s="143">
        <f>IF(AQ225="7",BI225,0)</f>
        <v>0</v>
      </c>
      <c r="AF225" s="143">
        <f>IF(AQ225="2",BH225,0)</f>
        <v>0</v>
      </c>
      <c r="AG225" s="143">
        <f>IF(AQ225="2",BI225,0)</f>
        <v>0</v>
      </c>
      <c r="AH225" s="143">
        <f>IF(AQ225="0",BJ225,0)</f>
        <v>0</v>
      </c>
      <c r="AI225" s="137" t="s">
        <v>864</v>
      </c>
      <c r="AJ225" s="141">
        <f>IF(AN225=0,K225,0)</f>
        <v>0</v>
      </c>
      <c r="AK225" s="141">
        <f>IF(AN225=15,K225,0)</f>
        <v>0</v>
      </c>
      <c r="AL225" s="141">
        <f>IF(AN225=21,K225,0)</f>
        <v>0</v>
      </c>
      <c r="AN225" s="143">
        <v>21</v>
      </c>
      <c r="AO225" s="143">
        <f>H225*0</f>
        <v>0</v>
      </c>
      <c r="AP225" s="143">
        <f>H225*(1-0)</f>
        <v>0</v>
      </c>
      <c r="AQ225" s="142" t="s">
        <v>7</v>
      </c>
      <c r="AV225" s="143">
        <f>AW225+AX225</f>
        <v>0</v>
      </c>
      <c r="AW225" s="143">
        <f>G225*AO225</f>
        <v>0</v>
      </c>
      <c r="AX225" s="143">
        <f>G225*AP225</f>
        <v>0</v>
      </c>
      <c r="AY225" s="144" t="s">
        <v>886</v>
      </c>
      <c r="AZ225" s="144" t="s">
        <v>919</v>
      </c>
      <c r="BA225" s="137" t="s">
        <v>960</v>
      </c>
      <c r="BC225" s="143">
        <f>AW225+AX225</f>
        <v>0</v>
      </c>
      <c r="BD225" s="143">
        <f>H225/(100-BE225)*100</f>
        <v>0</v>
      </c>
      <c r="BE225" s="143">
        <v>0</v>
      </c>
      <c r="BF225" s="143">
        <f>225</f>
        <v>225</v>
      </c>
      <c r="BH225" s="141">
        <f>G225*AO225</f>
        <v>0</v>
      </c>
      <c r="BI225" s="141">
        <f>G225*AP225</f>
        <v>0</v>
      </c>
      <c r="BJ225" s="141">
        <f>G225*H225</f>
        <v>0</v>
      </c>
    </row>
    <row r="226" spans="1:12" ht="12.75">
      <c r="A226" s="154"/>
      <c r="B226" s="154"/>
      <c r="C226" s="60" t="s">
        <v>576</v>
      </c>
      <c r="D226" s="61"/>
      <c r="E226" s="61"/>
      <c r="F226" s="154"/>
      <c r="G226" s="12">
        <v>9</v>
      </c>
      <c r="I226" s="154"/>
      <c r="J226" s="154"/>
      <c r="K226" s="154"/>
      <c r="L226" s="154"/>
    </row>
    <row r="227" spans="1:62" ht="12.75">
      <c r="A227" s="3" t="s">
        <v>84</v>
      </c>
      <c r="B227" s="3" t="s">
        <v>278</v>
      </c>
      <c r="C227" s="58" t="s">
        <v>577</v>
      </c>
      <c r="D227" s="59"/>
      <c r="E227" s="59"/>
      <c r="F227" s="3" t="s">
        <v>816</v>
      </c>
      <c r="G227" s="11">
        <v>6</v>
      </c>
      <c r="H227" s="141">
        <v>0</v>
      </c>
      <c r="I227" s="11">
        <f>G227*AO227</f>
        <v>0</v>
      </c>
      <c r="J227" s="11">
        <f>G227*AP227</f>
        <v>0</v>
      </c>
      <c r="K227" s="11">
        <f>G227*H227</f>
        <v>0</v>
      </c>
      <c r="L227" s="17" t="s">
        <v>845</v>
      </c>
      <c r="Z227" s="143">
        <f>IF(AQ227="5",BJ227,0)</f>
        <v>0</v>
      </c>
      <c r="AB227" s="143">
        <f>IF(AQ227="1",BH227,0)</f>
        <v>0</v>
      </c>
      <c r="AC227" s="143">
        <f>IF(AQ227="1",BI227,0)</f>
        <v>0</v>
      </c>
      <c r="AD227" s="143">
        <f>IF(AQ227="7",BH227,0)</f>
        <v>0</v>
      </c>
      <c r="AE227" s="143">
        <f>IF(AQ227="7",BI227,0)</f>
        <v>0</v>
      </c>
      <c r="AF227" s="143">
        <f>IF(AQ227="2",BH227,0)</f>
        <v>0</v>
      </c>
      <c r="AG227" s="143">
        <f>IF(AQ227="2",BI227,0)</f>
        <v>0</v>
      </c>
      <c r="AH227" s="143">
        <f>IF(AQ227="0",BJ227,0)</f>
        <v>0</v>
      </c>
      <c r="AI227" s="137" t="s">
        <v>864</v>
      </c>
      <c r="AJ227" s="141">
        <f>IF(AN227=0,K227,0)</f>
        <v>0</v>
      </c>
      <c r="AK227" s="141">
        <f>IF(AN227=15,K227,0)</f>
        <v>0</v>
      </c>
      <c r="AL227" s="141">
        <f>IF(AN227=21,K227,0)</f>
        <v>0</v>
      </c>
      <c r="AN227" s="143">
        <v>21</v>
      </c>
      <c r="AO227" s="143">
        <f>H227*0</f>
        <v>0</v>
      </c>
      <c r="AP227" s="143">
        <f>H227*(1-0)</f>
        <v>0</v>
      </c>
      <c r="AQ227" s="142" t="s">
        <v>7</v>
      </c>
      <c r="AV227" s="143">
        <f>AW227+AX227</f>
        <v>0</v>
      </c>
      <c r="AW227" s="143">
        <f>G227*AO227</f>
        <v>0</v>
      </c>
      <c r="AX227" s="143">
        <f>G227*AP227</f>
        <v>0</v>
      </c>
      <c r="AY227" s="144" t="s">
        <v>886</v>
      </c>
      <c r="AZ227" s="144" t="s">
        <v>919</v>
      </c>
      <c r="BA227" s="137" t="s">
        <v>960</v>
      </c>
      <c r="BC227" s="143">
        <f>AW227+AX227</f>
        <v>0</v>
      </c>
      <c r="BD227" s="143">
        <f>H227/(100-BE227)*100</f>
        <v>0</v>
      </c>
      <c r="BE227" s="143">
        <v>0</v>
      </c>
      <c r="BF227" s="143">
        <f>227</f>
        <v>227</v>
      </c>
      <c r="BH227" s="141">
        <f>G227*AO227</f>
        <v>0</v>
      </c>
      <c r="BI227" s="141">
        <f>G227*AP227</f>
        <v>0</v>
      </c>
      <c r="BJ227" s="141">
        <f>G227*H227</f>
        <v>0</v>
      </c>
    </row>
    <row r="228" spans="1:12" ht="12.75">
      <c r="A228" s="154"/>
      <c r="B228" s="154"/>
      <c r="C228" s="60" t="s">
        <v>578</v>
      </c>
      <c r="D228" s="61"/>
      <c r="E228" s="61"/>
      <c r="F228" s="154"/>
      <c r="G228" s="12">
        <v>6</v>
      </c>
      <c r="I228" s="154"/>
      <c r="J228" s="154"/>
      <c r="K228" s="154"/>
      <c r="L228" s="154"/>
    </row>
    <row r="229" spans="1:62" ht="12.75">
      <c r="A229" s="3" t="s">
        <v>85</v>
      </c>
      <c r="B229" s="3" t="s">
        <v>279</v>
      </c>
      <c r="C229" s="58" t="s">
        <v>579</v>
      </c>
      <c r="D229" s="59"/>
      <c r="E229" s="59"/>
      <c r="F229" s="3" t="s">
        <v>816</v>
      </c>
      <c r="G229" s="11">
        <v>2</v>
      </c>
      <c r="H229" s="141">
        <v>0</v>
      </c>
      <c r="I229" s="11">
        <f>G229*AO229</f>
        <v>0</v>
      </c>
      <c r="J229" s="11">
        <f>G229*AP229</f>
        <v>0</v>
      </c>
      <c r="K229" s="11">
        <f>G229*H229</f>
        <v>0</v>
      </c>
      <c r="L229" s="17" t="s">
        <v>845</v>
      </c>
      <c r="Z229" s="143">
        <f>IF(AQ229="5",BJ229,0)</f>
        <v>0</v>
      </c>
      <c r="AB229" s="143">
        <f>IF(AQ229="1",BH229,0)</f>
        <v>0</v>
      </c>
      <c r="AC229" s="143">
        <f>IF(AQ229="1",BI229,0)</f>
        <v>0</v>
      </c>
      <c r="AD229" s="143">
        <f>IF(AQ229="7",BH229,0)</f>
        <v>0</v>
      </c>
      <c r="AE229" s="143">
        <f>IF(AQ229="7",BI229,0)</f>
        <v>0</v>
      </c>
      <c r="AF229" s="143">
        <f>IF(AQ229="2",BH229,0)</f>
        <v>0</v>
      </c>
      <c r="AG229" s="143">
        <f>IF(AQ229="2",BI229,0)</f>
        <v>0</v>
      </c>
      <c r="AH229" s="143">
        <f>IF(AQ229="0",BJ229,0)</f>
        <v>0</v>
      </c>
      <c r="AI229" s="137" t="s">
        <v>864</v>
      </c>
      <c r="AJ229" s="141">
        <f>IF(AN229=0,K229,0)</f>
        <v>0</v>
      </c>
      <c r="AK229" s="141">
        <f>IF(AN229=15,K229,0)</f>
        <v>0</v>
      </c>
      <c r="AL229" s="141">
        <f>IF(AN229=21,K229,0)</f>
        <v>0</v>
      </c>
      <c r="AN229" s="143">
        <v>21</v>
      </c>
      <c r="AO229" s="143">
        <f>H229*0</f>
        <v>0</v>
      </c>
      <c r="AP229" s="143">
        <f>H229*(1-0)</f>
        <v>0</v>
      </c>
      <c r="AQ229" s="142" t="s">
        <v>7</v>
      </c>
      <c r="AV229" s="143">
        <f>AW229+AX229</f>
        <v>0</v>
      </c>
      <c r="AW229" s="143">
        <f>G229*AO229</f>
        <v>0</v>
      </c>
      <c r="AX229" s="143">
        <f>G229*AP229</f>
        <v>0</v>
      </c>
      <c r="AY229" s="144" t="s">
        <v>886</v>
      </c>
      <c r="AZ229" s="144" t="s">
        <v>919</v>
      </c>
      <c r="BA229" s="137" t="s">
        <v>960</v>
      </c>
      <c r="BC229" s="143">
        <f>AW229+AX229</f>
        <v>0</v>
      </c>
      <c r="BD229" s="143">
        <f>H229/(100-BE229)*100</f>
        <v>0</v>
      </c>
      <c r="BE229" s="143">
        <v>0</v>
      </c>
      <c r="BF229" s="143">
        <f>229</f>
        <v>229</v>
      </c>
      <c r="BH229" s="141">
        <f>G229*AO229</f>
        <v>0</v>
      </c>
      <c r="BI229" s="141">
        <f>G229*AP229</f>
        <v>0</v>
      </c>
      <c r="BJ229" s="141">
        <f>G229*H229</f>
        <v>0</v>
      </c>
    </row>
    <row r="230" spans="1:12" ht="12.75">
      <c r="A230" s="154"/>
      <c r="B230" s="154"/>
      <c r="C230" s="60" t="s">
        <v>561</v>
      </c>
      <c r="D230" s="61"/>
      <c r="E230" s="61"/>
      <c r="F230" s="154"/>
      <c r="G230" s="12">
        <v>2</v>
      </c>
      <c r="I230" s="154"/>
      <c r="J230" s="154"/>
      <c r="K230" s="154"/>
      <c r="L230" s="154"/>
    </row>
    <row r="231" spans="1:62" ht="12.75">
      <c r="A231" s="3" t="s">
        <v>86</v>
      </c>
      <c r="B231" s="3" t="s">
        <v>280</v>
      </c>
      <c r="C231" s="58" t="s">
        <v>580</v>
      </c>
      <c r="D231" s="59"/>
      <c r="E231" s="59"/>
      <c r="F231" s="3" t="s">
        <v>818</v>
      </c>
      <c r="G231" s="11">
        <v>55</v>
      </c>
      <c r="H231" s="141">
        <v>0</v>
      </c>
      <c r="I231" s="11">
        <f>G231*AO231</f>
        <v>0</v>
      </c>
      <c r="J231" s="11">
        <f>G231*AP231</f>
        <v>0</v>
      </c>
      <c r="K231" s="11">
        <f>G231*H231</f>
        <v>0</v>
      </c>
      <c r="L231" s="17" t="s">
        <v>845</v>
      </c>
      <c r="Z231" s="143">
        <f>IF(AQ231="5",BJ231,0)</f>
        <v>0</v>
      </c>
      <c r="AB231" s="143">
        <f>IF(AQ231="1",BH231,0)</f>
        <v>0</v>
      </c>
      <c r="AC231" s="143">
        <f>IF(AQ231="1",BI231,0)</f>
        <v>0</v>
      </c>
      <c r="AD231" s="143">
        <f>IF(AQ231="7",BH231,0)</f>
        <v>0</v>
      </c>
      <c r="AE231" s="143">
        <f>IF(AQ231="7",BI231,0)</f>
        <v>0</v>
      </c>
      <c r="AF231" s="143">
        <f>IF(AQ231="2",BH231,0)</f>
        <v>0</v>
      </c>
      <c r="AG231" s="143">
        <f>IF(AQ231="2",BI231,0)</f>
        <v>0</v>
      </c>
      <c r="AH231" s="143">
        <f>IF(AQ231="0",BJ231,0)</f>
        <v>0</v>
      </c>
      <c r="AI231" s="137" t="s">
        <v>864</v>
      </c>
      <c r="AJ231" s="141">
        <f>IF(AN231=0,K231,0)</f>
        <v>0</v>
      </c>
      <c r="AK231" s="141">
        <f>IF(AN231=15,K231,0)</f>
        <v>0</v>
      </c>
      <c r="AL231" s="141">
        <f>IF(AN231=21,K231,0)</f>
        <v>0</v>
      </c>
      <c r="AN231" s="143">
        <v>21</v>
      </c>
      <c r="AO231" s="143">
        <f>H231*0</f>
        <v>0</v>
      </c>
      <c r="AP231" s="143">
        <f>H231*(1-0)</f>
        <v>0</v>
      </c>
      <c r="AQ231" s="142" t="s">
        <v>7</v>
      </c>
      <c r="AV231" s="143">
        <f>AW231+AX231</f>
        <v>0</v>
      </c>
      <c r="AW231" s="143">
        <f>G231*AO231</f>
        <v>0</v>
      </c>
      <c r="AX231" s="143">
        <f>G231*AP231</f>
        <v>0</v>
      </c>
      <c r="AY231" s="144" t="s">
        <v>886</v>
      </c>
      <c r="AZ231" s="144" t="s">
        <v>919</v>
      </c>
      <c r="BA231" s="137" t="s">
        <v>960</v>
      </c>
      <c r="BC231" s="143">
        <f>AW231+AX231</f>
        <v>0</v>
      </c>
      <c r="BD231" s="143">
        <f>H231/(100-BE231)*100</f>
        <v>0</v>
      </c>
      <c r="BE231" s="143">
        <v>0</v>
      </c>
      <c r="BF231" s="143">
        <f>231</f>
        <v>231</v>
      </c>
      <c r="BH231" s="141">
        <f>G231*AO231</f>
        <v>0</v>
      </c>
      <c r="BI231" s="141">
        <f>G231*AP231</f>
        <v>0</v>
      </c>
      <c r="BJ231" s="141">
        <f>G231*H231</f>
        <v>0</v>
      </c>
    </row>
    <row r="232" spans="1:12" ht="12.75">
      <c r="A232" s="154"/>
      <c r="B232" s="154"/>
      <c r="C232" s="60" t="s">
        <v>581</v>
      </c>
      <c r="D232" s="61"/>
      <c r="E232" s="61"/>
      <c r="F232" s="154"/>
      <c r="G232" s="12">
        <v>55</v>
      </c>
      <c r="I232" s="154"/>
      <c r="J232" s="154"/>
      <c r="K232" s="154"/>
      <c r="L232" s="154"/>
    </row>
    <row r="233" spans="1:47" ht="12.75">
      <c r="A233" s="2"/>
      <c r="B233" s="9" t="s">
        <v>22</v>
      </c>
      <c r="C233" s="56" t="s">
        <v>582</v>
      </c>
      <c r="D233" s="57"/>
      <c r="E233" s="57"/>
      <c r="F233" s="2" t="s">
        <v>6</v>
      </c>
      <c r="G233" s="2" t="s">
        <v>6</v>
      </c>
      <c r="H233" s="139" t="s">
        <v>6</v>
      </c>
      <c r="I233" s="23">
        <f>SUM(I234:I268)</f>
        <v>0</v>
      </c>
      <c r="J233" s="23">
        <f>SUM(J234:J268)</f>
        <v>0</v>
      </c>
      <c r="K233" s="23">
        <f>SUM(K234:K268)</f>
        <v>0</v>
      </c>
      <c r="L233" s="16"/>
      <c r="AI233" s="137" t="s">
        <v>864</v>
      </c>
      <c r="AS233" s="140">
        <f>SUM(AJ234:AJ268)</f>
        <v>0</v>
      </c>
      <c r="AT233" s="140">
        <f>SUM(AK234:AK268)</f>
        <v>0</v>
      </c>
      <c r="AU233" s="140">
        <f>SUM(AL234:AL268)</f>
        <v>0</v>
      </c>
    </row>
    <row r="234" spans="1:62" ht="12.75">
      <c r="A234" s="3" t="s">
        <v>87</v>
      </c>
      <c r="B234" s="3" t="s">
        <v>281</v>
      </c>
      <c r="C234" s="58" t="s">
        <v>583</v>
      </c>
      <c r="D234" s="59"/>
      <c r="E234" s="59"/>
      <c r="F234" s="3" t="s">
        <v>816</v>
      </c>
      <c r="G234" s="11">
        <v>1</v>
      </c>
      <c r="H234" s="141">
        <v>0</v>
      </c>
      <c r="I234" s="11">
        <f>G234*AO234</f>
        <v>0</v>
      </c>
      <c r="J234" s="11">
        <f>G234*AP234</f>
        <v>0</v>
      </c>
      <c r="K234" s="11">
        <f>G234*H234</f>
        <v>0</v>
      </c>
      <c r="L234" s="17" t="s">
        <v>845</v>
      </c>
      <c r="Z234" s="143">
        <f>IF(AQ234="5",BJ234,0)</f>
        <v>0</v>
      </c>
      <c r="AB234" s="143">
        <f>IF(AQ234="1",BH234,0)</f>
        <v>0</v>
      </c>
      <c r="AC234" s="143">
        <f>IF(AQ234="1",BI234,0)</f>
        <v>0</v>
      </c>
      <c r="AD234" s="143">
        <f>IF(AQ234="7",BH234,0)</f>
        <v>0</v>
      </c>
      <c r="AE234" s="143">
        <f>IF(AQ234="7",BI234,0)</f>
        <v>0</v>
      </c>
      <c r="AF234" s="143">
        <f>IF(AQ234="2",BH234,0)</f>
        <v>0</v>
      </c>
      <c r="AG234" s="143">
        <f>IF(AQ234="2",BI234,0)</f>
        <v>0</v>
      </c>
      <c r="AH234" s="143">
        <f>IF(AQ234="0",BJ234,0)</f>
        <v>0</v>
      </c>
      <c r="AI234" s="137" t="s">
        <v>864</v>
      </c>
      <c r="AJ234" s="141">
        <f>IF(AN234=0,K234,0)</f>
        <v>0</v>
      </c>
      <c r="AK234" s="141">
        <f>IF(AN234=15,K234,0)</f>
        <v>0</v>
      </c>
      <c r="AL234" s="141">
        <f>IF(AN234=21,K234,0)</f>
        <v>0</v>
      </c>
      <c r="AN234" s="143">
        <v>21</v>
      </c>
      <c r="AO234" s="143">
        <f>H234*0</f>
        <v>0</v>
      </c>
      <c r="AP234" s="143">
        <f>H234*(1-0)</f>
        <v>0</v>
      </c>
      <c r="AQ234" s="142" t="s">
        <v>7</v>
      </c>
      <c r="AV234" s="143">
        <f>AW234+AX234</f>
        <v>0</v>
      </c>
      <c r="AW234" s="143">
        <f>G234*AO234</f>
        <v>0</v>
      </c>
      <c r="AX234" s="143">
        <f>G234*AP234</f>
        <v>0</v>
      </c>
      <c r="AY234" s="144" t="s">
        <v>896</v>
      </c>
      <c r="AZ234" s="144" t="s">
        <v>919</v>
      </c>
      <c r="BA234" s="137" t="s">
        <v>960</v>
      </c>
      <c r="BC234" s="143">
        <f>AW234+AX234</f>
        <v>0</v>
      </c>
      <c r="BD234" s="143">
        <f>H234/(100-BE234)*100</f>
        <v>0</v>
      </c>
      <c r="BE234" s="143">
        <v>0</v>
      </c>
      <c r="BF234" s="143">
        <f>234</f>
        <v>234</v>
      </c>
      <c r="BH234" s="141">
        <f>G234*AO234</f>
        <v>0</v>
      </c>
      <c r="BI234" s="141">
        <f>G234*AP234</f>
        <v>0</v>
      </c>
      <c r="BJ234" s="141">
        <f>G234*H234</f>
        <v>0</v>
      </c>
    </row>
    <row r="235" spans="1:12" ht="12.75">
      <c r="A235" s="154"/>
      <c r="B235" s="154"/>
      <c r="C235" s="60" t="s">
        <v>495</v>
      </c>
      <c r="D235" s="61"/>
      <c r="E235" s="61"/>
      <c r="F235" s="154"/>
      <c r="G235" s="12">
        <v>1</v>
      </c>
      <c r="I235" s="154"/>
      <c r="J235" s="154"/>
      <c r="K235" s="154"/>
      <c r="L235" s="154"/>
    </row>
    <row r="236" spans="1:62" ht="12.75">
      <c r="A236" s="3" t="s">
        <v>88</v>
      </c>
      <c r="B236" s="3" t="s">
        <v>282</v>
      </c>
      <c r="C236" s="58" t="s">
        <v>584</v>
      </c>
      <c r="D236" s="59"/>
      <c r="E236" s="59"/>
      <c r="F236" s="3" t="s">
        <v>816</v>
      </c>
      <c r="G236" s="11">
        <v>4</v>
      </c>
      <c r="H236" s="141">
        <v>0</v>
      </c>
      <c r="I236" s="11">
        <f>G236*AO236</f>
        <v>0</v>
      </c>
      <c r="J236" s="11">
        <f>G236*AP236</f>
        <v>0</v>
      </c>
      <c r="K236" s="11">
        <f>G236*H236</f>
        <v>0</v>
      </c>
      <c r="L236" s="17" t="s">
        <v>845</v>
      </c>
      <c r="Z236" s="143">
        <f>IF(AQ236="5",BJ236,0)</f>
        <v>0</v>
      </c>
      <c r="AB236" s="143">
        <f>IF(AQ236="1",BH236,0)</f>
        <v>0</v>
      </c>
      <c r="AC236" s="143">
        <f>IF(AQ236="1",BI236,0)</f>
        <v>0</v>
      </c>
      <c r="AD236" s="143">
        <f>IF(AQ236="7",BH236,0)</f>
        <v>0</v>
      </c>
      <c r="AE236" s="143">
        <f>IF(AQ236="7",BI236,0)</f>
        <v>0</v>
      </c>
      <c r="AF236" s="143">
        <f>IF(AQ236="2",BH236,0)</f>
        <v>0</v>
      </c>
      <c r="AG236" s="143">
        <f>IF(AQ236="2",BI236,0)</f>
        <v>0</v>
      </c>
      <c r="AH236" s="143">
        <f>IF(AQ236="0",BJ236,0)</f>
        <v>0</v>
      </c>
      <c r="AI236" s="137" t="s">
        <v>864</v>
      </c>
      <c r="AJ236" s="141">
        <f>IF(AN236=0,K236,0)</f>
        <v>0</v>
      </c>
      <c r="AK236" s="141">
        <f>IF(AN236=15,K236,0)</f>
        <v>0</v>
      </c>
      <c r="AL236" s="141">
        <f>IF(AN236=21,K236,0)</f>
        <v>0</v>
      </c>
      <c r="AN236" s="143">
        <v>21</v>
      </c>
      <c r="AO236" s="143">
        <f>H236*0</f>
        <v>0</v>
      </c>
      <c r="AP236" s="143">
        <f>H236*(1-0)</f>
        <v>0</v>
      </c>
      <c r="AQ236" s="142" t="s">
        <v>7</v>
      </c>
      <c r="AV236" s="143">
        <f>AW236+AX236</f>
        <v>0</v>
      </c>
      <c r="AW236" s="143">
        <f>G236*AO236</f>
        <v>0</v>
      </c>
      <c r="AX236" s="143">
        <f>G236*AP236</f>
        <v>0</v>
      </c>
      <c r="AY236" s="144" t="s">
        <v>896</v>
      </c>
      <c r="AZ236" s="144" t="s">
        <v>919</v>
      </c>
      <c r="BA236" s="137" t="s">
        <v>960</v>
      </c>
      <c r="BC236" s="143">
        <f>AW236+AX236</f>
        <v>0</v>
      </c>
      <c r="BD236" s="143">
        <f>H236/(100-BE236)*100</f>
        <v>0</v>
      </c>
      <c r="BE236" s="143">
        <v>0</v>
      </c>
      <c r="BF236" s="143">
        <f>236</f>
        <v>236</v>
      </c>
      <c r="BH236" s="141">
        <f>G236*AO236</f>
        <v>0</v>
      </c>
      <c r="BI236" s="141">
        <f>G236*AP236</f>
        <v>0</v>
      </c>
      <c r="BJ236" s="141">
        <f>G236*H236</f>
        <v>0</v>
      </c>
    </row>
    <row r="237" spans="1:12" ht="12.75">
      <c r="A237" s="154"/>
      <c r="B237" s="154"/>
      <c r="C237" s="60" t="s">
        <v>563</v>
      </c>
      <c r="D237" s="61"/>
      <c r="E237" s="61"/>
      <c r="F237" s="154"/>
      <c r="G237" s="12">
        <v>4</v>
      </c>
      <c r="I237" s="154"/>
      <c r="J237" s="154"/>
      <c r="K237" s="154"/>
      <c r="L237" s="154"/>
    </row>
    <row r="238" spans="1:62" ht="12.75">
      <c r="A238" s="3" t="s">
        <v>89</v>
      </c>
      <c r="B238" s="3" t="s">
        <v>283</v>
      </c>
      <c r="C238" s="58" t="s">
        <v>585</v>
      </c>
      <c r="D238" s="59"/>
      <c r="E238" s="59"/>
      <c r="F238" s="3" t="s">
        <v>816</v>
      </c>
      <c r="G238" s="11">
        <v>1</v>
      </c>
      <c r="H238" s="141">
        <v>0</v>
      </c>
      <c r="I238" s="11">
        <f>G238*AO238</f>
        <v>0</v>
      </c>
      <c r="J238" s="11">
        <f>G238*AP238</f>
        <v>0</v>
      </c>
      <c r="K238" s="11">
        <f>G238*H238</f>
        <v>0</v>
      </c>
      <c r="L238" s="17" t="s">
        <v>845</v>
      </c>
      <c r="Z238" s="143">
        <f>IF(AQ238="5",BJ238,0)</f>
        <v>0</v>
      </c>
      <c r="AB238" s="143">
        <f>IF(AQ238="1",BH238,0)</f>
        <v>0</v>
      </c>
      <c r="AC238" s="143">
        <f>IF(AQ238="1",BI238,0)</f>
        <v>0</v>
      </c>
      <c r="AD238" s="143">
        <f>IF(AQ238="7",BH238,0)</f>
        <v>0</v>
      </c>
      <c r="AE238" s="143">
        <f>IF(AQ238="7",BI238,0)</f>
        <v>0</v>
      </c>
      <c r="AF238" s="143">
        <f>IF(AQ238="2",BH238,0)</f>
        <v>0</v>
      </c>
      <c r="AG238" s="143">
        <f>IF(AQ238="2",BI238,0)</f>
        <v>0</v>
      </c>
      <c r="AH238" s="143">
        <f>IF(AQ238="0",BJ238,0)</f>
        <v>0</v>
      </c>
      <c r="AI238" s="137" t="s">
        <v>864</v>
      </c>
      <c r="AJ238" s="141">
        <f>IF(AN238=0,K238,0)</f>
        <v>0</v>
      </c>
      <c r="AK238" s="141">
        <f>IF(AN238=15,K238,0)</f>
        <v>0</v>
      </c>
      <c r="AL238" s="141">
        <f>IF(AN238=21,K238,0)</f>
        <v>0</v>
      </c>
      <c r="AN238" s="143">
        <v>21</v>
      </c>
      <c r="AO238" s="143">
        <f>H238*0</f>
        <v>0</v>
      </c>
      <c r="AP238" s="143">
        <f>H238*(1-0)</f>
        <v>0</v>
      </c>
      <c r="AQ238" s="142" t="s">
        <v>7</v>
      </c>
      <c r="AV238" s="143">
        <f>AW238+AX238</f>
        <v>0</v>
      </c>
      <c r="AW238" s="143">
        <f>G238*AO238</f>
        <v>0</v>
      </c>
      <c r="AX238" s="143">
        <f>G238*AP238</f>
        <v>0</v>
      </c>
      <c r="AY238" s="144" t="s">
        <v>896</v>
      </c>
      <c r="AZ238" s="144" t="s">
        <v>919</v>
      </c>
      <c r="BA238" s="137" t="s">
        <v>960</v>
      </c>
      <c r="BC238" s="143">
        <f>AW238+AX238</f>
        <v>0</v>
      </c>
      <c r="BD238" s="143">
        <f>H238/(100-BE238)*100</f>
        <v>0</v>
      </c>
      <c r="BE238" s="143">
        <v>0</v>
      </c>
      <c r="BF238" s="143">
        <f>238</f>
        <v>238</v>
      </c>
      <c r="BH238" s="141">
        <f>G238*AO238</f>
        <v>0</v>
      </c>
      <c r="BI238" s="141">
        <f>G238*AP238</f>
        <v>0</v>
      </c>
      <c r="BJ238" s="141">
        <f>G238*H238</f>
        <v>0</v>
      </c>
    </row>
    <row r="239" spans="1:12" ht="12.75">
      <c r="A239" s="154"/>
      <c r="B239" s="154"/>
      <c r="C239" s="60" t="s">
        <v>495</v>
      </c>
      <c r="D239" s="61"/>
      <c r="E239" s="61"/>
      <c r="F239" s="154"/>
      <c r="G239" s="12">
        <v>1</v>
      </c>
      <c r="I239" s="154"/>
      <c r="J239" s="154"/>
      <c r="K239" s="154"/>
      <c r="L239" s="154"/>
    </row>
    <row r="240" spans="1:62" ht="12.75">
      <c r="A240" s="3" t="s">
        <v>90</v>
      </c>
      <c r="B240" s="3" t="s">
        <v>284</v>
      </c>
      <c r="C240" s="58" t="s">
        <v>586</v>
      </c>
      <c r="D240" s="59"/>
      <c r="E240" s="59"/>
      <c r="F240" s="3" t="s">
        <v>816</v>
      </c>
      <c r="G240" s="11">
        <v>2</v>
      </c>
      <c r="H240" s="141">
        <v>0</v>
      </c>
      <c r="I240" s="11">
        <f>G240*AO240</f>
        <v>0</v>
      </c>
      <c r="J240" s="11">
        <f>G240*AP240</f>
        <v>0</v>
      </c>
      <c r="K240" s="11">
        <f>G240*H240</f>
        <v>0</v>
      </c>
      <c r="L240" s="17" t="s">
        <v>845</v>
      </c>
      <c r="Z240" s="143">
        <f>IF(AQ240="5",BJ240,0)</f>
        <v>0</v>
      </c>
      <c r="AB240" s="143">
        <f>IF(AQ240="1",BH240,0)</f>
        <v>0</v>
      </c>
      <c r="AC240" s="143">
        <f>IF(AQ240="1",BI240,0)</f>
        <v>0</v>
      </c>
      <c r="AD240" s="143">
        <f>IF(AQ240="7",BH240,0)</f>
        <v>0</v>
      </c>
      <c r="AE240" s="143">
        <f>IF(AQ240="7",BI240,0)</f>
        <v>0</v>
      </c>
      <c r="AF240" s="143">
        <f>IF(AQ240="2",BH240,0)</f>
        <v>0</v>
      </c>
      <c r="AG240" s="143">
        <f>IF(AQ240="2",BI240,0)</f>
        <v>0</v>
      </c>
      <c r="AH240" s="143">
        <f>IF(AQ240="0",BJ240,0)</f>
        <v>0</v>
      </c>
      <c r="AI240" s="137" t="s">
        <v>864</v>
      </c>
      <c r="AJ240" s="141">
        <f>IF(AN240=0,K240,0)</f>
        <v>0</v>
      </c>
      <c r="AK240" s="141">
        <f>IF(AN240=15,K240,0)</f>
        <v>0</v>
      </c>
      <c r="AL240" s="141">
        <f>IF(AN240=21,K240,0)</f>
        <v>0</v>
      </c>
      <c r="AN240" s="143">
        <v>21</v>
      </c>
      <c r="AO240" s="143">
        <f>H240*0</f>
        <v>0</v>
      </c>
      <c r="AP240" s="143">
        <f>H240*(1-0)</f>
        <v>0</v>
      </c>
      <c r="AQ240" s="142" t="s">
        <v>7</v>
      </c>
      <c r="AV240" s="143">
        <f>AW240+AX240</f>
        <v>0</v>
      </c>
      <c r="AW240" s="143">
        <f>G240*AO240</f>
        <v>0</v>
      </c>
      <c r="AX240" s="143">
        <f>G240*AP240</f>
        <v>0</v>
      </c>
      <c r="AY240" s="144" t="s">
        <v>896</v>
      </c>
      <c r="AZ240" s="144" t="s">
        <v>919</v>
      </c>
      <c r="BA240" s="137" t="s">
        <v>960</v>
      </c>
      <c r="BC240" s="143">
        <f>AW240+AX240</f>
        <v>0</v>
      </c>
      <c r="BD240" s="143">
        <f>H240/(100-BE240)*100</f>
        <v>0</v>
      </c>
      <c r="BE240" s="143">
        <v>0</v>
      </c>
      <c r="BF240" s="143">
        <f>240</f>
        <v>240</v>
      </c>
      <c r="BH240" s="141">
        <f>G240*AO240</f>
        <v>0</v>
      </c>
      <c r="BI240" s="141">
        <f>G240*AP240</f>
        <v>0</v>
      </c>
      <c r="BJ240" s="141">
        <f>G240*H240</f>
        <v>0</v>
      </c>
    </row>
    <row r="241" spans="1:12" ht="12.75">
      <c r="A241" s="154"/>
      <c r="B241" s="154"/>
      <c r="C241" s="60" t="s">
        <v>561</v>
      </c>
      <c r="D241" s="61"/>
      <c r="E241" s="61"/>
      <c r="F241" s="154"/>
      <c r="G241" s="12">
        <v>2</v>
      </c>
      <c r="I241" s="154"/>
      <c r="J241" s="154"/>
      <c r="K241" s="154"/>
      <c r="L241" s="154"/>
    </row>
    <row r="242" spans="1:62" ht="12.75">
      <c r="A242" s="3" t="s">
        <v>91</v>
      </c>
      <c r="B242" s="3" t="s">
        <v>285</v>
      </c>
      <c r="C242" s="58" t="s">
        <v>587</v>
      </c>
      <c r="D242" s="59"/>
      <c r="E242" s="59"/>
      <c r="F242" s="3" t="s">
        <v>816</v>
      </c>
      <c r="G242" s="11">
        <v>4</v>
      </c>
      <c r="H242" s="141">
        <v>0</v>
      </c>
      <c r="I242" s="11">
        <f>G242*AO242</f>
        <v>0</v>
      </c>
      <c r="J242" s="11">
        <f>G242*AP242</f>
        <v>0</v>
      </c>
      <c r="K242" s="11">
        <f>G242*H242</f>
        <v>0</v>
      </c>
      <c r="L242" s="17" t="s">
        <v>845</v>
      </c>
      <c r="Z242" s="143">
        <f>IF(AQ242="5",BJ242,0)</f>
        <v>0</v>
      </c>
      <c r="AB242" s="143">
        <f>IF(AQ242="1",BH242,0)</f>
        <v>0</v>
      </c>
      <c r="AC242" s="143">
        <f>IF(AQ242="1",BI242,0)</f>
        <v>0</v>
      </c>
      <c r="AD242" s="143">
        <f>IF(AQ242="7",BH242,0)</f>
        <v>0</v>
      </c>
      <c r="AE242" s="143">
        <f>IF(AQ242="7",BI242,0)</f>
        <v>0</v>
      </c>
      <c r="AF242" s="143">
        <f>IF(AQ242="2",BH242,0)</f>
        <v>0</v>
      </c>
      <c r="AG242" s="143">
        <f>IF(AQ242="2",BI242,0)</f>
        <v>0</v>
      </c>
      <c r="AH242" s="143">
        <f>IF(AQ242="0",BJ242,0)</f>
        <v>0</v>
      </c>
      <c r="AI242" s="137" t="s">
        <v>864</v>
      </c>
      <c r="AJ242" s="141">
        <f>IF(AN242=0,K242,0)</f>
        <v>0</v>
      </c>
      <c r="AK242" s="141">
        <f>IF(AN242=15,K242,0)</f>
        <v>0</v>
      </c>
      <c r="AL242" s="141">
        <f>IF(AN242=21,K242,0)</f>
        <v>0</v>
      </c>
      <c r="AN242" s="143">
        <v>21</v>
      </c>
      <c r="AO242" s="143">
        <f>H242*0</f>
        <v>0</v>
      </c>
      <c r="AP242" s="143">
        <f>H242*(1-0)</f>
        <v>0</v>
      </c>
      <c r="AQ242" s="142" t="s">
        <v>7</v>
      </c>
      <c r="AV242" s="143">
        <f>AW242+AX242</f>
        <v>0</v>
      </c>
      <c r="AW242" s="143">
        <f>G242*AO242</f>
        <v>0</v>
      </c>
      <c r="AX242" s="143">
        <f>G242*AP242</f>
        <v>0</v>
      </c>
      <c r="AY242" s="144" t="s">
        <v>896</v>
      </c>
      <c r="AZ242" s="144" t="s">
        <v>919</v>
      </c>
      <c r="BA242" s="137" t="s">
        <v>960</v>
      </c>
      <c r="BC242" s="143">
        <f>AW242+AX242</f>
        <v>0</v>
      </c>
      <c r="BD242" s="143">
        <f>H242/(100-BE242)*100</f>
        <v>0</v>
      </c>
      <c r="BE242" s="143">
        <v>0</v>
      </c>
      <c r="BF242" s="143">
        <f>242</f>
        <v>242</v>
      </c>
      <c r="BH242" s="141">
        <f>G242*AO242</f>
        <v>0</v>
      </c>
      <c r="BI242" s="141">
        <f>G242*AP242</f>
        <v>0</v>
      </c>
      <c r="BJ242" s="141">
        <f>G242*H242</f>
        <v>0</v>
      </c>
    </row>
    <row r="243" spans="1:12" ht="12.75">
      <c r="A243" s="154"/>
      <c r="B243" s="154"/>
      <c r="C243" s="60" t="s">
        <v>563</v>
      </c>
      <c r="D243" s="61"/>
      <c r="E243" s="61"/>
      <c r="F243" s="154"/>
      <c r="G243" s="12">
        <v>4</v>
      </c>
      <c r="I243" s="154"/>
      <c r="J243" s="154"/>
      <c r="K243" s="154"/>
      <c r="L243" s="154"/>
    </row>
    <row r="244" spans="1:62" ht="12.75">
      <c r="A244" s="3" t="s">
        <v>92</v>
      </c>
      <c r="B244" s="3" t="s">
        <v>286</v>
      </c>
      <c r="C244" s="58" t="s">
        <v>588</v>
      </c>
      <c r="D244" s="59"/>
      <c r="E244" s="59"/>
      <c r="F244" s="3" t="s">
        <v>816</v>
      </c>
      <c r="G244" s="11">
        <v>2</v>
      </c>
      <c r="H244" s="141">
        <v>0</v>
      </c>
      <c r="I244" s="11">
        <f>G244*AO244</f>
        <v>0</v>
      </c>
      <c r="J244" s="11">
        <f>G244*AP244</f>
        <v>0</v>
      </c>
      <c r="K244" s="11">
        <f>G244*H244</f>
        <v>0</v>
      </c>
      <c r="L244" s="17" t="s">
        <v>845</v>
      </c>
      <c r="Z244" s="143">
        <f>IF(AQ244="5",BJ244,0)</f>
        <v>0</v>
      </c>
      <c r="AB244" s="143">
        <f>IF(AQ244="1",BH244,0)</f>
        <v>0</v>
      </c>
      <c r="AC244" s="143">
        <f>IF(AQ244="1",BI244,0)</f>
        <v>0</v>
      </c>
      <c r="AD244" s="143">
        <f>IF(AQ244="7",BH244,0)</f>
        <v>0</v>
      </c>
      <c r="AE244" s="143">
        <f>IF(AQ244="7",BI244,0)</f>
        <v>0</v>
      </c>
      <c r="AF244" s="143">
        <f>IF(AQ244="2",BH244,0)</f>
        <v>0</v>
      </c>
      <c r="AG244" s="143">
        <f>IF(AQ244="2",BI244,0)</f>
        <v>0</v>
      </c>
      <c r="AH244" s="143">
        <f>IF(AQ244="0",BJ244,0)</f>
        <v>0</v>
      </c>
      <c r="AI244" s="137" t="s">
        <v>864</v>
      </c>
      <c r="AJ244" s="141">
        <f>IF(AN244=0,K244,0)</f>
        <v>0</v>
      </c>
      <c r="AK244" s="141">
        <f>IF(AN244=15,K244,0)</f>
        <v>0</v>
      </c>
      <c r="AL244" s="141">
        <f>IF(AN244=21,K244,0)</f>
        <v>0</v>
      </c>
      <c r="AN244" s="143">
        <v>21</v>
      </c>
      <c r="AO244" s="143">
        <f>H244*0</f>
        <v>0</v>
      </c>
      <c r="AP244" s="143">
        <f>H244*(1-0)</f>
        <v>0</v>
      </c>
      <c r="AQ244" s="142" t="s">
        <v>7</v>
      </c>
      <c r="AV244" s="143">
        <f>AW244+AX244</f>
        <v>0</v>
      </c>
      <c r="AW244" s="143">
        <f>G244*AO244</f>
        <v>0</v>
      </c>
      <c r="AX244" s="143">
        <f>G244*AP244</f>
        <v>0</v>
      </c>
      <c r="AY244" s="144" t="s">
        <v>896</v>
      </c>
      <c r="AZ244" s="144" t="s">
        <v>919</v>
      </c>
      <c r="BA244" s="137" t="s">
        <v>960</v>
      </c>
      <c r="BC244" s="143">
        <f>AW244+AX244</f>
        <v>0</v>
      </c>
      <c r="BD244" s="143">
        <f>H244/(100-BE244)*100</f>
        <v>0</v>
      </c>
      <c r="BE244" s="143">
        <v>0</v>
      </c>
      <c r="BF244" s="143">
        <f>244</f>
        <v>244</v>
      </c>
      <c r="BH244" s="141">
        <f>G244*AO244</f>
        <v>0</v>
      </c>
      <c r="BI244" s="141">
        <f>G244*AP244</f>
        <v>0</v>
      </c>
      <c r="BJ244" s="141">
        <f>G244*H244</f>
        <v>0</v>
      </c>
    </row>
    <row r="245" spans="1:12" ht="12.75">
      <c r="A245" s="154"/>
      <c r="B245" s="154"/>
      <c r="C245" s="60" t="s">
        <v>561</v>
      </c>
      <c r="D245" s="61"/>
      <c r="E245" s="61"/>
      <c r="F245" s="154"/>
      <c r="G245" s="12">
        <v>2</v>
      </c>
      <c r="I245" s="154"/>
      <c r="J245" s="154"/>
      <c r="K245" s="154"/>
      <c r="L245" s="154"/>
    </row>
    <row r="246" spans="1:62" ht="12.75">
      <c r="A246" s="3" t="s">
        <v>93</v>
      </c>
      <c r="B246" s="3" t="s">
        <v>287</v>
      </c>
      <c r="C246" s="58" t="s">
        <v>589</v>
      </c>
      <c r="D246" s="59"/>
      <c r="E246" s="59"/>
      <c r="F246" s="3" t="s">
        <v>816</v>
      </c>
      <c r="G246" s="11">
        <v>2</v>
      </c>
      <c r="H246" s="141">
        <v>0</v>
      </c>
      <c r="I246" s="11">
        <f>G246*AO246</f>
        <v>0</v>
      </c>
      <c r="J246" s="11">
        <f>G246*AP246</f>
        <v>0</v>
      </c>
      <c r="K246" s="11">
        <f>G246*H246</f>
        <v>0</v>
      </c>
      <c r="L246" s="17" t="s">
        <v>845</v>
      </c>
      <c r="Z246" s="143">
        <f>IF(AQ246="5",BJ246,0)</f>
        <v>0</v>
      </c>
      <c r="AB246" s="143">
        <f>IF(AQ246="1",BH246,0)</f>
        <v>0</v>
      </c>
      <c r="AC246" s="143">
        <f>IF(AQ246="1",BI246,0)</f>
        <v>0</v>
      </c>
      <c r="AD246" s="143">
        <f>IF(AQ246="7",BH246,0)</f>
        <v>0</v>
      </c>
      <c r="AE246" s="143">
        <f>IF(AQ246="7",BI246,0)</f>
        <v>0</v>
      </c>
      <c r="AF246" s="143">
        <f>IF(AQ246="2",BH246,0)</f>
        <v>0</v>
      </c>
      <c r="AG246" s="143">
        <f>IF(AQ246="2",BI246,0)</f>
        <v>0</v>
      </c>
      <c r="AH246" s="143">
        <f>IF(AQ246="0",BJ246,0)</f>
        <v>0</v>
      </c>
      <c r="AI246" s="137" t="s">
        <v>864</v>
      </c>
      <c r="AJ246" s="141">
        <f>IF(AN246=0,K246,0)</f>
        <v>0</v>
      </c>
      <c r="AK246" s="141">
        <f>IF(AN246=15,K246,0)</f>
        <v>0</v>
      </c>
      <c r="AL246" s="141">
        <f>IF(AN246=21,K246,0)</f>
        <v>0</v>
      </c>
      <c r="AN246" s="143">
        <v>21</v>
      </c>
      <c r="AO246" s="143">
        <f>H246*0</f>
        <v>0</v>
      </c>
      <c r="AP246" s="143">
        <f>H246*(1-0)</f>
        <v>0</v>
      </c>
      <c r="AQ246" s="142" t="s">
        <v>7</v>
      </c>
      <c r="AV246" s="143">
        <f>AW246+AX246</f>
        <v>0</v>
      </c>
      <c r="AW246" s="143">
        <f>G246*AO246</f>
        <v>0</v>
      </c>
      <c r="AX246" s="143">
        <f>G246*AP246</f>
        <v>0</v>
      </c>
      <c r="AY246" s="144" t="s">
        <v>896</v>
      </c>
      <c r="AZ246" s="144" t="s">
        <v>919</v>
      </c>
      <c r="BA246" s="137" t="s">
        <v>960</v>
      </c>
      <c r="BC246" s="143">
        <f>AW246+AX246</f>
        <v>0</v>
      </c>
      <c r="BD246" s="143">
        <f>H246/(100-BE246)*100</f>
        <v>0</v>
      </c>
      <c r="BE246" s="143">
        <v>0</v>
      </c>
      <c r="BF246" s="143">
        <f>246</f>
        <v>246</v>
      </c>
      <c r="BH246" s="141">
        <f>G246*AO246</f>
        <v>0</v>
      </c>
      <c r="BI246" s="141">
        <f>G246*AP246</f>
        <v>0</v>
      </c>
      <c r="BJ246" s="141">
        <f>G246*H246</f>
        <v>0</v>
      </c>
    </row>
    <row r="247" spans="1:12" ht="12.75">
      <c r="A247" s="154"/>
      <c r="B247" s="154"/>
      <c r="C247" s="60" t="s">
        <v>561</v>
      </c>
      <c r="D247" s="61"/>
      <c r="E247" s="61"/>
      <c r="F247" s="154"/>
      <c r="G247" s="12">
        <v>2</v>
      </c>
      <c r="I247" s="154"/>
      <c r="J247" s="154"/>
      <c r="K247" s="154"/>
      <c r="L247" s="154"/>
    </row>
    <row r="248" spans="1:62" ht="12.75">
      <c r="A248" s="3" t="s">
        <v>94</v>
      </c>
      <c r="B248" s="3" t="s">
        <v>288</v>
      </c>
      <c r="C248" s="58" t="s">
        <v>590</v>
      </c>
      <c r="D248" s="59"/>
      <c r="E248" s="59"/>
      <c r="F248" s="3" t="s">
        <v>816</v>
      </c>
      <c r="G248" s="11">
        <v>1</v>
      </c>
      <c r="H248" s="141">
        <v>0</v>
      </c>
      <c r="I248" s="11">
        <f>G248*AO248</f>
        <v>0</v>
      </c>
      <c r="J248" s="11">
        <f>G248*AP248</f>
        <v>0</v>
      </c>
      <c r="K248" s="11">
        <f>G248*H248</f>
        <v>0</v>
      </c>
      <c r="L248" s="17" t="s">
        <v>845</v>
      </c>
      <c r="Z248" s="143">
        <f>IF(AQ248="5",BJ248,0)</f>
        <v>0</v>
      </c>
      <c r="AB248" s="143">
        <f>IF(AQ248="1",BH248,0)</f>
        <v>0</v>
      </c>
      <c r="AC248" s="143">
        <f>IF(AQ248="1",BI248,0)</f>
        <v>0</v>
      </c>
      <c r="AD248" s="143">
        <f>IF(AQ248="7",BH248,0)</f>
        <v>0</v>
      </c>
      <c r="AE248" s="143">
        <f>IF(AQ248="7",BI248,0)</f>
        <v>0</v>
      </c>
      <c r="AF248" s="143">
        <f>IF(AQ248="2",BH248,0)</f>
        <v>0</v>
      </c>
      <c r="AG248" s="143">
        <f>IF(AQ248="2",BI248,0)</f>
        <v>0</v>
      </c>
      <c r="AH248" s="143">
        <f>IF(AQ248="0",BJ248,0)</f>
        <v>0</v>
      </c>
      <c r="AI248" s="137" t="s">
        <v>864</v>
      </c>
      <c r="AJ248" s="141">
        <f>IF(AN248=0,K248,0)</f>
        <v>0</v>
      </c>
      <c r="AK248" s="141">
        <f>IF(AN248=15,K248,0)</f>
        <v>0</v>
      </c>
      <c r="AL248" s="141">
        <f>IF(AN248=21,K248,0)</f>
        <v>0</v>
      </c>
      <c r="AN248" s="143">
        <v>21</v>
      </c>
      <c r="AO248" s="143">
        <f>H248*0</f>
        <v>0</v>
      </c>
      <c r="AP248" s="143">
        <f>H248*(1-0)</f>
        <v>0</v>
      </c>
      <c r="AQ248" s="142" t="s">
        <v>7</v>
      </c>
      <c r="AV248" s="143">
        <f>AW248+AX248</f>
        <v>0</v>
      </c>
      <c r="AW248" s="143">
        <f>G248*AO248</f>
        <v>0</v>
      </c>
      <c r="AX248" s="143">
        <f>G248*AP248</f>
        <v>0</v>
      </c>
      <c r="AY248" s="144" t="s">
        <v>896</v>
      </c>
      <c r="AZ248" s="144" t="s">
        <v>919</v>
      </c>
      <c r="BA248" s="137" t="s">
        <v>960</v>
      </c>
      <c r="BC248" s="143">
        <f>AW248+AX248</f>
        <v>0</v>
      </c>
      <c r="BD248" s="143">
        <f>H248/(100-BE248)*100</f>
        <v>0</v>
      </c>
      <c r="BE248" s="143">
        <v>0</v>
      </c>
      <c r="BF248" s="143">
        <f>248</f>
        <v>248</v>
      </c>
      <c r="BH248" s="141">
        <f>G248*AO248</f>
        <v>0</v>
      </c>
      <c r="BI248" s="141">
        <f>G248*AP248</f>
        <v>0</v>
      </c>
      <c r="BJ248" s="141">
        <f>G248*H248</f>
        <v>0</v>
      </c>
    </row>
    <row r="249" spans="1:12" ht="12.75">
      <c r="A249" s="154"/>
      <c r="B249" s="154"/>
      <c r="C249" s="60" t="s">
        <v>495</v>
      </c>
      <c r="D249" s="61"/>
      <c r="E249" s="61"/>
      <c r="F249" s="154"/>
      <c r="G249" s="12">
        <v>1</v>
      </c>
      <c r="I249" s="154"/>
      <c r="J249" s="154"/>
      <c r="K249" s="154"/>
      <c r="L249" s="154"/>
    </row>
    <row r="250" spans="1:62" ht="12.75">
      <c r="A250" s="3" t="s">
        <v>95</v>
      </c>
      <c r="B250" s="3" t="s">
        <v>289</v>
      </c>
      <c r="C250" s="58" t="s">
        <v>591</v>
      </c>
      <c r="D250" s="59"/>
      <c r="E250" s="59"/>
      <c r="F250" s="3" t="s">
        <v>816</v>
      </c>
      <c r="G250" s="11">
        <v>4</v>
      </c>
      <c r="H250" s="141">
        <v>0</v>
      </c>
      <c r="I250" s="11">
        <f>G250*AO250</f>
        <v>0</v>
      </c>
      <c r="J250" s="11">
        <f>G250*AP250</f>
        <v>0</v>
      </c>
      <c r="K250" s="11">
        <f>G250*H250</f>
        <v>0</v>
      </c>
      <c r="L250" s="17" t="s">
        <v>845</v>
      </c>
      <c r="Z250" s="143">
        <f>IF(AQ250="5",BJ250,0)</f>
        <v>0</v>
      </c>
      <c r="AB250" s="143">
        <f>IF(AQ250="1",BH250,0)</f>
        <v>0</v>
      </c>
      <c r="AC250" s="143">
        <f>IF(AQ250="1",BI250,0)</f>
        <v>0</v>
      </c>
      <c r="AD250" s="143">
        <f>IF(AQ250="7",BH250,0)</f>
        <v>0</v>
      </c>
      <c r="AE250" s="143">
        <f>IF(AQ250="7",BI250,0)</f>
        <v>0</v>
      </c>
      <c r="AF250" s="143">
        <f>IF(AQ250="2",BH250,0)</f>
        <v>0</v>
      </c>
      <c r="AG250" s="143">
        <f>IF(AQ250="2",BI250,0)</f>
        <v>0</v>
      </c>
      <c r="AH250" s="143">
        <f>IF(AQ250="0",BJ250,0)</f>
        <v>0</v>
      </c>
      <c r="AI250" s="137" t="s">
        <v>864</v>
      </c>
      <c r="AJ250" s="141">
        <f>IF(AN250=0,K250,0)</f>
        <v>0</v>
      </c>
      <c r="AK250" s="141">
        <f>IF(AN250=15,K250,0)</f>
        <v>0</v>
      </c>
      <c r="AL250" s="141">
        <f>IF(AN250=21,K250,0)</f>
        <v>0</v>
      </c>
      <c r="AN250" s="143">
        <v>21</v>
      </c>
      <c r="AO250" s="143">
        <f>H250*0</f>
        <v>0</v>
      </c>
      <c r="AP250" s="143">
        <f>H250*(1-0)</f>
        <v>0</v>
      </c>
      <c r="AQ250" s="142" t="s">
        <v>7</v>
      </c>
      <c r="AV250" s="143">
        <f>AW250+AX250</f>
        <v>0</v>
      </c>
      <c r="AW250" s="143">
        <f>G250*AO250</f>
        <v>0</v>
      </c>
      <c r="AX250" s="143">
        <f>G250*AP250</f>
        <v>0</v>
      </c>
      <c r="AY250" s="144" t="s">
        <v>896</v>
      </c>
      <c r="AZ250" s="144" t="s">
        <v>919</v>
      </c>
      <c r="BA250" s="137" t="s">
        <v>960</v>
      </c>
      <c r="BC250" s="143">
        <f>AW250+AX250</f>
        <v>0</v>
      </c>
      <c r="BD250" s="143">
        <f>H250/(100-BE250)*100</f>
        <v>0</v>
      </c>
      <c r="BE250" s="143">
        <v>0</v>
      </c>
      <c r="BF250" s="143">
        <f>250</f>
        <v>250</v>
      </c>
      <c r="BH250" s="141">
        <f>G250*AO250</f>
        <v>0</v>
      </c>
      <c r="BI250" s="141">
        <f>G250*AP250</f>
        <v>0</v>
      </c>
      <c r="BJ250" s="141">
        <f>G250*H250</f>
        <v>0</v>
      </c>
    </row>
    <row r="251" spans="1:12" ht="12.75">
      <c r="A251" s="154"/>
      <c r="B251" s="154"/>
      <c r="C251" s="60" t="s">
        <v>563</v>
      </c>
      <c r="D251" s="61"/>
      <c r="E251" s="61"/>
      <c r="F251" s="154"/>
      <c r="G251" s="12">
        <v>4</v>
      </c>
      <c r="I251" s="154"/>
      <c r="J251" s="154"/>
      <c r="K251" s="154"/>
      <c r="L251" s="154"/>
    </row>
    <row r="252" spans="1:62" ht="12.75">
      <c r="A252" s="3" t="s">
        <v>96</v>
      </c>
      <c r="B252" s="3" t="s">
        <v>290</v>
      </c>
      <c r="C252" s="58" t="s">
        <v>592</v>
      </c>
      <c r="D252" s="59"/>
      <c r="E252" s="59"/>
      <c r="F252" s="3" t="s">
        <v>816</v>
      </c>
      <c r="G252" s="11">
        <v>1</v>
      </c>
      <c r="H252" s="141">
        <v>0</v>
      </c>
      <c r="I252" s="11">
        <f>G252*AO252</f>
        <v>0</v>
      </c>
      <c r="J252" s="11">
        <f>G252*AP252</f>
        <v>0</v>
      </c>
      <c r="K252" s="11">
        <f>G252*H252</f>
        <v>0</v>
      </c>
      <c r="L252" s="17" t="s">
        <v>845</v>
      </c>
      <c r="Z252" s="143">
        <f>IF(AQ252="5",BJ252,0)</f>
        <v>0</v>
      </c>
      <c r="AB252" s="143">
        <f>IF(AQ252="1",BH252,0)</f>
        <v>0</v>
      </c>
      <c r="AC252" s="143">
        <f>IF(AQ252="1",BI252,0)</f>
        <v>0</v>
      </c>
      <c r="AD252" s="143">
        <f>IF(AQ252="7",BH252,0)</f>
        <v>0</v>
      </c>
      <c r="AE252" s="143">
        <f>IF(AQ252="7",BI252,0)</f>
        <v>0</v>
      </c>
      <c r="AF252" s="143">
        <f>IF(AQ252="2",BH252,0)</f>
        <v>0</v>
      </c>
      <c r="AG252" s="143">
        <f>IF(AQ252="2",BI252,0)</f>
        <v>0</v>
      </c>
      <c r="AH252" s="143">
        <f>IF(AQ252="0",BJ252,0)</f>
        <v>0</v>
      </c>
      <c r="AI252" s="137" t="s">
        <v>864</v>
      </c>
      <c r="AJ252" s="141">
        <f>IF(AN252=0,K252,0)</f>
        <v>0</v>
      </c>
      <c r="AK252" s="141">
        <f>IF(AN252=15,K252,0)</f>
        <v>0</v>
      </c>
      <c r="AL252" s="141">
        <f>IF(AN252=21,K252,0)</f>
        <v>0</v>
      </c>
      <c r="AN252" s="143">
        <v>21</v>
      </c>
      <c r="AO252" s="143">
        <f>H252*0</f>
        <v>0</v>
      </c>
      <c r="AP252" s="143">
        <f>H252*(1-0)</f>
        <v>0</v>
      </c>
      <c r="AQ252" s="142" t="s">
        <v>7</v>
      </c>
      <c r="AV252" s="143">
        <f>AW252+AX252</f>
        <v>0</v>
      </c>
      <c r="AW252" s="143">
        <f>G252*AO252</f>
        <v>0</v>
      </c>
      <c r="AX252" s="143">
        <f>G252*AP252</f>
        <v>0</v>
      </c>
      <c r="AY252" s="144" t="s">
        <v>896</v>
      </c>
      <c r="AZ252" s="144" t="s">
        <v>919</v>
      </c>
      <c r="BA252" s="137" t="s">
        <v>960</v>
      </c>
      <c r="BC252" s="143">
        <f>AW252+AX252</f>
        <v>0</v>
      </c>
      <c r="BD252" s="143">
        <f>H252/(100-BE252)*100</f>
        <v>0</v>
      </c>
      <c r="BE252" s="143">
        <v>0</v>
      </c>
      <c r="BF252" s="143">
        <f>252</f>
        <v>252</v>
      </c>
      <c r="BH252" s="141">
        <f>G252*AO252</f>
        <v>0</v>
      </c>
      <c r="BI252" s="141">
        <f>G252*AP252</f>
        <v>0</v>
      </c>
      <c r="BJ252" s="141">
        <f>G252*H252</f>
        <v>0</v>
      </c>
    </row>
    <row r="253" spans="1:12" ht="12.75">
      <c r="A253" s="154"/>
      <c r="B253" s="154"/>
      <c r="C253" s="60" t="s">
        <v>495</v>
      </c>
      <c r="D253" s="61"/>
      <c r="E253" s="61"/>
      <c r="F253" s="154"/>
      <c r="G253" s="12">
        <v>1</v>
      </c>
      <c r="I253" s="154"/>
      <c r="J253" s="154"/>
      <c r="K253" s="154"/>
      <c r="L253" s="154"/>
    </row>
    <row r="254" spans="1:62" ht="12.75">
      <c r="A254" s="3" t="s">
        <v>97</v>
      </c>
      <c r="B254" s="3" t="s">
        <v>291</v>
      </c>
      <c r="C254" s="58" t="s">
        <v>593</v>
      </c>
      <c r="D254" s="59"/>
      <c r="E254" s="59"/>
      <c r="F254" s="3" t="s">
        <v>816</v>
      </c>
      <c r="G254" s="11">
        <v>2</v>
      </c>
      <c r="H254" s="141">
        <v>0</v>
      </c>
      <c r="I254" s="11">
        <f>G254*AO254</f>
        <v>0</v>
      </c>
      <c r="J254" s="11">
        <f>G254*AP254</f>
        <v>0</v>
      </c>
      <c r="K254" s="11">
        <f>G254*H254</f>
        <v>0</v>
      </c>
      <c r="L254" s="17" t="s">
        <v>845</v>
      </c>
      <c r="Z254" s="143">
        <f>IF(AQ254="5",BJ254,0)</f>
        <v>0</v>
      </c>
      <c r="AB254" s="143">
        <f>IF(AQ254="1",BH254,0)</f>
        <v>0</v>
      </c>
      <c r="AC254" s="143">
        <f>IF(AQ254="1",BI254,0)</f>
        <v>0</v>
      </c>
      <c r="AD254" s="143">
        <f>IF(AQ254="7",BH254,0)</f>
        <v>0</v>
      </c>
      <c r="AE254" s="143">
        <f>IF(AQ254="7",BI254,0)</f>
        <v>0</v>
      </c>
      <c r="AF254" s="143">
        <f>IF(AQ254="2",BH254,0)</f>
        <v>0</v>
      </c>
      <c r="AG254" s="143">
        <f>IF(AQ254="2",BI254,0)</f>
        <v>0</v>
      </c>
      <c r="AH254" s="143">
        <f>IF(AQ254="0",BJ254,0)</f>
        <v>0</v>
      </c>
      <c r="AI254" s="137" t="s">
        <v>864</v>
      </c>
      <c r="AJ254" s="141">
        <f>IF(AN254=0,K254,0)</f>
        <v>0</v>
      </c>
      <c r="AK254" s="141">
        <f>IF(AN254=15,K254,0)</f>
        <v>0</v>
      </c>
      <c r="AL254" s="141">
        <f>IF(AN254=21,K254,0)</f>
        <v>0</v>
      </c>
      <c r="AN254" s="143">
        <v>21</v>
      </c>
      <c r="AO254" s="143">
        <f>H254*0</f>
        <v>0</v>
      </c>
      <c r="AP254" s="143">
        <f>H254*(1-0)</f>
        <v>0</v>
      </c>
      <c r="AQ254" s="142" t="s">
        <v>7</v>
      </c>
      <c r="AV254" s="143">
        <f>AW254+AX254</f>
        <v>0</v>
      </c>
      <c r="AW254" s="143">
        <f>G254*AO254</f>
        <v>0</v>
      </c>
      <c r="AX254" s="143">
        <f>G254*AP254</f>
        <v>0</v>
      </c>
      <c r="AY254" s="144" t="s">
        <v>896</v>
      </c>
      <c r="AZ254" s="144" t="s">
        <v>919</v>
      </c>
      <c r="BA254" s="137" t="s">
        <v>960</v>
      </c>
      <c r="BC254" s="143">
        <f>AW254+AX254</f>
        <v>0</v>
      </c>
      <c r="BD254" s="143">
        <f>H254/(100-BE254)*100</f>
        <v>0</v>
      </c>
      <c r="BE254" s="143">
        <v>0</v>
      </c>
      <c r="BF254" s="143">
        <f>254</f>
        <v>254</v>
      </c>
      <c r="BH254" s="141">
        <f>G254*AO254</f>
        <v>0</v>
      </c>
      <c r="BI254" s="141">
        <f>G254*AP254</f>
        <v>0</v>
      </c>
      <c r="BJ254" s="141">
        <f>G254*H254</f>
        <v>0</v>
      </c>
    </row>
    <row r="255" spans="1:12" ht="12.75">
      <c r="A255" s="154"/>
      <c r="B255" s="154"/>
      <c r="C255" s="60" t="s">
        <v>561</v>
      </c>
      <c r="D255" s="61"/>
      <c r="E255" s="61"/>
      <c r="F255" s="154"/>
      <c r="G255" s="12">
        <v>2</v>
      </c>
      <c r="I255" s="154"/>
      <c r="J255" s="154"/>
      <c r="K255" s="154"/>
      <c r="L255" s="154"/>
    </row>
    <row r="256" spans="1:62" ht="12.75">
      <c r="A256" s="3" t="s">
        <v>98</v>
      </c>
      <c r="B256" s="3" t="s">
        <v>292</v>
      </c>
      <c r="C256" s="58" t="s">
        <v>594</v>
      </c>
      <c r="D256" s="59"/>
      <c r="E256" s="59"/>
      <c r="F256" s="3" t="s">
        <v>816</v>
      </c>
      <c r="G256" s="11">
        <v>4</v>
      </c>
      <c r="H256" s="141">
        <v>0</v>
      </c>
      <c r="I256" s="11">
        <f>G256*AO256</f>
        <v>0</v>
      </c>
      <c r="J256" s="11">
        <f>G256*AP256</f>
        <v>0</v>
      </c>
      <c r="K256" s="11">
        <f>G256*H256</f>
        <v>0</v>
      </c>
      <c r="L256" s="17" t="s">
        <v>845</v>
      </c>
      <c r="Z256" s="143">
        <f>IF(AQ256="5",BJ256,0)</f>
        <v>0</v>
      </c>
      <c r="AB256" s="143">
        <f>IF(AQ256="1",BH256,0)</f>
        <v>0</v>
      </c>
      <c r="AC256" s="143">
        <f>IF(AQ256="1",BI256,0)</f>
        <v>0</v>
      </c>
      <c r="AD256" s="143">
        <f>IF(AQ256="7",BH256,0)</f>
        <v>0</v>
      </c>
      <c r="AE256" s="143">
        <f>IF(AQ256="7",BI256,0)</f>
        <v>0</v>
      </c>
      <c r="AF256" s="143">
        <f>IF(AQ256="2",BH256,0)</f>
        <v>0</v>
      </c>
      <c r="AG256" s="143">
        <f>IF(AQ256="2",BI256,0)</f>
        <v>0</v>
      </c>
      <c r="AH256" s="143">
        <f>IF(AQ256="0",BJ256,0)</f>
        <v>0</v>
      </c>
      <c r="AI256" s="137" t="s">
        <v>864</v>
      </c>
      <c r="AJ256" s="141">
        <f>IF(AN256=0,K256,0)</f>
        <v>0</v>
      </c>
      <c r="AK256" s="141">
        <f>IF(AN256=15,K256,0)</f>
        <v>0</v>
      </c>
      <c r="AL256" s="141">
        <f>IF(AN256=21,K256,0)</f>
        <v>0</v>
      </c>
      <c r="AN256" s="143">
        <v>21</v>
      </c>
      <c r="AO256" s="143">
        <f>H256*0</f>
        <v>0</v>
      </c>
      <c r="AP256" s="143">
        <f>H256*(1-0)</f>
        <v>0</v>
      </c>
      <c r="AQ256" s="142" t="s">
        <v>7</v>
      </c>
      <c r="AV256" s="143">
        <f>AW256+AX256</f>
        <v>0</v>
      </c>
      <c r="AW256" s="143">
        <f>G256*AO256</f>
        <v>0</v>
      </c>
      <c r="AX256" s="143">
        <f>G256*AP256</f>
        <v>0</v>
      </c>
      <c r="AY256" s="144" t="s">
        <v>896</v>
      </c>
      <c r="AZ256" s="144" t="s">
        <v>919</v>
      </c>
      <c r="BA256" s="137" t="s">
        <v>960</v>
      </c>
      <c r="BC256" s="143">
        <f>AW256+AX256</f>
        <v>0</v>
      </c>
      <c r="BD256" s="143">
        <f>H256/(100-BE256)*100</f>
        <v>0</v>
      </c>
      <c r="BE256" s="143">
        <v>0</v>
      </c>
      <c r="BF256" s="143">
        <f>256</f>
        <v>256</v>
      </c>
      <c r="BH256" s="141">
        <f>G256*AO256</f>
        <v>0</v>
      </c>
      <c r="BI256" s="141">
        <f>G256*AP256</f>
        <v>0</v>
      </c>
      <c r="BJ256" s="141">
        <f>G256*H256</f>
        <v>0</v>
      </c>
    </row>
    <row r="257" spans="1:12" ht="12.75">
      <c r="A257" s="154"/>
      <c r="B257" s="154"/>
      <c r="C257" s="60" t="s">
        <v>563</v>
      </c>
      <c r="D257" s="61"/>
      <c r="E257" s="61"/>
      <c r="F257" s="154"/>
      <c r="G257" s="12">
        <v>4</v>
      </c>
      <c r="I257" s="154"/>
      <c r="J257" s="154"/>
      <c r="K257" s="154"/>
      <c r="L257" s="154"/>
    </row>
    <row r="258" spans="1:62" ht="12.75">
      <c r="A258" s="3" t="s">
        <v>99</v>
      </c>
      <c r="B258" s="3" t="s">
        <v>293</v>
      </c>
      <c r="C258" s="58" t="s">
        <v>595</v>
      </c>
      <c r="D258" s="59"/>
      <c r="E258" s="59"/>
      <c r="F258" s="3" t="s">
        <v>816</v>
      </c>
      <c r="G258" s="11">
        <v>2</v>
      </c>
      <c r="H258" s="141">
        <v>0</v>
      </c>
      <c r="I258" s="11">
        <f>G258*AO258</f>
        <v>0</v>
      </c>
      <c r="J258" s="11">
        <f>G258*AP258</f>
        <v>0</v>
      </c>
      <c r="K258" s="11">
        <f>G258*H258</f>
        <v>0</v>
      </c>
      <c r="L258" s="17" t="s">
        <v>845</v>
      </c>
      <c r="Z258" s="143">
        <f>IF(AQ258="5",BJ258,0)</f>
        <v>0</v>
      </c>
      <c r="AB258" s="143">
        <f>IF(AQ258="1",BH258,0)</f>
        <v>0</v>
      </c>
      <c r="AC258" s="143">
        <f>IF(AQ258="1",BI258,0)</f>
        <v>0</v>
      </c>
      <c r="AD258" s="143">
        <f>IF(AQ258="7",BH258,0)</f>
        <v>0</v>
      </c>
      <c r="AE258" s="143">
        <f>IF(AQ258="7",BI258,0)</f>
        <v>0</v>
      </c>
      <c r="AF258" s="143">
        <f>IF(AQ258="2",BH258,0)</f>
        <v>0</v>
      </c>
      <c r="AG258" s="143">
        <f>IF(AQ258="2",BI258,0)</f>
        <v>0</v>
      </c>
      <c r="AH258" s="143">
        <f>IF(AQ258="0",BJ258,0)</f>
        <v>0</v>
      </c>
      <c r="AI258" s="137" t="s">
        <v>864</v>
      </c>
      <c r="AJ258" s="141">
        <f>IF(AN258=0,K258,0)</f>
        <v>0</v>
      </c>
      <c r="AK258" s="141">
        <f>IF(AN258=15,K258,0)</f>
        <v>0</v>
      </c>
      <c r="AL258" s="141">
        <f>IF(AN258=21,K258,0)</f>
        <v>0</v>
      </c>
      <c r="AN258" s="143">
        <v>21</v>
      </c>
      <c r="AO258" s="143">
        <f>H258*0</f>
        <v>0</v>
      </c>
      <c r="AP258" s="143">
        <f>H258*(1-0)</f>
        <v>0</v>
      </c>
      <c r="AQ258" s="142" t="s">
        <v>7</v>
      </c>
      <c r="AV258" s="143">
        <f>AW258+AX258</f>
        <v>0</v>
      </c>
      <c r="AW258" s="143">
        <f>G258*AO258</f>
        <v>0</v>
      </c>
      <c r="AX258" s="143">
        <f>G258*AP258</f>
        <v>0</v>
      </c>
      <c r="AY258" s="144" t="s">
        <v>896</v>
      </c>
      <c r="AZ258" s="144" t="s">
        <v>919</v>
      </c>
      <c r="BA258" s="137" t="s">
        <v>960</v>
      </c>
      <c r="BC258" s="143">
        <f>AW258+AX258</f>
        <v>0</v>
      </c>
      <c r="BD258" s="143">
        <f>H258/(100-BE258)*100</f>
        <v>0</v>
      </c>
      <c r="BE258" s="143">
        <v>0</v>
      </c>
      <c r="BF258" s="143">
        <f>258</f>
        <v>258</v>
      </c>
      <c r="BH258" s="141">
        <f>G258*AO258</f>
        <v>0</v>
      </c>
      <c r="BI258" s="141">
        <f>G258*AP258</f>
        <v>0</v>
      </c>
      <c r="BJ258" s="141">
        <f>G258*H258</f>
        <v>0</v>
      </c>
    </row>
    <row r="259" spans="1:12" ht="12.75">
      <c r="A259" s="154"/>
      <c r="B259" s="154"/>
      <c r="C259" s="60" t="s">
        <v>561</v>
      </c>
      <c r="D259" s="61"/>
      <c r="E259" s="61"/>
      <c r="F259" s="154"/>
      <c r="G259" s="12">
        <v>2</v>
      </c>
      <c r="I259" s="154"/>
      <c r="J259" s="154"/>
      <c r="K259" s="154"/>
      <c r="L259" s="154"/>
    </row>
    <row r="260" spans="1:62" ht="12.75">
      <c r="A260" s="3" t="s">
        <v>100</v>
      </c>
      <c r="B260" s="3" t="s">
        <v>294</v>
      </c>
      <c r="C260" s="58" t="s">
        <v>596</v>
      </c>
      <c r="D260" s="59"/>
      <c r="E260" s="59"/>
      <c r="F260" s="3" t="s">
        <v>816</v>
      </c>
      <c r="G260" s="11">
        <v>2</v>
      </c>
      <c r="H260" s="141">
        <v>0</v>
      </c>
      <c r="I260" s="11">
        <f>G260*AO260</f>
        <v>0</v>
      </c>
      <c r="J260" s="11">
        <f>G260*AP260</f>
        <v>0</v>
      </c>
      <c r="K260" s="11">
        <f>G260*H260</f>
        <v>0</v>
      </c>
      <c r="L260" s="17" t="s">
        <v>845</v>
      </c>
      <c r="Z260" s="143">
        <f>IF(AQ260="5",BJ260,0)</f>
        <v>0</v>
      </c>
      <c r="AB260" s="143">
        <f>IF(AQ260="1",BH260,0)</f>
        <v>0</v>
      </c>
      <c r="AC260" s="143">
        <f>IF(AQ260="1",BI260,0)</f>
        <v>0</v>
      </c>
      <c r="AD260" s="143">
        <f>IF(AQ260="7",BH260,0)</f>
        <v>0</v>
      </c>
      <c r="AE260" s="143">
        <f>IF(AQ260="7",BI260,0)</f>
        <v>0</v>
      </c>
      <c r="AF260" s="143">
        <f>IF(AQ260="2",BH260,0)</f>
        <v>0</v>
      </c>
      <c r="AG260" s="143">
        <f>IF(AQ260="2",BI260,0)</f>
        <v>0</v>
      </c>
      <c r="AH260" s="143">
        <f>IF(AQ260="0",BJ260,0)</f>
        <v>0</v>
      </c>
      <c r="AI260" s="137" t="s">
        <v>864</v>
      </c>
      <c r="AJ260" s="141">
        <f>IF(AN260=0,K260,0)</f>
        <v>0</v>
      </c>
      <c r="AK260" s="141">
        <f>IF(AN260=15,K260,0)</f>
        <v>0</v>
      </c>
      <c r="AL260" s="141">
        <f>IF(AN260=21,K260,0)</f>
        <v>0</v>
      </c>
      <c r="AN260" s="143">
        <v>21</v>
      </c>
      <c r="AO260" s="143">
        <f>H260*0</f>
        <v>0</v>
      </c>
      <c r="AP260" s="143">
        <f>H260*(1-0)</f>
        <v>0</v>
      </c>
      <c r="AQ260" s="142" t="s">
        <v>7</v>
      </c>
      <c r="AV260" s="143">
        <f>AW260+AX260</f>
        <v>0</v>
      </c>
      <c r="AW260" s="143">
        <f>G260*AO260</f>
        <v>0</v>
      </c>
      <c r="AX260" s="143">
        <f>G260*AP260</f>
        <v>0</v>
      </c>
      <c r="AY260" s="144" t="s">
        <v>896</v>
      </c>
      <c r="AZ260" s="144" t="s">
        <v>919</v>
      </c>
      <c r="BA260" s="137" t="s">
        <v>960</v>
      </c>
      <c r="BC260" s="143">
        <f>AW260+AX260</f>
        <v>0</v>
      </c>
      <c r="BD260" s="143">
        <f>H260/(100-BE260)*100</f>
        <v>0</v>
      </c>
      <c r="BE260" s="143">
        <v>0</v>
      </c>
      <c r="BF260" s="143">
        <f>260</f>
        <v>260</v>
      </c>
      <c r="BH260" s="141">
        <f>G260*AO260</f>
        <v>0</v>
      </c>
      <c r="BI260" s="141">
        <f>G260*AP260</f>
        <v>0</v>
      </c>
      <c r="BJ260" s="141">
        <f>G260*H260</f>
        <v>0</v>
      </c>
    </row>
    <row r="261" spans="1:12" ht="12.75">
      <c r="A261" s="154"/>
      <c r="B261" s="154"/>
      <c r="C261" s="60" t="s">
        <v>561</v>
      </c>
      <c r="D261" s="61"/>
      <c r="E261" s="61"/>
      <c r="F261" s="154"/>
      <c r="G261" s="12">
        <v>2</v>
      </c>
      <c r="I261" s="154"/>
      <c r="J261" s="154"/>
      <c r="K261" s="154"/>
      <c r="L261" s="154"/>
    </row>
    <row r="262" spans="1:62" ht="12.75">
      <c r="A262" s="3" t="s">
        <v>101</v>
      </c>
      <c r="B262" s="3" t="s">
        <v>295</v>
      </c>
      <c r="C262" s="58" t="s">
        <v>597</v>
      </c>
      <c r="D262" s="59"/>
      <c r="E262" s="59"/>
      <c r="F262" s="3" t="s">
        <v>816</v>
      </c>
      <c r="G262" s="11">
        <v>3</v>
      </c>
      <c r="H262" s="141">
        <v>0</v>
      </c>
      <c r="I262" s="11">
        <f>G262*AO262</f>
        <v>0</v>
      </c>
      <c r="J262" s="11">
        <f>G262*AP262</f>
        <v>0</v>
      </c>
      <c r="K262" s="11">
        <f>G262*H262</f>
        <v>0</v>
      </c>
      <c r="L262" s="17" t="s">
        <v>845</v>
      </c>
      <c r="Z262" s="143">
        <f>IF(AQ262="5",BJ262,0)</f>
        <v>0</v>
      </c>
      <c r="AB262" s="143">
        <f>IF(AQ262="1",BH262,0)</f>
        <v>0</v>
      </c>
      <c r="AC262" s="143">
        <f>IF(AQ262="1",BI262,0)</f>
        <v>0</v>
      </c>
      <c r="AD262" s="143">
        <f>IF(AQ262="7",BH262,0)</f>
        <v>0</v>
      </c>
      <c r="AE262" s="143">
        <f>IF(AQ262="7",BI262,0)</f>
        <v>0</v>
      </c>
      <c r="AF262" s="143">
        <f>IF(AQ262="2",BH262,0)</f>
        <v>0</v>
      </c>
      <c r="AG262" s="143">
        <f>IF(AQ262="2",BI262,0)</f>
        <v>0</v>
      </c>
      <c r="AH262" s="143">
        <f>IF(AQ262="0",BJ262,0)</f>
        <v>0</v>
      </c>
      <c r="AI262" s="137" t="s">
        <v>864</v>
      </c>
      <c r="AJ262" s="141">
        <f>IF(AN262=0,K262,0)</f>
        <v>0</v>
      </c>
      <c r="AK262" s="141">
        <f>IF(AN262=15,K262,0)</f>
        <v>0</v>
      </c>
      <c r="AL262" s="141">
        <f>IF(AN262=21,K262,0)</f>
        <v>0</v>
      </c>
      <c r="AN262" s="143">
        <v>21</v>
      </c>
      <c r="AO262" s="143">
        <f>H262*0</f>
        <v>0</v>
      </c>
      <c r="AP262" s="143">
        <f>H262*(1-0)</f>
        <v>0</v>
      </c>
      <c r="AQ262" s="142" t="s">
        <v>7</v>
      </c>
      <c r="AV262" s="143">
        <f>AW262+AX262</f>
        <v>0</v>
      </c>
      <c r="AW262" s="143">
        <f>G262*AO262</f>
        <v>0</v>
      </c>
      <c r="AX262" s="143">
        <f>G262*AP262</f>
        <v>0</v>
      </c>
      <c r="AY262" s="144" t="s">
        <v>896</v>
      </c>
      <c r="AZ262" s="144" t="s">
        <v>919</v>
      </c>
      <c r="BA262" s="137" t="s">
        <v>960</v>
      </c>
      <c r="BC262" s="143">
        <f>AW262+AX262</f>
        <v>0</v>
      </c>
      <c r="BD262" s="143">
        <f>H262/(100-BE262)*100</f>
        <v>0</v>
      </c>
      <c r="BE262" s="143">
        <v>0</v>
      </c>
      <c r="BF262" s="143">
        <f>262</f>
        <v>262</v>
      </c>
      <c r="BH262" s="141">
        <f>G262*AO262</f>
        <v>0</v>
      </c>
      <c r="BI262" s="141">
        <f>G262*AP262</f>
        <v>0</v>
      </c>
      <c r="BJ262" s="141">
        <f>G262*H262</f>
        <v>0</v>
      </c>
    </row>
    <row r="263" spans="1:12" ht="12.75">
      <c r="A263" s="154"/>
      <c r="B263" s="154"/>
      <c r="C263" s="60" t="s">
        <v>598</v>
      </c>
      <c r="D263" s="61"/>
      <c r="E263" s="61"/>
      <c r="F263" s="154"/>
      <c r="G263" s="12">
        <v>3</v>
      </c>
      <c r="I263" s="154"/>
      <c r="J263" s="154"/>
      <c r="K263" s="154"/>
      <c r="L263" s="154"/>
    </row>
    <row r="264" spans="1:62" ht="12.75">
      <c r="A264" s="3" t="s">
        <v>102</v>
      </c>
      <c r="B264" s="3" t="s">
        <v>296</v>
      </c>
      <c r="C264" s="58" t="s">
        <v>599</v>
      </c>
      <c r="D264" s="59"/>
      <c r="E264" s="59"/>
      <c r="F264" s="3" t="s">
        <v>816</v>
      </c>
      <c r="G264" s="11">
        <v>15</v>
      </c>
      <c r="H264" s="141">
        <v>0</v>
      </c>
      <c r="I264" s="11">
        <f>G264*AO264</f>
        <v>0</v>
      </c>
      <c r="J264" s="11">
        <f>G264*AP264</f>
        <v>0</v>
      </c>
      <c r="K264" s="11">
        <f>G264*H264</f>
        <v>0</v>
      </c>
      <c r="L264" s="17" t="s">
        <v>845</v>
      </c>
      <c r="Z264" s="143">
        <f>IF(AQ264="5",BJ264,0)</f>
        <v>0</v>
      </c>
      <c r="AB264" s="143">
        <f>IF(AQ264="1",BH264,0)</f>
        <v>0</v>
      </c>
      <c r="AC264" s="143">
        <f>IF(AQ264="1",BI264,0)</f>
        <v>0</v>
      </c>
      <c r="AD264" s="143">
        <f>IF(AQ264="7",BH264,0)</f>
        <v>0</v>
      </c>
      <c r="AE264" s="143">
        <f>IF(AQ264="7",BI264,0)</f>
        <v>0</v>
      </c>
      <c r="AF264" s="143">
        <f>IF(AQ264="2",BH264,0)</f>
        <v>0</v>
      </c>
      <c r="AG264" s="143">
        <f>IF(AQ264="2",BI264,0)</f>
        <v>0</v>
      </c>
      <c r="AH264" s="143">
        <f>IF(AQ264="0",BJ264,0)</f>
        <v>0</v>
      </c>
      <c r="AI264" s="137" t="s">
        <v>864</v>
      </c>
      <c r="AJ264" s="141">
        <f>IF(AN264=0,K264,0)</f>
        <v>0</v>
      </c>
      <c r="AK264" s="141">
        <f>IF(AN264=15,K264,0)</f>
        <v>0</v>
      </c>
      <c r="AL264" s="141">
        <f>IF(AN264=21,K264,0)</f>
        <v>0</v>
      </c>
      <c r="AN264" s="143">
        <v>21</v>
      </c>
      <c r="AO264" s="143">
        <f>H264*0</f>
        <v>0</v>
      </c>
      <c r="AP264" s="143">
        <f>H264*(1-0)</f>
        <v>0</v>
      </c>
      <c r="AQ264" s="142" t="s">
        <v>7</v>
      </c>
      <c r="AV264" s="143">
        <f>AW264+AX264</f>
        <v>0</v>
      </c>
      <c r="AW264" s="143">
        <f>G264*AO264</f>
        <v>0</v>
      </c>
      <c r="AX264" s="143">
        <f>G264*AP264</f>
        <v>0</v>
      </c>
      <c r="AY264" s="144" t="s">
        <v>896</v>
      </c>
      <c r="AZ264" s="144" t="s">
        <v>919</v>
      </c>
      <c r="BA264" s="137" t="s">
        <v>960</v>
      </c>
      <c r="BC264" s="143">
        <f>AW264+AX264</f>
        <v>0</v>
      </c>
      <c r="BD264" s="143">
        <f>H264/(100-BE264)*100</f>
        <v>0</v>
      </c>
      <c r="BE264" s="143">
        <v>0</v>
      </c>
      <c r="BF264" s="143">
        <f>264</f>
        <v>264</v>
      </c>
      <c r="BH264" s="141">
        <f>G264*AO264</f>
        <v>0</v>
      </c>
      <c r="BI264" s="141">
        <f>G264*AP264</f>
        <v>0</v>
      </c>
      <c r="BJ264" s="141">
        <f>G264*H264</f>
        <v>0</v>
      </c>
    </row>
    <row r="265" spans="1:12" ht="12.75">
      <c r="A265" s="154"/>
      <c r="B265" s="154"/>
      <c r="C265" s="60" t="s">
        <v>600</v>
      </c>
      <c r="D265" s="61"/>
      <c r="E265" s="61"/>
      <c r="F265" s="154"/>
      <c r="G265" s="12">
        <v>15</v>
      </c>
      <c r="I265" s="154"/>
      <c r="J265" s="154"/>
      <c r="K265" s="154"/>
      <c r="L265" s="154"/>
    </row>
    <row r="266" spans="1:62" ht="12.75">
      <c r="A266" s="3" t="s">
        <v>103</v>
      </c>
      <c r="B266" s="3" t="s">
        <v>297</v>
      </c>
      <c r="C266" s="58" t="s">
        <v>601</v>
      </c>
      <c r="D266" s="59"/>
      <c r="E266" s="59"/>
      <c r="F266" s="3" t="s">
        <v>816</v>
      </c>
      <c r="G266" s="11">
        <v>6</v>
      </c>
      <c r="H266" s="141">
        <v>0</v>
      </c>
      <c r="I266" s="11">
        <f>G266*AO266</f>
        <v>0</v>
      </c>
      <c r="J266" s="11">
        <f>G266*AP266</f>
        <v>0</v>
      </c>
      <c r="K266" s="11">
        <f>G266*H266</f>
        <v>0</v>
      </c>
      <c r="L266" s="17" t="s">
        <v>845</v>
      </c>
      <c r="Z266" s="143">
        <f>IF(AQ266="5",BJ266,0)</f>
        <v>0</v>
      </c>
      <c r="AB266" s="143">
        <f>IF(AQ266="1",BH266,0)</f>
        <v>0</v>
      </c>
      <c r="AC266" s="143">
        <f>IF(AQ266="1",BI266,0)</f>
        <v>0</v>
      </c>
      <c r="AD266" s="143">
        <f>IF(AQ266="7",BH266,0)</f>
        <v>0</v>
      </c>
      <c r="AE266" s="143">
        <f>IF(AQ266="7",BI266,0)</f>
        <v>0</v>
      </c>
      <c r="AF266" s="143">
        <f>IF(AQ266="2",BH266,0)</f>
        <v>0</v>
      </c>
      <c r="AG266" s="143">
        <f>IF(AQ266="2",BI266,0)</f>
        <v>0</v>
      </c>
      <c r="AH266" s="143">
        <f>IF(AQ266="0",BJ266,0)</f>
        <v>0</v>
      </c>
      <c r="AI266" s="137" t="s">
        <v>864</v>
      </c>
      <c r="AJ266" s="141">
        <f>IF(AN266=0,K266,0)</f>
        <v>0</v>
      </c>
      <c r="AK266" s="141">
        <f>IF(AN266=15,K266,0)</f>
        <v>0</v>
      </c>
      <c r="AL266" s="141">
        <f>IF(AN266=21,K266,0)</f>
        <v>0</v>
      </c>
      <c r="AN266" s="143">
        <v>21</v>
      </c>
      <c r="AO266" s="143">
        <f>H266*0</f>
        <v>0</v>
      </c>
      <c r="AP266" s="143">
        <f>H266*(1-0)</f>
        <v>0</v>
      </c>
      <c r="AQ266" s="142" t="s">
        <v>7</v>
      </c>
      <c r="AV266" s="143">
        <f>AW266+AX266</f>
        <v>0</v>
      </c>
      <c r="AW266" s="143">
        <f>G266*AO266</f>
        <v>0</v>
      </c>
      <c r="AX266" s="143">
        <f>G266*AP266</f>
        <v>0</v>
      </c>
      <c r="AY266" s="144" t="s">
        <v>896</v>
      </c>
      <c r="AZ266" s="144" t="s">
        <v>919</v>
      </c>
      <c r="BA266" s="137" t="s">
        <v>960</v>
      </c>
      <c r="BC266" s="143">
        <f>AW266+AX266</f>
        <v>0</v>
      </c>
      <c r="BD266" s="143">
        <f>H266/(100-BE266)*100</f>
        <v>0</v>
      </c>
      <c r="BE266" s="143">
        <v>0</v>
      </c>
      <c r="BF266" s="143">
        <f>266</f>
        <v>266</v>
      </c>
      <c r="BH266" s="141">
        <f>G266*AO266</f>
        <v>0</v>
      </c>
      <c r="BI266" s="141">
        <f>G266*AP266</f>
        <v>0</v>
      </c>
      <c r="BJ266" s="141">
        <f>G266*H266</f>
        <v>0</v>
      </c>
    </row>
    <row r="267" spans="1:12" ht="12.75">
      <c r="A267" s="154"/>
      <c r="B267" s="154"/>
      <c r="C267" s="60" t="s">
        <v>578</v>
      </c>
      <c r="D267" s="61"/>
      <c r="E267" s="61"/>
      <c r="F267" s="154"/>
      <c r="G267" s="12">
        <v>6</v>
      </c>
      <c r="I267" s="154"/>
      <c r="J267" s="154"/>
      <c r="K267" s="154"/>
      <c r="L267" s="154"/>
    </row>
    <row r="268" spans="1:62" ht="12.75">
      <c r="A268" s="3" t="s">
        <v>104</v>
      </c>
      <c r="B268" s="3" t="s">
        <v>298</v>
      </c>
      <c r="C268" s="58" t="s">
        <v>602</v>
      </c>
      <c r="D268" s="59"/>
      <c r="E268" s="59"/>
      <c r="F268" s="3" t="s">
        <v>816</v>
      </c>
      <c r="G268" s="11">
        <v>2</v>
      </c>
      <c r="H268" s="141">
        <v>0</v>
      </c>
      <c r="I268" s="11">
        <f>G268*AO268</f>
        <v>0</v>
      </c>
      <c r="J268" s="11">
        <f>G268*AP268</f>
        <v>0</v>
      </c>
      <c r="K268" s="11">
        <f>G268*H268</f>
        <v>0</v>
      </c>
      <c r="L268" s="17" t="s">
        <v>845</v>
      </c>
      <c r="Z268" s="143">
        <f>IF(AQ268="5",BJ268,0)</f>
        <v>0</v>
      </c>
      <c r="AB268" s="143">
        <f>IF(AQ268="1",BH268,0)</f>
        <v>0</v>
      </c>
      <c r="AC268" s="143">
        <f>IF(AQ268="1",BI268,0)</f>
        <v>0</v>
      </c>
      <c r="AD268" s="143">
        <f>IF(AQ268="7",BH268,0)</f>
        <v>0</v>
      </c>
      <c r="AE268" s="143">
        <f>IF(AQ268="7",BI268,0)</f>
        <v>0</v>
      </c>
      <c r="AF268" s="143">
        <f>IF(AQ268="2",BH268,0)</f>
        <v>0</v>
      </c>
      <c r="AG268" s="143">
        <f>IF(AQ268="2",BI268,0)</f>
        <v>0</v>
      </c>
      <c r="AH268" s="143">
        <f>IF(AQ268="0",BJ268,0)</f>
        <v>0</v>
      </c>
      <c r="AI268" s="137" t="s">
        <v>864</v>
      </c>
      <c r="AJ268" s="141">
        <f>IF(AN268=0,K268,0)</f>
        <v>0</v>
      </c>
      <c r="AK268" s="141">
        <f>IF(AN268=15,K268,0)</f>
        <v>0</v>
      </c>
      <c r="AL268" s="141">
        <f>IF(AN268=21,K268,0)</f>
        <v>0</v>
      </c>
      <c r="AN268" s="143">
        <v>21</v>
      </c>
      <c r="AO268" s="143">
        <f>H268*0</f>
        <v>0</v>
      </c>
      <c r="AP268" s="143">
        <f>H268*(1-0)</f>
        <v>0</v>
      </c>
      <c r="AQ268" s="142" t="s">
        <v>7</v>
      </c>
      <c r="AV268" s="143">
        <f>AW268+AX268</f>
        <v>0</v>
      </c>
      <c r="AW268" s="143">
        <f>G268*AO268</f>
        <v>0</v>
      </c>
      <c r="AX268" s="143">
        <f>G268*AP268</f>
        <v>0</v>
      </c>
      <c r="AY268" s="144" t="s">
        <v>896</v>
      </c>
      <c r="AZ268" s="144" t="s">
        <v>919</v>
      </c>
      <c r="BA268" s="137" t="s">
        <v>960</v>
      </c>
      <c r="BC268" s="143">
        <f>AW268+AX268</f>
        <v>0</v>
      </c>
      <c r="BD268" s="143">
        <f>H268/(100-BE268)*100</f>
        <v>0</v>
      </c>
      <c r="BE268" s="143">
        <v>0</v>
      </c>
      <c r="BF268" s="143">
        <f>268</f>
        <v>268</v>
      </c>
      <c r="BH268" s="141">
        <f>G268*AO268</f>
        <v>0</v>
      </c>
      <c r="BI268" s="141">
        <f>G268*AP268</f>
        <v>0</v>
      </c>
      <c r="BJ268" s="141">
        <f>G268*H268</f>
        <v>0</v>
      </c>
    </row>
    <row r="269" spans="1:12" ht="12.75">
      <c r="A269" s="154"/>
      <c r="B269" s="154"/>
      <c r="C269" s="60" t="s">
        <v>561</v>
      </c>
      <c r="D269" s="61"/>
      <c r="E269" s="61"/>
      <c r="F269" s="154"/>
      <c r="G269" s="12">
        <v>2</v>
      </c>
      <c r="I269" s="154"/>
      <c r="J269" s="154"/>
      <c r="K269" s="154"/>
      <c r="L269" s="154"/>
    </row>
    <row r="270" spans="1:47" ht="12.75">
      <c r="A270" s="2"/>
      <c r="B270" s="9" t="s">
        <v>24</v>
      </c>
      <c r="C270" s="56" t="s">
        <v>603</v>
      </c>
      <c r="D270" s="57"/>
      <c r="E270" s="57"/>
      <c r="F270" s="2" t="s">
        <v>6</v>
      </c>
      <c r="G270" s="2" t="s">
        <v>6</v>
      </c>
      <c r="H270" s="139" t="s">
        <v>6</v>
      </c>
      <c r="I270" s="23">
        <f>SUM(I271:I335)</f>
        <v>0</v>
      </c>
      <c r="J270" s="23">
        <f>SUM(J271:J335)</f>
        <v>0</v>
      </c>
      <c r="K270" s="23">
        <f>SUM(K271:K335)</f>
        <v>0</v>
      </c>
      <c r="L270" s="16"/>
      <c r="AI270" s="137" t="s">
        <v>864</v>
      </c>
      <c r="AS270" s="140">
        <f>SUM(AJ271:AJ335)</f>
        <v>0</v>
      </c>
      <c r="AT270" s="140">
        <f>SUM(AK271:AK335)</f>
        <v>0</v>
      </c>
      <c r="AU270" s="140">
        <f>SUM(AL271:AL335)</f>
        <v>0</v>
      </c>
    </row>
    <row r="271" spans="1:62" ht="12.75">
      <c r="A271" s="3" t="s">
        <v>105</v>
      </c>
      <c r="B271" s="3" t="s">
        <v>299</v>
      </c>
      <c r="C271" s="58" t="s">
        <v>604</v>
      </c>
      <c r="D271" s="59"/>
      <c r="E271" s="59"/>
      <c r="F271" s="3" t="s">
        <v>825</v>
      </c>
      <c r="G271" s="11">
        <v>16</v>
      </c>
      <c r="H271" s="141">
        <v>0</v>
      </c>
      <c r="I271" s="11">
        <f>G271*AO271</f>
        <v>0</v>
      </c>
      <c r="J271" s="11">
        <f>G271*AP271</f>
        <v>0</v>
      </c>
      <c r="K271" s="11">
        <f>G271*H271</f>
        <v>0</v>
      </c>
      <c r="L271" s="17" t="s">
        <v>845</v>
      </c>
      <c r="Z271" s="143">
        <f>IF(AQ271="5",BJ271,0)</f>
        <v>0</v>
      </c>
      <c r="AB271" s="143">
        <f>IF(AQ271="1",BH271,0)</f>
        <v>0</v>
      </c>
      <c r="AC271" s="143">
        <f>IF(AQ271="1",BI271,0)</f>
        <v>0</v>
      </c>
      <c r="AD271" s="143">
        <f>IF(AQ271="7",BH271,0)</f>
        <v>0</v>
      </c>
      <c r="AE271" s="143">
        <f>IF(AQ271="7",BI271,0)</f>
        <v>0</v>
      </c>
      <c r="AF271" s="143">
        <f>IF(AQ271="2",BH271,0)</f>
        <v>0</v>
      </c>
      <c r="AG271" s="143">
        <f>IF(AQ271="2",BI271,0)</f>
        <v>0</v>
      </c>
      <c r="AH271" s="143">
        <f>IF(AQ271="0",BJ271,0)</f>
        <v>0</v>
      </c>
      <c r="AI271" s="137" t="s">
        <v>864</v>
      </c>
      <c r="AJ271" s="141">
        <f>IF(AN271=0,K271,0)</f>
        <v>0</v>
      </c>
      <c r="AK271" s="141">
        <f>IF(AN271=15,K271,0)</f>
        <v>0</v>
      </c>
      <c r="AL271" s="141">
        <f>IF(AN271=21,K271,0)</f>
        <v>0</v>
      </c>
      <c r="AN271" s="143">
        <v>21</v>
      </c>
      <c r="AO271" s="143">
        <f>H271*0</f>
        <v>0</v>
      </c>
      <c r="AP271" s="143">
        <f>H271*(1-0)</f>
        <v>0</v>
      </c>
      <c r="AQ271" s="142" t="s">
        <v>7</v>
      </c>
      <c r="AV271" s="143">
        <f>AW271+AX271</f>
        <v>0</v>
      </c>
      <c r="AW271" s="143">
        <f>G271*AO271</f>
        <v>0</v>
      </c>
      <c r="AX271" s="143">
        <f>G271*AP271</f>
        <v>0</v>
      </c>
      <c r="AY271" s="144" t="s">
        <v>897</v>
      </c>
      <c r="AZ271" s="144" t="s">
        <v>919</v>
      </c>
      <c r="BA271" s="137" t="s">
        <v>960</v>
      </c>
      <c r="BC271" s="143">
        <f>AW271+AX271</f>
        <v>0</v>
      </c>
      <c r="BD271" s="143">
        <f>H271/(100-BE271)*100</f>
        <v>0</v>
      </c>
      <c r="BE271" s="143">
        <v>0</v>
      </c>
      <c r="BF271" s="143">
        <f>271</f>
        <v>271</v>
      </c>
      <c r="BH271" s="141">
        <f>G271*AO271</f>
        <v>0</v>
      </c>
      <c r="BI271" s="141">
        <f>G271*AP271</f>
        <v>0</v>
      </c>
      <c r="BJ271" s="141">
        <f>G271*H271</f>
        <v>0</v>
      </c>
    </row>
    <row r="272" spans="1:12" ht="12.75">
      <c r="A272" s="154"/>
      <c r="B272" s="154"/>
      <c r="C272" s="60" t="s">
        <v>605</v>
      </c>
      <c r="D272" s="61"/>
      <c r="E272" s="61"/>
      <c r="F272" s="154"/>
      <c r="G272" s="12">
        <v>16</v>
      </c>
      <c r="I272" s="154"/>
      <c r="J272" s="154"/>
      <c r="K272" s="154"/>
      <c r="L272" s="154"/>
    </row>
    <row r="273" spans="1:62" ht="12.75">
      <c r="A273" s="3" t="s">
        <v>106</v>
      </c>
      <c r="B273" s="3" t="s">
        <v>300</v>
      </c>
      <c r="C273" s="58" t="s">
        <v>606</v>
      </c>
      <c r="D273" s="59"/>
      <c r="E273" s="59"/>
      <c r="F273" s="3" t="s">
        <v>816</v>
      </c>
      <c r="G273" s="11">
        <v>1</v>
      </c>
      <c r="H273" s="141">
        <v>0</v>
      </c>
      <c r="I273" s="11">
        <f>G273*AO273</f>
        <v>0</v>
      </c>
      <c r="J273" s="11">
        <f>G273*AP273</f>
        <v>0</v>
      </c>
      <c r="K273" s="11">
        <f>G273*H273</f>
        <v>0</v>
      </c>
      <c r="L273" s="17" t="s">
        <v>845</v>
      </c>
      <c r="Z273" s="143">
        <f>IF(AQ273="5",BJ273,0)</f>
        <v>0</v>
      </c>
      <c r="AB273" s="143">
        <f>IF(AQ273="1",BH273,0)</f>
        <v>0</v>
      </c>
      <c r="AC273" s="143">
        <f>IF(AQ273="1",BI273,0)</f>
        <v>0</v>
      </c>
      <c r="AD273" s="143">
        <f>IF(AQ273="7",BH273,0)</f>
        <v>0</v>
      </c>
      <c r="AE273" s="143">
        <f>IF(AQ273="7",BI273,0)</f>
        <v>0</v>
      </c>
      <c r="AF273" s="143">
        <f>IF(AQ273="2",BH273,0)</f>
        <v>0</v>
      </c>
      <c r="AG273" s="143">
        <f>IF(AQ273="2",BI273,0)</f>
        <v>0</v>
      </c>
      <c r="AH273" s="143">
        <f>IF(AQ273="0",BJ273,0)</f>
        <v>0</v>
      </c>
      <c r="AI273" s="137" t="s">
        <v>864</v>
      </c>
      <c r="AJ273" s="141">
        <f>IF(AN273=0,K273,0)</f>
        <v>0</v>
      </c>
      <c r="AK273" s="141">
        <f>IF(AN273=15,K273,0)</f>
        <v>0</v>
      </c>
      <c r="AL273" s="141">
        <f>IF(AN273=21,K273,0)</f>
        <v>0</v>
      </c>
      <c r="AN273" s="143">
        <v>21</v>
      </c>
      <c r="AO273" s="143">
        <f>H273*0</f>
        <v>0</v>
      </c>
      <c r="AP273" s="143">
        <f>H273*(1-0)</f>
        <v>0</v>
      </c>
      <c r="AQ273" s="142" t="s">
        <v>7</v>
      </c>
      <c r="AV273" s="143">
        <f>AW273+AX273</f>
        <v>0</v>
      </c>
      <c r="AW273" s="143">
        <f>G273*AO273</f>
        <v>0</v>
      </c>
      <c r="AX273" s="143">
        <f>G273*AP273</f>
        <v>0</v>
      </c>
      <c r="AY273" s="144" t="s">
        <v>897</v>
      </c>
      <c r="AZ273" s="144" t="s">
        <v>919</v>
      </c>
      <c r="BA273" s="137" t="s">
        <v>960</v>
      </c>
      <c r="BC273" s="143">
        <f>AW273+AX273</f>
        <v>0</v>
      </c>
      <c r="BD273" s="143">
        <f>H273/(100-BE273)*100</f>
        <v>0</v>
      </c>
      <c r="BE273" s="143">
        <v>0</v>
      </c>
      <c r="BF273" s="143">
        <f>273</f>
        <v>273</v>
      </c>
      <c r="BH273" s="141">
        <f>G273*AO273</f>
        <v>0</v>
      </c>
      <c r="BI273" s="141">
        <f>G273*AP273</f>
        <v>0</v>
      </c>
      <c r="BJ273" s="141">
        <f>G273*H273</f>
        <v>0</v>
      </c>
    </row>
    <row r="274" spans="1:12" ht="12.75">
      <c r="A274" s="154"/>
      <c r="B274" s="154"/>
      <c r="C274" s="60" t="s">
        <v>495</v>
      </c>
      <c r="D274" s="61"/>
      <c r="E274" s="61"/>
      <c r="F274" s="154"/>
      <c r="G274" s="12">
        <v>1</v>
      </c>
      <c r="I274" s="154"/>
      <c r="J274" s="154"/>
      <c r="K274" s="154"/>
      <c r="L274" s="154"/>
    </row>
    <row r="275" spans="1:62" ht="12.75">
      <c r="A275" s="3" t="s">
        <v>107</v>
      </c>
      <c r="B275" s="3" t="s">
        <v>301</v>
      </c>
      <c r="C275" s="58" t="s">
        <v>607</v>
      </c>
      <c r="D275" s="59"/>
      <c r="E275" s="59"/>
      <c r="F275" s="3" t="s">
        <v>816</v>
      </c>
      <c r="G275" s="11">
        <v>3</v>
      </c>
      <c r="H275" s="141">
        <v>0</v>
      </c>
      <c r="I275" s="11">
        <f>G275*AO275</f>
        <v>0</v>
      </c>
      <c r="J275" s="11">
        <f>G275*AP275</f>
        <v>0</v>
      </c>
      <c r="K275" s="11">
        <f>G275*H275</f>
        <v>0</v>
      </c>
      <c r="L275" s="17" t="s">
        <v>845</v>
      </c>
      <c r="Z275" s="143">
        <f>IF(AQ275="5",BJ275,0)</f>
        <v>0</v>
      </c>
      <c r="AB275" s="143">
        <f>IF(AQ275="1",BH275,0)</f>
        <v>0</v>
      </c>
      <c r="AC275" s="143">
        <f>IF(AQ275="1",BI275,0)</f>
        <v>0</v>
      </c>
      <c r="AD275" s="143">
        <f>IF(AQ275="7",BH275,0)</f>
        <v>0</v>
      </c>
      <c r="AE275" s="143">
        <f>IF(AQ275="7",BI275,0)</f>
        <v>0</v>
      </c>
      <c r="AF275" s="143">
        <f>IF(AQ275="2",BH275,0)</f>
        <v>0</v>
      </c>
      <c r="AG275" s="143">
        <f>IF(AQ275="2",BI275,0)</f>
        <v>0</v>
      </c>
      <c r="AH275" s="143">
        <f>IF(AQ275="0",BJ275,0)</f>
        <v>0</v>
      </c>
      <c r="AI275" s="137" t="s">
        <v>864</v>
      </c>
      <c r="AJ275" s="141">
        <f>IF(AN275=0,K275,0)</f>
        <v>0</v>
      </c>
      <c r="AK275" s="141">
        <f>IF(AN275=15,K275,0)</f>
        <v>0</v>
      </c>
      <c r="AL275" s="141">
        <f>IF(AN275=21,K275,0)</f>
        <v>0</v>
      </c>
      <c r="AN275" s="143">
        <v>21</v>
      </c>
      <c r="AO275" s="143">
        <f>H275*0</f>
        <v>0</v>
      </c>
      <c r="AP275" s="143">
        <f>H275*(1-0)</f>
        <v>0</v>
      </c>
      <c r="AQ275" s="142" t="s">
        <v>7</v>
      </c>
      <c r="AV275" s="143">
        <f>AW275+AX275</f>
        <v>0</v>
      </c>
      <c r="AW275" s="143">
        <f>G275*AO275</f>
        <v>0</v>
      </c>
      <c r="AX275" s="143">
        <f>G275*AP275</f>
        <v>0</v>
      </c>
      <c r="AY275" s="144" t="s">
        <v>897</v>
      </c>
      <c r="AZ275" s="144" t="s">
        <v>919</v>
      </c>
      <c r="BA275" s="137" t="s">
        <v>960</v>
      </c>
      <c r="BC275" s="143">
        <f>AW275+AX275</f>
        <v>0</v>
      </c>
      <c r="BD275" s="143">
        <f>H275/(100-BE275)*100</f>
        <v>0</v>
      </c>
      <c r="BE275" s="143">
        <v>0</v>
      </c>
      <c r="BF275" s="143">
        <f>275</f>
        <v>275</v>
      </c>
      <c r="BH275" s="141">
        <f>G275*AO275</f>
        <v>0</v>
      </c>
      <c r="BI275" s="141">
        <f>G275*AP275</f>
        <v>0</v>
      </c>
      <c r="BJ275" s="141">
        <f>G275*H275</f>
        <v>0</v>
      </c>
    </row>
    <row r="276" spans="1:12" ht="12.75">
      <c r="A276" s="154"/>
      <c r="B276" s="154"/>
      <c r="C276" s="60" t="s">
        <v>598</v>
      </c>
      <c r="D276" s="61"/>
      <c r="E276" s="61"/>
      <c r="F276" s="154"/>
      <c r="G276" s="12">
        <v>3</v>
      </c>
      <c r="I276" s="154"/>
      <c r="J276" s="154"/>
      <c r="K276" s="154"/>
      <c r="L276" s="154"/>
    </row>
    <row r="277" spans="1:62" ht="12.75">
      <c r="A277" s="3" t="s">
        <v>108</v>
      </c>
      <c r="B277" s="3" t="s">
        <v>302</v>
      </c>
      <c r="C277" s="58" t="s">
        <v>608</v>
      </c>
      <c r="D277" s="59"/>
      <c r="E277" s="59"/>
      <c r="F277" s="3" t="s">
        <v>818</v>
      </c>
      <c r="G277" s="11">
        <v>110</v>
      </c>
      <c r="H277" s="141">
        <v>0</v>
      </c>
      <c r="I277" s="11">
        <f>G277*AO277</f>
        <v>0</v>
      </c>
      <c r="J277" s="11">
        <f>G277*AP277</f>
        <v>0</v>
      </c>
      <c r="K277" s="11">
        <f>G277*H277</f>
        <v>0</v>
      </c>
      <c r="L277" s="17" t="s">
        <v>845</v>
      </c>
      <c r="Z277" s="143">
        <f>IF(AQ277="5",BJ277,0)</f>
        <v>0</v>
      </c>
      <c r="AB277" s="143">
        <f>IF(AQ277="1",BH277,0)</f>
        <v>0</v>
      </c>
      <c r="AC277" s="143">
        <f>IF(AQ277="1",BI277,0)</f>
        <v>0</v>
      </c>
      <c r="AD277" s="143">
        <f>IF(AQ277="7",BH277,0)</f>
        <v>0</v>
      </c>
      <c r="AE277" s="143">
        <f>IF(AQ277="7",BI277,0)</f>
        <v>0</v>
      </c>
      <c r="AF277" s="143">
        <f>IF(AQ277="2",BH277,0)</f>
        <v>0</v>
      </c>
      <c r="AG277" s="143">
        <f>IF(AQ277="2",BI277,0)</f>
        <v>0</v>
      </c>
      <c r="AH277" s="143">
        <f>IF(AQ277="0",BJ277,0)</f>
        <v>0</v>
      </c>
      <c r="AI277" s="137" t="s">
        <v>864</v>
      </c>
      <c r="AJ277" s="141">
        <f>IF(AN277=0,K277,0)</f>
        <v>0</v>
      </c>
      <c r="AK277" s="141">
        <f>IF(AN277=15,K277,0)</f>
        <v>0</v>
      </c>
      <c r="AL277" s="141">
        <f>IF(AN277=21,K277,0)</f>
        <v>0</v>
      </c>
      <c r="AN277" s="143">
        <v>21</v>
      </c>
      <c r="AO277" s="143">
        <f>H277*0</f>
        <v>0</v>
      </c>
      <c r="AP277" s="143">
        <f>H277*(1-0)</f>
        <v>0</v>
      </c>
      <c r="AQ277" s="142" t="s">
        <v>7</v>
      </c>
      <c r="AV277" s="143">
        <f>AW277+AX277</f>
        <v>0</v>
      </c>
      <c r="AW277" s="143">
        <f>G277*AO277</f>
        <v>0</v>
      </c>
      <c r="AX277" s="143">
        <f>G277*AP277</f>
        <v>0</v>
      </c>
      <c r="AY277" s="144" t="s">
        <v>897</v>
      </c>
      <c r="AZ277" s="144" t="s">
        <v>919</v>
      </c>
      <c r="BA277" s="137" t="s">
        <v>960</v>
      </c>
      <c r="BC277" s="143">
        <f>AW277+AX277</f>
        <v>0</v>
      </c>
      <c r="BD277" s="143">
        <f>H277/(100-BE277)*100</f>
        <v>0</v>
      </c>
      <c r="BE277" s="143">
        <v>0</v>
      </c>
      <c r="BF277" s="143">
        <f>277</f>
        <v>277</v>
      </c>
      <c r="BH277" s="141">
        <f>G277*AO277</f>
        <v>0</v>
      </c>
      <c r="BI277" s="141">
        <f>G277*AP277</f>
        <v>0</v>
      </c>
      <c r="BJ277" s="141">
        <f>G277*H277</f>
        <v>0</v>
      </c>
    </row>
    <row r="278" spans="1:12" ht="12.75">
      <c r="A278" s="154"/>
      <c r="B278" s="154"/>
      <c r="C278" s="60" t="s">
        <v>609</v>
      </c>
      <c r="D278" s="61"/>
      <c r="E278" s="61"/>
      <c r="F278" s="154"/>
      <c r="G278" s="12">
        <v>110</v>
      </c>
      <c r="I278" s="154"/>
      <c r="J278" s="154"/>
      <c r="K278" s="154"/>
      <c r="L278" s="154"/>
    </row>
    <row r="279" spans="1:62" ht="12.75">
      <c r="A279" s="3" t="s">
        <v>109</v>
      </c>
      <c r="B279" s="3" t="s">
        <v>303</v>
      </c>
      <c r="C279" s="58" t="s">
        <v>610</v>
      </c>
      <c r="D279" s="59"/>
      <c r="E279" s="59"/>
      <c r="F279" s="3" t="s">
        <v>817</v>
      </c>
      <c r="G279" s="11">
        <v>15</v>
      </c>
      <c r="H279" s="141">
        <v>0</v>
      </c>
      <c r="I279" s="11">
        <f>G279*AO279</f>
        <v>0</v>
      </c>
      <c r="J279" s="11">
        <f>G279*AP279</f>
        <v>0</v>
      </c>
      <c r="K279" s="11">
        <f>G279*H279</f>
        <v>0</v>
      </c>
      <c r="L279" s="17" t="s">
        <v>845</v>
      </c>
      <c r="Z279" s="143">
        <f>IF(AQ279="5",BJ279,0)</f>
        <v>0</v>
      </c>
      <c r="AB279" s="143">
        <f>IF(AQ279="1",BH279,0)</f>
        <v>0</v>
      </c>
      <c r="AC279" s="143">
        <f>IF(AQ279="1",BI279,0)</f>
        <v>0</v>
      </c>
      <c r="AD279" s="143">
        <f>IF(AQ279="7",BH279,0)</f>
        <v>0</v>
      </c>
      <c r="AE279" s="143">
        <f>IF(AQ279="7",BI279,0)</f>
        <v>0</v>
      </c>
      <c r="AF279" s="143">
        <f>IF(AQ279="2",BH279,0)</f>
        <v>0</v>
      </c>
      <c r="AG279" s="143">
        <f>IF(AQ279="2",BI279,0)</f>
        <v>0</v>
      </c>
      <c r="AH279" s="143">
        <f>IF(AQ279="0",BJ279,0)</f>
        <v>0</v>
      </c>
      <c r="AI279" s="137" t="s">
        <v>864</v>
      </c>
      <c r="AJ279" s="141">
        <f>IF(AN279=0,K279,0)</f>
        <v>0</v>
      </c>
      <c r="AK279" s="141">
        <f>IF(AN279=15,K279,0)</f>
        <v>0</v>
      </c>
      <c r="AL279" s="141">
        <f>IF(AN279=21,K279,0)</f>
        <v>0</v>
      </c>
      <c r="AN279" s="143">
        <v>21</v>
      </c>
      <c r="AO279" s="143">
        <f>H279*0</f>
        <v>0</v>
      </c>
      <c r="AP279" s="143">
        <f>H279*(1-0)</f>
        <v>0</v>
      </c>
      <c r="AQ279" s="142" t="s">
        <v>7</v>
      </c>
      <c r="AV279" s="143">
        <f>AW279+AX279</f>
        <v>0</v>
      </c>
      <c r="AW279" s="143">
        <f>G279*AO279</f>
        <v>0</v>
      </c>
      <c r="AX279" s="143">
        <f>G279*AP279</f>
        <v>0</v>
      </c>
      <c r="AY279" s="144" t="s">
        <v>897</v>
      </c>
      <c r="AZ279" s="144" t="s">
        <v>919</v>
      </c>
      <c r="BA279" s="137" t="s">
        <v>960</v>
      </c>
      <c r="BC279" s="143">
        <f>AW279+AX279</f>
        <v>0</v>
      </c>
      <c r="BD279" s="143">
        <f>H279/(100-BE279)*100</f>
        <v>0</v>
      </c>
      <c r="BE279" s="143">
        <v>0</v>
      </c>
      <c r="BF279" s="143">
        <f>279</f>
        <v>279</v>
      </c>
      <c r="BH279" s="141">
        <f>G279*AO279</f>
        <v>0</v>
      </c>
      <c r="BI279" s="141">
        <f>G279*AP279</f>
        <v>0</v>
      </c>
      <c r="BJ279" s="141">
        <f>G279*H279</f>
        <v>0</v>
      </c>
    </row>
    <row r="280" spans="1:12" ht="12.75">
      <c r="A280" s="154"/>
      <c r="B280" s="154"/>
      <c r="C280" s="60" t="s">
        <v>611</v>
      </c>
      <c r="D280" s="61"/>
      <c r="E280" s="61"/>
      <c r="F280" s="154"/>
      <c r="G280" s="12">
        <v>15</v>
      </c>
      <c r="I280" s="154"/>
      <c r="J280" s="154"/>
      <c r="K280" s="154"/>
      <c r="L280" s="154"/>
    </row>
    <row r="281" spans="1:62" ht="12.75">
      <c r="A281" s="3" t="s">
        <v>110</v>
      </c>
      <c r="B281" s="3" t="s">
        <v>303</v>
      </c>
      <c r="C281" s="58" t="s">
        <v>612</v>
      </c>
      <c r="D281" s="59"/>
      <c r="E281" s="59"/>
      <c r="F281" s="3" t="s">
        <v>821</v>
      </c>
      <c r="G281" s="11">
        <v>3.4</v>
      </c>
      <c r="H281" s="141">
        <v>0</v>
      </c>
      <c r="I281" s="11">
        <f>G281*AO281</f>
        <v>0</v>
      </c>
      <c r="J281" s="11">
        <f>G281*AP281</f>
        <v>0</v>
      </c>
      <c r="K281" s="11">
        <f>G281*H281</f>
        <v>0</v>
      </c>
      <c r="L281" s="17" t="s">
        <v>845</v>
      </c>
      <c r="Z281" s="143">
        <f>IF(AQ281="5",BJ281,0)</f>
        <v>0</v>
      </c>
      <c r="AB281" s="143">
        <f>IF(AQ281="1",BH281,0)</f>
        <v>0</v>
      </c>
      <c r="AC281" s="143">
        <f>IF(AQ281="1",BI281,0)</f>
        <v>0</v>
      </c>
      <c r="AD281" s="143">
        <f>IF(AQ281="7",BH281,0)</f>
        <v>0</v>
      </c>
      <c r="AE281" s="143">
        <f>IF(AQ281="7",BI281,0)</f>
        <v>0</v>
      </c>
      <c r="AF281" s="143">
        <f>IF(AQ281="2",BH281,0)</f>
        <v>0</v>
      </c>
      <c r="AG281" s="143">
        <f>IF(AQ281="2",BI281,0)</f>
        <v>0</v>
      </c>
      <c r="AH281" s="143">
        <f>IF(AQ281="0",BJ281,0)</f>
        <v>0</v>
      </c>
      <c r="AI281" s="137" t="s">
        <v>864</v>
      </c>
      <c r="AJ281" s="141">
        <f>IF(AN281=0,K281,0)</f>
        <v>0</v>
      </c>
      <c r="AK281" s="141">
        <f>IF(AN281=15,K281,0)</f>
        <v>0</v>
      </c>
      <c r="AL281" s="141">
        <f>IF(AN281=21,K281,0)</f>
        <v>0</v>
      </c>
      <c r="AN281" s="143">
        <v>21</v>
      </c>
      <c r="AO281" s="143">
        <f>H281*0</f>
        <v>0</v>
      </c>
      <c r="AP281" s="143">
        <f>H281*(1-0)</f>
        <v>0</v>
      </c>
      <c r="AQ281" s="142" t="s">
        <v>7</v>
      </c>
      <c r="AV281" s="143">
        <f>AW281+AX281</f>
        <v>0</v>
      </c>
      <c r="AW281" s="143">
        <f>G281*AO281</f>
        <v>0</v>
      </c>
      <c r="AX281" s="143">
        <f>G281*AP281</f>
        <v>0</v>
      </c>
      <c r="AY281" s="144" t="s">
        <v>897</v>
      </c>
      <c r="AZ281" s="144" t="s">
        <v>919</v>
      </c>
      <c r="BA281" s="137" t="s">
        <v>960</v>
      </c>
      <c r="BC281" s="143">
        <f>AW281+AX281</f>
        <v>0</v>
      </c>
      <c r="BD281" s="143">
        <f>H281/(100-BE281)*100</f>
        <v>0</v>
      </c>
      <c r="BE281" s="143">
        <v>0</v>
      </c>
      <c r="BF281" s="143">
        <f>281</f>
        <v>281</v>
      </c>
      <c r="BH281" s="141">
        <f>G281*AO281</f>
        <v>0</v>
      </c>
      <c r="BI281" s="141">
        <f>G281*AP281</f>
        <v>0</v>
      </c>
      <c r="BJ281" s="141">
        <f>G281*H281</f>
        <v>0</v>
      </c>
    </row>
    <row r="282" spans="1:12" ht="12.75">
      <c r="A282" s="154"/>
      <c r="B282" s="154"/>
      <c r="C282" s="60" t="s">
        <v>613</v>
      </c>
      <c r="D282" s="61"/>
      <c r="E282" s="61"/>
      <c r="F282" s="154"/>
      <c r="G282" s="12">
        <v>3.4</v>
      </c>
      <c r="I282" s="154"/>
      <c r="J282" s="154"/>
      <c r="K282" s="154"/>
      <c r="L282" s="154"/>
    </row>
    <row r="283" spans="1:62" ht="12.75">
      <c r="A283" s="3" t="s">
        <v>111</v>
      </c>
      <c r="B283" s="3" t="s">
        <v>304</v>
      </c>
      <c r="C283" s="58" t="s">
        <v>614</v>
      </c>
      <c r="D283" s="59"/>
      <c r="E283" s="59"/>
      <c r="F283" s="3" t="s">
        <v>818</v>
      </c>
      <c r="G283" s="11">
        <v>125</v>
      </c>
      <c r="H283" s="141">
        <v>0</v>
      </c>
      <c r="I283" s="11">
        <f>G283*AO283</f>
        <v>0</v>
      </c>
      <c r="J283" s="11">
        <f>G283*AP283</f>
        <v>0</v>
      </c>
      <c r="K283" s="11">
        <f>G283*H283</f>
        <v>0</v>
      </c>
      <c r="L283" s="17" t="s">
        <v>845</v>
      </c>
      <c r="Z283" s="143">
        <f>IF(AQ283="5",BJ283,0)</f>
        <v>0</v>
      </c>
      <c r="AB283" s="143">
        <f>IF(AQ283="1",BH283,0)</f>
        <v>0</v>
      </c>
      <c r="AC283" s="143">
        <f>IF(AQ283="1",BI283,0)</f>
        <v>0</v>
      </c>
      <c r="AD283" s="143">
        <f>IF(AQ283="7",BH283,0)</f>
        <v>0</v>
      </c>
      <c r="AE283" s="143">
        <f>IF(AQ283="7",BI283,0)</f>
        <v>0</v>
      </c>
      <c r="AF283" s="143">
        <f>IF(AQ283="2",BH283,0)</f>
        <v>0</v>
      </c>
      <c r="AG283" s="143">
        <f>IF(AQ283="2",BI283,0)</f>
        <v>0</v>
      </c>
      <c r="AH283" s="143">
        <f>IF(AQ283="0",BJ283,0)</f>
        <v>0</v>
      </c>
      <c r="AI283" s="137" t="s">
        <v>864</v>
      </c>
      <c r="AJ283" s="141">
        <f>IF(AN283=0,K283,0)</f>
        <v>0</v>
      </c>
      <c r="AK283" s="141">
        <f>IF(AN283=15,K283,0)</f>
        <v>0</v>
      </c>
      <c r="AL283" s="141">
        <f>IF(AN283=21,K283,0)</f>
        <v>0</v>
      </c>
      <c r="AN283" s="143">
        <v>21</v>
      </c>
      <c r="AO283" s="143">
        <f>H283*0</f>
        <v>0</v>
      </c>
      <c r="AP283" s="143">
        <f>H283*(1-0)</f>
        <v>0</v>
      </c>
      <c r="AQ283" s="142" t="s">
        <v>7</v>
      </c>
      <c r="AV283" s="143">
        <f>AW283+AX283</f>
        <v>0</v>
      </c>
      <c r="AW283" s="143">
        <f>G283*AO283</f>
        <v>0</v>
      </c>
      <c r="AX283" s="143">
        <f>G283*AP283</f>
        <v>0</v>
      </c>
      <c r="AY283" s="144" t="s">
        <v>897</v>
      </c>
      <c r="AZ283" s="144" t="s">
        <v>919</v>
      </c>
      <c r="BA283" s="137" t="s">
        <v>960</v>
      </c>
      <c r="BC283" s="143">
        <f>AW283+AX283</f>
        <v>0</v>
      </c>
      <c r="BD283" s="143">
        <f>H283/(100-BE283)*100</f>
        <v>0</v>
      </c>
      <c r="BE283" s="143">
        <v>0</v>
      </c>
      <c r="BF283" s="143">
        <f>283</f>
        <v>283</v>
      </c>
      <c r="BH283" s="141">
        <f>G283*AO283</f>
        <v>0</v>
      </c>
      <c r="BI283" s="141">
        <f>G283*AP283</f>
        <v>0</v>
      </c>
      <c r="BJ283" s="141">
        <f>G283*H283</f>
        <v>0</v>
      </c>
    </row>
    <row r="284" spans="1:12" ht="12.75">
      <c r="A284" s="154"/>
      <c r="B284" s="154"/>
      <c r="C284" s="60" t="s">
        <v>615</v>
      </c>
      <c r="D284" s="61"/>
      <c r="E284" s="61"/>
      <c r="F284" s="154"/>
      <c r="G284" s="12">
        <v>125</v>
      </c>
      <c r="I284" s="154"/>
      <c r="J284" s="154"/>
      <c r="K284" s="154"/>
      <c r="L284" s="154"/>
    </row>
    <row r="285" spans="1:62" ht="12.75">
      <c r="A285" s="3" t="s">
        <v>112</v>
      </c>
      <c r="B285" s="3" t="s">
        <v>305</v>
      </c>
      <c r="C285" s="58" t="s">
        <v>616</v>
      </c>
      <c r="D285" s="59"/>
      <c r="E285" s="59"/>
      <c r="F285" s="3" t="s">
        <v>818</v>
      </c>
      <c r="G285" s="11">
        <v>125</v>
      </c>
      <c r="H285" s="141">
        <v>0</v>
      </c>
      <c r="I285" s="11">
        <f>G285*AO285</f>
        <v>0</v>
      </c>
      <c r="J285" s="11">
        <f>G285*AP285</f>
        <v>0</v>
      </c>
      <c r="K285" s="11">
        <f>G285*H285</f>
        <v>0</v>
      </c>
      <c r="L285" s="17" t="s">
        <v>845</v>
      </c>
      <c r="Z285" s="143">
        <f>IF(AQ285="5",BJ285,0)</f>
        <v>0</v>
      </c>
      <c r="AB285" s="143">
        <f>IF(AQ285="1",BH285,0)</f>
        <v>0</v>
      </c>
      <c r="AC285" s="143">
        <f>IF(AQ285="1",BI285,0)</f>
        <v>0</v>
      </c>
      <c r="AD285" s="143">
        <f>IF(AQ285="7",BH285,0)</f>
        <v>0</v>
      </c>
      <c r="AE285" s="143">
        <f>IF(AQ285="7",BI285,0)</f>
        <v>0</v>
      </c>
      <c r="AF285" s="143">
        <f>IF(AQ285="2",BH285,0)</f>
        <v>0</v>
      </c>
      <c r="AG285" s="143">
        <f>IF(AQ285="2",BI285,0)</f>
        <v>0</v>
      </c>
      <c r="AH285" s="143">
        <f>IF(AQ285="0",BJ285,0)</f>
        <v>0</v>
      </c>
      <c r="AI285" s="137" t="s">
        <v>864</v>
      </c>
      <c r="AJ285" s="141">
        <f>IF(AN285=0,K285,0)</f>
        <v>0</v>
      </c>
      <c r="AK285" s="141">
        <f>IF(AN285=15,K285,0)</f>
        <v>0</v>
      </c>
      <c r="AL285" s="141">
        <f>IF(AN285=21,K285,0)</f>
        <v>0</v>
      </c>
      <c r="AN285" s="143">
        <v>21</v>
      </c>
      <c r="AO285" s="143">
        <f>H285*0</f>
        <v>0</v>
      </c>
      <c r="AP285" s="143">
        <f>H285*(1-0)</f>
        <v>0</v>
      </c>
      <c r="AQ285" s="142" t="s">
        <v>7</v>
      </c>
      <c r="AV285" s="143">
        <f>AW285+AX285</f>
        <v>0</v>
      </c>
      <c r="AW285" s="143">
        <f>G285*AO285</f>
        <v>0</v>
      </c>
      <c r="AX285" s="143">
        <f>G285*AP285</f>
        <v>0</v>
      </c>
      <c r="AY285" s="144" t="s">
        <v>897</v>
      </c>
      <c r="AZ285" s="144" t="s">
        <v>919</v>
      </c>
      <c r="BA285" s="137" t="s">
        <v>960</v>
      </c>
      <c r="BC285" s="143">
        <f>AW285+AX285</f>
        <v>0</v>
      </c>
      <c r="BD285" s="143">
        <f>H285/(100-BE285)*100</f>
        <v>0</v>
      </c>
      <c r="BE285" s="143">
        <v>0</v>
      </c>
      <c r="BF285" s="143">
        <f>285</f>
        <v>285</v>
      </c>
      <c r="BH285" s="141">
        <f>G285*AO285</f>
        <v>0</v>
      </c>
      <c r="BI285" s="141">
        <f>G285*AP285</f>
        <v>0</v>
      </c>
      <c r="BJ285" s="141">
        <f>G285*H285</f>
        <v>0</v>
      </c>
    </row>
    <row r="286" spans="1:12" ht="12.75">
      <c r="A286" s="154"/>
      <c r="B286" s="154"/>
      <c r="C286" s="60" t="s">
        <v>617</v>
      </c>
      <c r="D286" s="61"/>
      <c r="E286" s="61"/>
      <c r="F286" s="154"/>
      <c r="G286" s="12">
        <v>125</v>
      </c>
      <c r="I286" s="154"/>
      <c r="J286" s="154"/>
      <c r="K286" s="154"/>
      <c r="L286" s="154"/>
    </row>
    <row r="287" spans="1:62" ht="12.75">
      <c r="A287" s="3" t="s">
        <v>113</v>
      </c>
      <c r="B287" s="3" t="s">
        <v>306</v>
      </c>
      <c r="C287" s="58" t="s">
        <v>618</v>
      </c>
      <c r="D287" s="59"/>
      <c r="E287" s="59"/>
      <c r="F287" s="3" t="s">
        <v>816</v>
      </c>
      <c r="G287" s="11">
        <v>289</v>
      </c>
      <c r="H287" s="141">
        <v>0</v>
      </c>
      <c r="I287" s="11">
        <f>G287*AO287</f>
        <v>0</v>
      </c>
      <c r="J287" s="11">
        <f>G287*AP287</f>
        <v>0</v>
      </c>
      <c r="K287" s="11">
        <f>G287*H287</f>
        <v>0</v>
      </c>
      <c r="L287" s="17" t="s">
        <v>845</v>
      </c>
      <c r="Z287" s="143">
        <f>IF(AQ287="5",BJ287,0)</f>
        <v>0</v>
      </c>
      <c r="AB287" s="143">
        <f>IF(AQ287="1",BH287,0)</f>
        <v>0</v>
      </c>
      <c r="AC287" s="143">
        <f>IF(AQ287="1",BI287,0)</f>
        <v>0</v>
      </c>
      <c r="AD287" s="143">
        <f>IF(AQ287="7",BH287,0)</f>
        <v>0</v>
      </c>
      <c r="AE287" s="143">
        <f>IF(AQ287="7",BI287,0)</f>
        <v>0</v>
      </c>
      <c r="AF287" s="143">
        <f>IF(AQ287="2",BH287,0)</f>
        <v>0</v>
      </c>
      <c r="AG287" s="143">
        <f>IF(AQ287="2",BI287,0)</f>
        <v>0</v>
      </c>
      <c r="AH287" s="143">
        <f>IF(AQ287="0",BJ287,0)</f>
        <v>0</v>
      </c>
      <c r="AI287" s="137" t="s">
        <v>864</v>
      </c>
      <c r="AJ287" s="141">
        <f>IF(AN287=0,K287,0)</f>
        <v>0</v>
      </c>
      <c r="AK287" s="141">
        <f>IF(AN287=15,K287,0)</f>
        <v>0</v>
      </c>
      <c r="AL287" s="141">
        <f>IF(AN287=21,K287,0)</f>
        <v>0</v>
      </c>
      <c r="AN287" s="143">
        <v>21</v>
      </c>
      <c r="AO287" s="143">
        <f>H287*0</f>
        <v>0</v>
      </c>
      <c r="AP287" s="143">
        <f>H287*(1-0)</f>
        <v>0</v>
      </c>
      <c r="AQ287" s="142" t="s">
        <v>7</v>
      </c>
      <c r="AV287" s="143">
        <f>AW287+AX287</f>
        <v>0</v>
      </c>
      <c r="AW287" s="143">
        <f>G287*AO287</f>
        <v>0</v>
      </c>
      <c r="AX287" s="143">
        <f>G287*AP287</f>
        <v>0</v>
      </c>
      <c r="AY287" s="144" t="s">
        <v>897</v>
      </c>
      <c r="AZ287" s="144" t="s">
        <v>919</v>
      </c>
      <c r="BA287" s="137" t="s">
        <v>960</v>
      </c>
      <c r="BC287" s="143">
        <f>AW287+AX287</f>
        <v>0</v>
      </c>
      <c r="BD287" s="143">
        <f>H287/(100-BE287)*100</f>
        <v>0</v>
      </c>
      <c r="BE287" s="143">
        <v>0</v>
      </c>
      <c r="BF287" s="143">
        <f>287</f>
        <v>287</v>
      </c>
      <c r="BH287" s="141">
        <f>G287*AO287</f>
        <v>0</v>
      </c>
      <c r="BI287" s="141">
        <f>G287*AP287</f>
        <v>0</v>
      </c>
      <c r="BJ287" s="141">
        <f>G287*H287</f>
        <v>0</v>
      </c>
    </row>
    <row r="288" spans="1:12" ht="12.75">
      <c r="A288" s="154"/>
      <c r="B288" s="154"/>
      <c r="C288" s="60" t="s">
        <v>619</v>
      </c>
      <c r="D288" s="61"/>
      <c r="E288" s="61"/>
      <c r="F288" s="154"/>
      <c r="G288" s="12">
        <v>289</v>
      </c>
      <c r="I288" s="154"/>
      <c r="J288" s="154"/>
      <c r="K288" s="154"/>
      <c r="L288" s="154"/>
    </row>
    <row r="289" spans="1:62" ht="12.75">
      <c r="A289" s="3" t="s">
        <v>114</v>
      </c>
      <c r="B289" s="3" t="s">
        <v>307</v>
      </c>
      <c r="C289" s="58" t="s">
        <v>620</v>
      </c>
      <c r="D289" s="59"/>
      <c r="E289" s="59"/>
      <c r="F289" s="3" t="s">
        <v>816</v>
      </c>
      <c r="G289" s="11">
        <v>83</v>
      </c>
      <c r="H289" s="141">
        <v>0</v>
      </c>
      <c r="I289" s="11">
        <f>G289*AO289</f>
        <v>0</v>
      </c>
      <c r="J289" s="11">
        <f>G289*AP289</f>
        <v>0</v>
      </c>
      <c r="K289" s="11">
        <f>G289*H289</f>
        <v>0</v>
      </c>
      <c r="L289" s="17" t="s">
        <v>845</v>
      </c>
      <c r="Z289" s="143">
        <f>IF(AQ289="5",BJ289,0)</f>
        <v>0</v>
      </c>
      <c r="AB289" s="143">
        <f>IF(AQ289="1",BH289,0)</f>
        <v>0</v>
      </c>
      <c r="AC289" s="143">
        <f>IF(AQ289="1",BI289,0)</f>
        <v>0</v>
      </c>
      <c r="AD289" s="143">
        <f>IF(AQ289="7",BH289,0)</f>
        <v>0</v>
      </c>
      <c r="AE289" s="143">
        <f>IF(AQ289="7",BI289,0)</f>
        <v>0</v>
      </c>
      <c r="AF289" s="143">
        <f>IF(AQ289="2",BH289,0)</f>
        <v>0</v>
      </c>
      <c r="AG289" s="143">
        <f>IF(AQ289="2",BI289,0)</f>
        <v>0</v>
      </c>
      <c r="AH289" s="143">
        <f>IF(AQ289="0",BJ289,0)</f>
        <v>0</v>
      </c>
      <c r="AI289" s="137" t="s">
        <v>864</v>
      </c>
      <c r="AJ289" s="141">
        <f>IF(AN289=0,K289,0)</f>
        <v>0</v>
      </c>
      <c r="AK289" s="141">
        <f>IF(AN289=15,K289,0)</f>
        <v>0</v>
      </c>
      <c r="AL289" s="141">
        <f>IF(AN289=21,K289,0)</f>
        <v>0</v>
      </c>
      <c r="AN289" s="143">
        <v>21</v>
      </c>
      <c r="AO289" s="143">
        <f>H289*0</f>
        <v>0</v>
      </c>
      <c r="AP289" s="143">
        <f>H289*(1-0)</f>
        <v>0</v>
      </c>
      <c r="AQ289" s="142" t="s">
        <v>7</v>
      </c>
      <c r="AV289" s="143">
        <f>AW289+AX289</f>
        <v>0</v>
      </c>
      <c r="AW289" s="143">
        <f>G289*AO289</f>
        <v>0</v>
      </c>
      <c r="AX289" s="143">
        <f>G289*AP289</f>
        <v>0</v>
      </c>
      <c r="AY289" s="144" t="s">
        <v>897</v>
      </c>
      <c r="AZ289" s="144" t="s">
        <v>919</v>
      </c>
      <c r="BA289" s="137" t="s">
        <v>960</v>
      </c>
      <c r="BC289" s="143">
        <f>AW289+AX289</f>
        <v>0</v>
      </c>
      <c r="BD289" s="143">
        <f>H289/(100-BE289)*100</f>
        <v>0</v>
      </c>
      <c r="BE289" s="143">
        <v>0</v>
      </c>
      <c r="BF289" s="143">
        <f>289</f>
        <v>289</v>
      </c>
      <c r="BH289" s="141">
        <f>G289*AO289</f>
        <v>0</v>
      </c>
      <c r="BI289" s="141">
        <f>G289*AP289</f>
        <v>0</v>
      </c>
      <c r="BJ289" s="141">
        <f>G289*H289</f>
        <v>0</v>
      </c>
    </row>
    <row r="290" spans="1:12" ht="12.75">
      <c r="A290" s="154"/>
      <c r="B290" s="154"/>
      <c r="C290" s="60" t="s">
        <v>621</v>
      </c>
      <c r="D290" s="61"/>
      <c r="E290" s="61"/>
      <c r="F290" s="154"/>
      <c r="G290" s="12">
        <v>83</v>
      </c>
      <c r="I290" s="154"/>
      <c r="J290" s="154"/>
      <c r="K290" s="154"/>
      <c r="L290" s="154"/>
    </row>
    <row r="291" spans="1:62" ht="12.75">
      <c r="A291" s="3" t="s">
        <v>115</v>
      </c>
      <c r="B291" s="3" t="s">
        <v>308</v>
      </c>
      <c r="C291" s="58" t="s">
        <v>622</v>
      </c>
      <c r="D291" s="59"/>
      <c r="E291" s="59"/>
      <c r="F291" s="3" t="s">
        <v>816</v>
      </c>
      <c r="G291" s="11">
        <v>89</v>
      </c>
      <c r="H291" s="141">
        <v>0</v>
      </c>
      <c r="I291" s="11">
        <f>G291*AO291</f>
        <v>0</v>
      </c>
      <c r="J291" s="11">
        <f>G291*AP291</f>
        <v>0</v>
      </c>
      <c r="K291" s="11">
        <f>G291*H291</f>
        <v>0</v>
      </c>
      <c r="L291" s="17" t="s">
        <v>845</v>
      </c>
      <c r="Z291" s="143">
        <f>IF(AQ291="5",BJ291,0)</f>
        <v>0</v>
      </c>
      <c r="AB291" s="143">
        <f>IF(AQ291="1",BH291,0)</f>
        <v>0</v>
      </c>
      <c r="AC291" s="143">
        <f>IF(AQ291="1",BI291,0)</f>
        <v>0</v>
      </c>
      <c r="AD291" s="143">
        <f>IF(AQ291="7",BH291,0)</f>
        <v>0</v>
      </c>
      <c r="AE291" s="143">
        <f>IF(AQ291="7",BI291,0)</f>
        <v>0</v>
      </c>
      <c r="AF291" s="143">
        <f>IF(AQ291="2",BH291,0)</f>
        <v>0</v>
      </c>
      <c r="AG291" s="143">
        <f>IF(AQ291="2",BI291,0)</f>
        <v>0</v>
      </c>
      <c r="AH291" s="143">
        <f>IF(AQ291="0",BJ291,0)</f>
        <v>0</v>
      </c>
      <c r="AI291" s="137" t="s">
        <v>864</v>
      </c>
      <c r="AJ291" s="141">
        <f>IF(AN291=0,K291,0)</f>
        <v>0</v>
      </c>
      <c r="AK291" s="141">
        <f>IF(AN291=15,K291,0)</f>
        <v>0</v>
      </c>
      <c r="AL291" s="141">
        <f>IF(AN291=21,K291,0)</f>
        <v>0</v>
      </c>
      <c r="AN291" s="143">
        <v>21</v>
      </c>
      <c r="AO291" s="143">
        <f>H291*0.0113790300731509</f>
        <v>0</v>
      </c>
      <c r="AP291" s="143">
        <f>H291*(1-0.0113790300731509)</f>
        <v>0</v>
      </c>
      <c r="AQ291" s="142" t="s">
        <v>7</v>
      </c>
      <c r="AV291" s="143">
        <f>AW291+AX291</f>
        <v>0</v>
      </c>
      <c r="AW291" s="143">
        <f>G291*AO291</f>
        <v>0</v>
      </c>
      <c r="AX291" s="143">
        <f>G291*AP291</f>
        <v>0</v>
      </c>
      <c r="AY291" s="144" t="s">
        <v>897</v>
      </c>
      <c r="AZ291" s="144" t="s">
        <v>919</v>
      </c>
      <c r="BA291" s="137" t="s">
        <v>960</v>
      </c>
      <c r="BC291" s="143">
        <f>AW291+AX291</f>
        <v>0</v>
      </c>
      <c r="BD291" s="143">
        <f>H291/(100-BE291)*100</f>
        <v>0</v>
      </c>
      <c r="BE291" s="143">
        <v>0</v>
      </c>
      <c r="BF291" s="143">
        <f>291</f>
        <v>291</v>
      </c>
      <c r="BH291" s="141">
        <f>G291*AO291</f>
        <v>0</v>
      </c>
      <c r="BI291" s="141">
        <f>G291*AP291</f>
        <v>0</v>
      </c>
      <c r="BJ291" s="141">
        <f>G291*H291</f>
        <v>0</v>
      </c>
    </row>
    <row r="292" spans="1:12" ht="12.75">
      <c r="A292" s="154"/>
      <c r="B292" s="154"/>
      <c r="C292" s="60" t="s">
        <v>623</v>
      </c>
      <c r="D292" s="61"/>
      <c r="E292" s="61"/>
      <c r="F292" s="154"/>
      <c r="G292" s="12">
        <v>89</v>
      </c>
      <c r="I292" s="154"/>
      <c r="J292" s="154"/>
      <c r="K292" s="154"/>
      <c r="L292" s="154"/>
    </row>
    <row r="293" spans="1:62" ht="12.75">
      <c r="A293" s="3" t="s">
        <v>116</v>
      </c>
      <c r="B293" s="3" t="s">
        <v>309</v>
      </c>
      <c r="C293" s="58" t="s">
        <v>624</v>
      </c>
      <c r="D293" s="59"/>
      <c r="E293" s="59"/>
      <c r="F293" s="3" t="s">
        <v>816</v>
      </c>
      <c r="G293" s="11">
        <v>175</v>
      </c>
      <c r="H293" s="141">
        <v>0</v>
      </c>
      <c r="I293" s="11">
        <f>G293*AO293</f>
        <v>0</v>
      </c>
      <c r="J293" s="11">
        <f>G293*AP293</f>
        <v>0</v>
      </c>
      <c r="K293" s="11">
        <f>G293*H293</f>
        <v>0</v>
      </c>
      <c r="L293" s="17" t="s">
        <v>845</v>
      </c>
      <c r="Z293" s="143">
        <f>IF(AQ293="5",BJ293,0)</f>
        <v>0</v>
      </c>
      <c r="AB293" s="143">
        <f>IF(AQ293="1",BH293,0)</f>
        <v>0</v>
      </c>
      <c r="AC293" s="143">
        <f>IF(AQ293="1",BI293,0)</f>
        <v>0</v>
      </c>
      <c r="AD293" s="143">
        <f>IF(AQ293="7",BH293,0)</f>
        <v>0</v>
      </c>
      <c r="AE293" s="143">
        <f>IF(AQ293="7",BI293,0)</f>
        <v>0</v>
      </c>
      <c r="AF293" s="143">
        <f>IF(AQ293="2",BH293,0)</f>
        <v>0</v>
      </c>
      <c r="AG293" s="143">
        <f>IF(AQ293="2",BI293,0)</f>
        <v>0</v>
      </c>
      <c r="AH293" s="143">
        <f>IF(AQ293="0",BJ293,0)</f>
        <v>0</v>
      </c>
      <c r="AI293" s="137" t="s">
        <v>864</v>
      </c>
      <c r="AJ293" s="141">
        <f>IF(AN293=0,K293,0)</f>
        <v>0</v>
      </c>
      <c r="AK293" s="141">
        <f>IF(AN293=15,K293,0)</f>
        <v>0</v>
      </c>
      <c r="AL293" s="141">
        <f>IF(AN293=21,K293,0)</f>
        <v>0</v>
      </c>
      <c r="AN293" s="143">
        <v>21</v>
      </c>
      <c r="AO293" s="143">
        <f>H293*0</f>
        <v>0</v>
      </c>
      <c r="AP293" s="143">
        <f>H293*(1-0)</f>
        <v>0</v>
      </c>
      <c r="AQ293" s="142" t="s">
        <v>7</v>
      </c>
      <c r="AV293" s="143">
        <f>AW293+AX293</f>
        <v>0</v>
      </c>
      <c r="AW293" s="143">
        <f>G293*AO293</f>
        <v>0</v>
      </c>
      <c r="AX293" s="143">
        <f>G293*AP293</f>
        <v>0</v>
      </c>
      <c r="AY293" s="144" t="s">
        <v>897</v>
      </c>
      <c r="AZ293" s="144" t="s">
        <v>919</v>
      </c>
      <c r="BA293" s="137" t="s">
        <v>960</v>
      </c>
      <c r="BC293" s="143">
        <f>AW293+AX293</f>
        <v>0</v>
      </c>
      <c r="BD293" s="143">
        <f>H293/(100-BE293)*100</f>
        <v>0</v>
      </c>
      <c r="BE293" s="143">
        <v>0</v>
      </c>
      <c r="BF293" s="143">
        <f>293</f>
        <v>293</v>
      </c>
      <c r="BH293" s="141">
        <f>G293*AO293</f>
        <v>0</v>
      </c>
      <c r="BI293" s="141">
        <f>G293*AP293</f>
        <v>0</v>
      </c>
      <c r="BJ293" s="141">
        <f>G293*H293</f>
        <v>0</v>
      </c>
    </row>
    <row r="294" spans="1:12" ht="12.75">
      <c r="A294" s="154"/>
      <c r="B294" s="154"/>
      <c r="C294" s="60" t="s">
        <v>625</v>
      </c>
      <c r="D294" s="61"/>
      <c r="E294" s="61"/>
      <c r="F294" s="154"/>
      <c r="G294" s="12">
        <v>175</v>
      </c>
      <c r="I294" s="154"/>
      <c r="J294" s="154"/>
      <c r="K294" s="154"/>
      <c r="L294" s="154"/>
    </row>
    <row r="295" spans="1:62" ht="12.75">
      <c r="A295" s="3" t="s">
        <v>117</v>
      </c>
      <c r="B295" s="3" t="s">
        <v>308</v>
      </c>
      <c r="C295" s="58" t="s">
        <v>622</v>
      </c>
      <c r="D295" s="59"/>
      <c r="E295" s="59"/>
      <c r="F295" s="3" t="s">
        <v>816</v>
      </c>
      <c r="G295" s="11">
        <v>175</v>
      </c>
      <c r="H295" s="141">
        <v>0</v>
      </c>
      <c r="I295" s="11">
        <f>G295*AO295</f>
        <v>0</v>
      </c>
      <c r="J295" s="11">
        <f>G295*AP295</f>
        <v>0</v>
      </c>
      <c r="K295" s="11">
        <f>G295*H295</f>
        <v>0</v>
      </c>
      <c r="L295" s="17" t="s">
        <v>845</v>
      </c>
      <c r="Z295" s="143">
        <f>IF(AQ295="5",BJ295,0)</f>
        <v>0</v>
      </c>
      <c r="AB295" s="143">
        <f>IF(AQ295="1",BH295,0)</f>
        <v>0</v>
      </c>
      <c r="AC295" s="143">
        <f>IF(AQ295="1",BI295,0)</f>
        <v>0</v>
      </c>
      <c r="AD295" s="143">
        <f>IF(AQ295="7",BH295,0)</f>
        <v>0</v>
      </c>
      <c r="AE295" s="143">
        <f>IF(AQ295="7",BI295,0)</f>
        <v>0</v>
      </c>
      <c r="AF295" s="143">
        <f>IF(AQ295="2",BH295,0)</f>
        <v>0</v>
      </c>
      <c r="AG295" s="143">
        <f>IF(AQ295="2",BI295,0)</f>
        <v>0</v>
      </c>
      <c r="AH295" s="143">
        <f>IF(AQ295="0",BJ295,0)</f>
        <v>0</v>
      </c>
      <c r="AI295" s="137" t="s">
        <v>864</v>
      </c>
      <c r="AJ295" s="141">
        <f>IF(AN295=0,K295,0)</f>
        <v>0</v>
      </c>
      <c r="AK295" s="141">
        <f>IF(AN295=15,K295,0)</f>
        <v>0</v>
      </c>
      <c r="AL295" s="141">
        <f>IF(AN295=21,K295,0)</f>
        <v>0</v>
      </c>
      <c r="AN295" s="143">
        <v>21</v>
      </c>
      <c r="AO295" s="143">
        <f>H295*0.011321822813473</f>
        <v>0</v>
      </c>
      <c r="AP295" s="143">
        <f>H295*(1-0.011321822813473)</f>
        <v>0</v>
      </c>
      <c r="AQ295" s="142" t="s">
        <v>7</v>
      </c>
      <c r="AV295" s="143">
        <f>AW295+AX295</f>
        <v>0</v>
      </c>
      <c r="AW295" s="143">
        <f>G295*AO295</f>
        <v>0</v>
      </c>
      <c r="AX295" s="143">
        <f>G295*AP295</f>
        <v>0</v>
      </c>
      <c r="AY295" s="144" t="s">
        <v>897</v>
      </c>
      <c r="AZ295" s="144" t="s">
        <v>919</v>
      </c>
      <c r="BA295" s="137" t="s">
        <v>960</v>
      </c>
      <c r="BC295" s="143">
        <f>AW295+AX295</f>
        <v>0</v>
      </c>
      <c r="BD295" s="143">
        <f>H295/(100-BE295)*100</f>
        <v>0</v>
      </c>
      <c r="BE295" s="143">
        <v>0</v>
      </c>
      <c r="BF295" s="143">
        <f>295</f>
        <v>295</v>
      </c>
      <c r="BH295" s="141">
        <f>G295*AO295</f>
        <v>0</v>
      </c>
      <c r="BI295" s="141">
        <f>G295*AP295</f>
        <v>0</v>
      </c>
      <c r="BJ295" s="141">
        <f>G295*H295</f>
        <v>0</v>
      </c>
    </row>
    <row r="296" spans="1:12" ht="12.75">
      <c r="A296" s="154"/>
      <c r="B296" s="154"/>
      <c r="C296" s="60" t="s">
        <v>625</v>
      </c>
      <c r="D296" s="61"/>
      <c r="E296" s="61"/>
      <c r="F296" s="154"/>
      <c r="G296" s="12">
        <v>175</v>
      </c>
      <c r="I296" s="154"/>
      <c r="J296" s="154"/>
      <c r="K296" s="154"/>
      <c r="L296" s="154"/>
    </row>
    <row r="297" spans="1:62" ht="12.75">
      <c r="A297" s="3" t="s">
        <v>118</v>
      </c>
      <c r="B297" s="3" t="s">
        <v>310</v>
      </c>
      <c r="C297" s="58" t="s">
        <v>626</v>
      </c>
      <c r="D297" s="59"/>
      <c r="E297" s="59"/>
      <c r="F297" s="3" t="s">
        <v>816</v>
      </c>
      <c r="G297" s="11">
        <v>31</v>
      </c>
      <c r="H297" s="141">
        <v>0</v>
      </c>
      <c r="I297" s="11">
        <f>G297*AO297</f>
        <v>0</v>
      </c>
      <c r="J297" s="11">
        <f>G297*AP297</f>
        <v>0</v>
      </c>
      <c r="K297" s="11">
        <f>G297*H297</f>
        <v>0</v>
      </c>
      <c r="L297" s="17" t="s">
        <v>845</v>
      </c>
      <c r="Z297" s="143">
        <f>IF(AQ297="5",BJ297,0)</f>
        <v>0</v>
      </c>
      <c r="AB297" s="143">
        <f>IF(AQ297="1",BH297,0)</f>
        <v>0</v>
      </c>
      <c r="AC297" s="143">
        <f>IF(AQ297="1",BI297,0)</f>
        <v>0</v>
      </c>
      <c r="AD297" s="143">
        <f>IF(AQ297="7",BH297,0)</f>
        <v>0</v>
      </c>
      <c r="AE297" s="143">
        <f>IF(AQ297="7",BI297,0)</f>
        <v>0</v>
      </c>
      <c r="AF297" s="143">
        <f>IF(AQ297="2",BH297,0)</f>
        <v>0</v>
      </c>
      <c r="AG297" s="143">
        <f>IF(AQ297="2",BI297,0)</f>
        <v>0</v>
      </c>
      <c r="AH297" s="143">
        <f>IF(AQ297="0",BJ297,0)</f>
        <v>0</v>
      </c>
      <c r="AI297" s="137" t="s">
        <v>864</v>
      </c>
      <c r="AJ297" s="141">
        <f>IF(AN297=0,K297,0)</f>
        <v>0</v>
      </c>
      <c r="AK297" s="141">
        <f>IF(AN297=15,K297,0)</f>
        <v>0</v>
      </c>
      <c r="AL297" s="141">
        <f>IF(AN297=21,K297,0)</f>
        <v>0</v>
      </c>
      <c r="AN297" s="143">
        <v>21</v>
      </c>
      <c r="AO297" s="143">
        <f>H297*0</f>
        <v>0</v>
      </c>
      <c r="AP297" s="143">
        <f>H297*(1-0)</f>
        <v>0</v>
      </c>
      <c r="AQ297" s="142" t="s">
        <v>7</v>
      </c>
      <c r="AV297" s="143">
        <f>AW297+AX297</f>
        <v>0</v>
      </c>
      <c r="AW297" s="143">
        <f>G297*AO297</f>
        <v>0</v>
      </c>
      <c r="AX297" s="143">
        <f>G297*AP297</f>
        <v>0</v>
      </c>
      <c r="AY297" s="144" t="s">
        <v>897</v>
      </c>
      <c r="AZ297" s="144" t="s">
        <v>919</v>
      </c>
      <c r="BA297" s="137" t="s">
        <v>960</v>
      </c>
      <c r="BC297" s="143">
        <f>AW297+AX297</f>
        <v>0</v>
      </c>
      <c r="BD297" s="143">
        <f>H297/(100-BE297)*100</f>
        <v>0</v>
      </c>
      <c r="BE297" s="143">
        <v>0</v>
      </c>
      <c r="BF297" s="143">
        <f>297</f>
        <v>297</v>
      </c>
      <c r="BH297" s="141">
        <f>G297*AO297</f>
        <v>0</v>
      </c>
      <c r="BI297" s="141">
        <f>G297*AP297</f>
        <v>0</v>
      </c>
      <c r="BJ297" s="141">
        <f>G297*H297</f>
        <v>0</v>
      </c>
    </row>
    <row r="298" spans="1:12" ht="12.75">
      <c r="A298" s="154"/>
      <c r="B298" s="154"/>
      <c r="C298" s="60" t="s">
        <v>627</v>
      </c>
      <c r="D298" s="61"/>
      <c r="E298" s="61"/>
      <c r="F298" s="154"/>
      <c r="G298" s="12">
        <v>31</v>
      </c>
      <c r="I298" s="154"/>
      <c r="J298" s="154"/>
      <c r="K298" s="154"/>
      <c r="L298" s="154"/>
    </row>
    <row r="299" spans="1:62" ht="12.75">
      <c r="A299" s="3" t="s">
        <v>119</v>
      </c>
      <c r="B299" s="3" t="s">
        <v>311</v>
      </c>
      <c r="C299" s="58" t="s">
        <v>628</v>
      </c>
      <c r="D299" s="59"/>
      <c r="E299" s="59"/>
      <c r="F299" s="3" t="s">
        <v>816</v>
      </c>
      <c r="G299" s="11">
        <v>25</v>
      </c>
      <c r="H299" s="141">
        <v>0</v>
      </c>
      <c r="I299" s="11">
        <f>G299*AO299</f>
        <v>0</v>
      </c>
      <c r="J299" s="11">
        <f>G299*AP299</f>
        <v>0</v>
      </c>
      <c r="K299" s="11">
        <f>G299*H299</f>
        <v>0</v>
      </c>
      <c r="L299" s="17" t="s">
        <v>845</v>
      </c>
      <c r="Z299" s="143">
        <f>IF(AQ299="5",BJ299,0)</f>
        <v>0</v>
      </c>
      <c r="AB299" s="143">
        <f>IF(AQ299="1",BH299,0)</f>
        <v>0</v>
      </c>
      <c r="AC299" s="143">
        <f>IF(AQ299="1",BI299,0)</f>
        <v>0</v>
      </c>
      <c r="AD299" s="143">
        <f>IF(AQ299="7",BH299,0)</f>
        <v>0</v>
      </c>
      <c r="AE299" s="143">
        <f>IF(AQ299="7",BI299,0)</f>
        <v>0</v>
      </c>
      <c r="AF299" s="143">
        <f>IF(AQ299="2",BH299,0)</f>
        <v>0</v>
      </c>
      <c r="AG299" s="143">
        <f>IF(AQ299="2",BI299,0)</f>
        <v>0</v>
      </c>
      <c r="AH299" s="143">
        <f>IF(AQ299="0",BJ299,0)</f>
        <v>0</v>
      </c>
      <c r="AI299" s="137" t="s">
        <v>864</v>
      </c>
      <c r="AJ299" s="141">
        <f>IF(AN299=0,K299,0)</f>
        <v>0</v>
      </c>
      <c r="AK299" s="141">
        <f>IF(AN299=15,K299,0)</f>
        <v>0</v>
      </c>
      <c r="AL299" s="141">
        <f>IF(AN299=21,K299,0)</f>
        <v>0</v>
      </c>
      <c r="AN299" s="143">
        <v>21</v>
      </c>
      <c r="AO299" s="143">
        <f>H299*0.00524017467248908</f>
        <v>0</v>
      </c>
      <c r="AP299" s="143">
        <f>H299*(1-0.00524017467248908)</f>
        <v>0</v>
      </c>
      <c r="AQ299" s="142" t="s">
        <v>7</v>
      </c>
      <c r="AV299" s="143">
        <f>AW299+AX299</f>
        <v>0</v>
      </c>
      <c r="AW299" s="143">
        <f>G299*AO299</f>
        <v>0</v>
      </c>
      <c r="AX299" s="143">
        <f>G299*AP299</f>
        <v>0</v>
      </c>
      <c r="AY299" s="144" t="s">
        <v>897</v>
      </c>
      <c r="AZ299" s="144" t="s">
        <v>919</v>
      </c>
      <c r="BA299" s="137" t="s">
        <v>960</v>
      </c>
      <c r="BC299" s="143">
        <f>AW299+AX299</f>
        <v>0</v>
      </c>
      <c r="BD299" s="143">
        <f>H299/(100-BE299)*100</f>
        <v>0</v>
      </c>
      <c r="BE299" s="143">
        <v>0</v>
      </c>
      <c r="BF299" s="143">
        <f>299</f>
        <v>299</v>
      </c>
      <c r="BH299" s="141">
        <f>G299*AO299</f>
        <v>0</v>
      </c>
      <c r="BI299" s="141">
        <f>G299*AP299</f>
        <v>0</v>
      </c>
      <c r="BJ299" s="141">
        <f>G299*H299</f>
        <v>0</v>
      </c>
    </row>
    <row r="300" spans="1:12" ht="12.75">
      <c r="A300" s="154"/>
      <c r="B300" s="154"/>
      <c r="C300" s="60" t="s">
        <v>629</v>
      </c>
      <c r="D300" s="61"/>
      <c r="E300" s="61"/>
      <c r="F300" s="154"/>
      <c r="G300" s="12">
        <v>25</v>
      </c>
      <c r="I300" s="154"/>
      <c r="J300" s="154"/>
      <c r="K300" s="154"/>
      <c r="L300" s="154"/>
    </row>
    <row r="301" spans="1:62" ht="12.75">
      <c r="A301" s="3" t="s">
        <v>120</v>
      </c>
      <c r="B301" s="3" t="s">
        <v>312</v>
      </c>
      <c r="C301" s="58" t="s">
        <v>630</v>
      </c>
      <c r="D301" s="59"/>
      <c r="E301" s="59"/>
      <c r="F301" s="3" t="s">
        <v>816</v>
      </c>
      <c r="G301" s="11">
        <v>25</v>
      </c>
      <c r="H301" s="141">
        <v>0</v>
      </c>
      <c r="I301" s="11">
        <f>G301*AO301</f>
        <v>0</v>
      </c>
      <c r="J301" s="11">
        <f>G301*AP301</f>
        <v>0</v>
      </c>
      <c r="K301" s="11">
        <f>G301*H301</f>
        <v>0</v>
      </c>
      <c r="L301" s="17" t="s">
        <v>845</v>
      </c>
      <c r="Z301" s="143">
        <f>IF(AQ301="5",BJ301,0)</f>
        <v>0</v>
      </c>
      <c r="AB301" s="143">
        <f>IF(AQ301="1",BH301,0)</f>
        <v>0</v>
      </c>
      <c r="AC301" s="143">
        <f>IF(AQ301="1",BI301,0)</f>
        <v>0</v>
      </c>
      <c r="AD301" s="143">
        <f>IF(AQ301="7",BH301,0)</f>
        <v>0</v>
      </c>
      <c r="AE301" s="143">
        <f>IF(AQ301="7",BI301,0)</f>
        <v>0</v>
      </c>
      <c r="AF301" s="143">
        <f>IF(AQ301="2",BH301,0)</f>
        <v>0</v>
      </c>
      <c r="AG301" s="143">
        <f>IF(AQ301="2",BI301,0)</f>
        <v>0</v>
      </c>
      <c r="AH301" s="143">
        <f>IF(AQ301="0",BJ301,0)</f>
        <v>0</v>
      </c>
      <c r="AI301" s="137" t="s">
        <v>864</v>
      </c>
      <c r="AJ301" s="141">
        <f>IF(AN301=0,K301,0)</f>
        <v>0</v>
      </c>
      <c r="AK301" s="141">
        <f>IF(AN301=15,K301,0)</f>
        <v>0</v>
      </c>
      <c r="AL301" s="141">
        <f>IF(AN301=21,K301,0)</f>
        <v>0</v>
      </c>
      <c r="AN301" s="143">
        <v>21</v>
      </c>
      <c r="AO301" s="143">
        <f>H301*0</f>
        <v>0</v>
      </c>
      <c r="AP301" s="143">
        <f>H301*(1-0)</f>
        <v>0</v>
      </c>
      <c r="AQ301" s="142" t="s">
        <v>7</v>
      </c>
      <c r="AV301" s="143">
        <f>AW301+AX301</f>
        <v>0</v>
      </c>
      <c r="AW301" s="143">
        <f>G301*AO301</f>
        <v>0</v>
      </c>
      <c r="AX301" s="143">
        <f>G301*AP301</f>
        <v>0</v>
      </c>
      <c r="AY301" s="144" t="s">
        <v>897</v>
      </c>
      <c r="AZ301" s="144" t="s">
        <v>919</v>
      </c>
      <c r="BA301" s="137" t="s">
        <v>960</v>
      </c>
      <c r="BC301" s="143">
        <f>AW301+AX301</f>
        <v>0</v>
      </c>
      <c r="BD301" s="143">
        <f>H301/(100-BE301)*100</f>
        <v>0</v>
      </c>
      <c r="BE301" s="143">
        <v>0</v>
      </c>
      <c r="BF301" s="143">
        <f>301</f>
        <v>301</v>
      </c>
      <c r="BH301" s="141">
        <f>G301*AO301</f>
        <v>0</v>
      </c>
      <c r="BI301" s="141">
        <f>G301*AP301</f>
        <v>0</v>
      </c>
      <c r="BJ301" s="141">
        <f>G301*H301</f>
        <v>0</v>
      </c>
    </row>
    <row r="302" spans="1:12" ht="12.75">
      <c r="A302" s="154"/>
      <c r="B302" s="154"/>
      <c r="C302" s="60" t="s">
        <v>629</v>
      </c>
      <c r="D302" s="61"/>
      <c r="E302" s="61"/>
      <c r="F302" s="154"/>
      <c r="G302" s="12">
        <v>25</v>
      </c>
      <c r="I302" s="154"/>
      <c r="J302" s="154"/>
      <c r="K302" s="154"/>
      <c r="L302" s="154"/>
    </row>
    <row r="303" spans="1:62" ht="12.75">
      <c r="A303" s="3" t="s">
        <v>121</v>
      </c>
      <c r="B303" s="3" t="s">
        <v>313</v>
      </c>
      <c r="C303" s="58" t="s">
        <v>631</v>
      </c>
      <c r="D303" s="59"/>
      <c r="E303" s="59"/>
      <c r="F303" s="3" t="s">
        <v>816</v>
      </c>
      <c r="G303" s="11">
        <v>7</v>
      </c>
      <c r="H303" s="141">
        <v>0</v>
      </c>
      <c r="I303" s="11">
        <f>G303*AO303</f>
        <v>0</v>
      </c>
      <c r="J303" s="11">
        <f>G303*AP303</f>
        <v>0</v>
      </c>
      <c r="K303" s="11">
        <f>G303*H303</f>
        <v>0</v>
      </c>
      <c r="L303" s="17" t="s">
        <v>845</v>
      </c>
      <c r="Z303" s="143">
        <f>IF(AQ303="5",BJ303,0)</f>
        <v>0</v>
      </c>
      <c r="AB303" s="143">
        <f>IF(AQ303="1",BH303,0)</f>
        <v>0</v>
      </c>
      <c r="AC303" s="143">
        <f>IF(AQ303="1",BI303,0)</f>
        <v>0</v>
      </c>
      <c r="AD303" s="143">
        <f>IF(AQ303="7",BH303,0)</f>
        <v>0</v>
      </c>
      <c r="AE303" s="143">
        <f>IF(AQ303="7",BI303,0)</f>
        <v>0</v>
      </c>
      <c r="AF303" s="143">
        <f>IF(AQ303="2",BH303,0)</f>
        <v>0</v>
      </c>
      <c r="AG303" s="143">
        <f>IF(AQ303="2",BI303,0)</f>
        <v>0</v>
      </c>
      <c r="AH303" s="143">
        <f>IF(AQ303="0",BJ303,0)</f>
        <v>0</v>
      </c>
      <c r="AI303" s="137" t="s">
        <v>864</v>
      </c>
      <c r="AJ303" s="141">
        <f>IF(AN303=0,K303,0)</f>
        <v>0</v>
      </c>
      <c r="AK303" s="141">
        <f>IF(AN303=15,K303,0)</f>
        <v>0</v>
      </c>
      <c r="AL303" s="141">
        <f>IF(AN303=21,K303,0)</f>
        <v>0</v>
      </c>
      <c r="AN303" s="143">
        <v>21</v>
      </c>
      <c r="AO303" s="143">
        <f>H303*0.112840158520476</f>
        <v>0</v>
      </c>
      <c r="AP303" s="143">
        <f>H303*(1-0.112840158520476)</f>
        <v>0</v>
      </c>
      <c r="AQ303" s="142" t="s">
        <v>7</v>
      </c>
      <c r="AV303" s="143">
        <f>AW303+AX303</f>
        <v>0</v>
      </c>
      <c r="AW303" s="143">
        <f>G303*AO303</f>
        <v>0</v>
      </c>
      <c r="AX303" s="143">
        <f>G303*AP303</f>
        <v>0</v>
      </c>
      <c r="AY303" s="144" t="s">
        <v>897</v>
      </c>
      <c r="AZ303" s="144" t="s">
        <v>919</v>
      </c>
      <c r="BA303" s="137" t="s">
        <v>960</v>
      </c>
      <c r="BC303" s="143">
        <f>AW303+AX303</f>
        <v>0</v>
      </c>
      <c r="BD303" s="143">
        <f>H303/(100-BE303)*100</f>
        <v>0</v>
      </c>
      <c r="BE303" s="143">
        <v>0</v>
      </c>
      <c r="BF303" s="143">
        <f>303</f>
        <v>303</v>
      </c>
      <c r="BH303" s="141">
        <f>G303*AO303</f>
        <v>0</v>
      </c>
      <c r="BI303" s="141">
        <f>G303*AP303</f>
        <v>0</v>
      </c>
      <c r="BJ303" s="141">
        <f>G303*H303</f>
        <v>0</v>
      </c>
    </row>
    <row r="304" spans="1:12" ht="12.75">
      <c r="A304" s="154"/>
      <c r="B304" s="154"/>
      <c r="C304" s="60" t="s">
        <v>632</v>
      </c>
      <c r="D304" s="61"/>
      <c r="E304" s="61"/>
      <c r="F304" s="154"/>
      <c r="G304" s="12">
        <v>7</v>
      </c>
      <c r="I304" s="154"/>
      <c r="J304" s="154"/>
      <c r="K304" s="154"/>
      <c r="L304" s="154"/>
    </row>
    <row r="305" spans="1:62" ht="12.75">
      <c r="A305" s="3" t="s">
        <v>122</v>
      </c>
      <c r="B305" s="3" t="s">
        <v>314</v>
      </c>
      <c r="C305" s="58" t="s">
        <v>633</v>
      </c>
      <c r="D305" s="59"/>
      <c r="E305" s="59"/>
      <c r="F305" s="3" t="s">
        <v>816</v>
      </c>
      <c r="G305" s="11">
        <v>18</v>
      </c>
      <c r="H305" s="141">
        <v>0</v>
      </c>
      <c r="I305" s="11">
        <f>G305*AO305</f>
        <v>0</v>
      </c>
      <c r="J305" s="11">
        <f>G305*AP305</f>
        <v>0</v>
      </c>
      <c r="K305" s="11">
        <f>G305*H305</f>
        <v>0</v>
      </c>
      <c r="L305" s="17" t="s">
        <v>845</v>
      </c>
      <c r="Z305" s="143">
        <f>IF(AQ305="5",BJ305,0)</f>
        <v>0</v>
      </c>
      <c r="AB305" s="143">
        <f>IF(AQ305="1",BH305,0)</f>
        <v>0</v>
      </c>
      <c r="AC305" s="143">
        <f>IF(AQ305="1",BI305,0)</f>
        <v>0</v>
      </c>
      <c r="AD305" s="143">
        <f>IF(AQ305="7",BH305,0)</f>
        <v>0</v>
      </c>
      <c r="AE305" s="143">
        <f>IF(AQ305="7",BI305,0)</f>
        <v>0</v>
      </c>
      <c r="AF305" s="143">
        <f>IF(AQ305="2",BH305,0)</f>
        <v>0</v>
      </c>
      <c r="AG305" s="143">
        <f>IF(AQ305="2",BI305,0)</f>
        <v>0</v>
      </c>
      <c r="AH305" s="143">
        <f>IF(AQ305="0",BJ305,0)</f>
        <v>0</v>
      </c>
      <c r="AI305" s="137" t="s">
        <v>864</v>
      </c>
      <c r="AJ305" s="141">
        <f>IF(AN305=0,K305,0)</f>
        <v>0</v>
      </c>
      <c r="AK305" s="141">
        <f>IF(AN305=15,K305,0)</f>
        <v>0</v>
      </c>
      <c r="AL305" s="141">
        <f>IF(AN305=21,K305,0)</f>
        <v>0</v>
      </c>
      <c r="AN305" s="143">
        <v>21</v>
      </c>
      <c r="AO305" s="143">
        <f>H305*0.131067193675889</f>
        <v>0</v>
      </c>
      <c r="AP305" s="143">
        <f>H305*(1-0.131067193675889)</f>
        <v>0</v>
      </c>
      <c r="AQ305" s="142" t="s">
        <v>7</v>
      </c>
      <c r="AV305" s="143">
        <f>AW305+AX305</f>
        <v>0</v>
      </c>
      <c r="AW305" s="143">
        <f>G305*AO305</f>
        <v>0</v>
      </c>
      <c r="AX305" s="143">
        <f>G305*AP305</f>
        <v>0</v>
      </c>
      <c r="AY305" s="144" t="s">
        <v>897</v>
      </c>
      <c r="AZ305" s="144" t="s">
        <v>919</v>
      </c>
      <c r="BA305" s="137" t="s">
        <v>960</v>
      </c>
      <c r="BC305" s="143">
        <f>AW305+AX305</f>
        <v>0</v>
      </c>
      <c r="BD305" s="143">
        <f>H305/(100-BE305)*100</f>
        <v>0</v>
      </c>
      <c r="BE305" s="143">
        <v>0</v>
      </c>
      <c r="BF305" s="143">
        <f>305</f>
        <v>305</v>
      </c>
      <c r="BH305" s="141">
        <f>G305*AO305</f>
        <v>0</v>
      </c>
      <c r="BI305" s="141">
        <f>G305*AP305</f>
        <v>0</v>
      </c>
      <c r="BJ305" s="141">
        <f>G305*H305</f>
        <v>0</v>
      </c>
    </row>
    <row r="306" spans="1:12" ht="12.75">
      <c r="A306" s="154"/>
      <c r="B306" s="154"/>
      <c r="C306" s="60" t="s">
        <v>634</v>
      </c>
      <c r="D306" s="61"/>
      <c r="E306" s="61"/>
      <c r="F306" s="154"/>
      <c r="G306" s="12">
        <v>18</v>
      </c>
      <c r="I306" s="154"/>
      <c r="J306" s="154"/>
      <c r="K306" s="154"/>
      <c r="L306" s="154"/>
    </row>
    <row r="307" spans="1:62" ht="12.75">
      <c r="A307" s="3" t="s">
        <v>123</v>
      </c>
      <c r="B307" s="3" t="s">
        <v>315</v>
      </c>
      <c r="C307" s="58" t="s">
        <v>635</v>
      </c>
      <c r="D307" s="59"/>
      <c r="E307" s="59"/>
      <c r="F307" s="3" t="s">
        <v>817</v>
      </c>
      <c r="G307" s="11">
        <v>0.0125</v>
      </c>
      <c r="H307" s="141">
        <v>0</v>
      </c>
      <c r="I307" s="11">
        <f>G307*AO307</f>
        <v>0</v>
      </c>
      <c r="J307" s="11">
        <f>G307*AP307</f>
        <v>0</v>
      </c>
      <c r="K307" s="11">
        <f>G307*H307</f>
        <v>0</v>
      </c>
      <c r="L307" s="17" t="s">
        <v>845</v>
      </c>
      <c r="Z307" s="143">
        <f>IF(AQ307="5",BJ307,0)</f>
        <v>0</v>
      </c>
      <c r="AB307" s="143">
        <f>IF(AQ307="1",BH307,0)</f>
        <v>0</v>
      </c>
      <c r="AC307" s="143">
        <f>IF(AQ307="1",BI307,0)</f>
        <v>0</v>
      </c>
      <c r="AD307" s="143">
        <f>IF(AQ307="7",BH307,0)</f>
        <v>0</v>
      </c>
      <c r="AE307" s="143">
        <f>IF(AQ307="7",BI307,0)</f>
        <v>0</v>
      </c>
      <c r="AF307" s="143">
        <f>IF(AQ307="2",BH307,0)</f>
        <v>0</v>
      </c>
      <c r="AG307" s="143">
        <f>IF(AQ307="2",BI307,0)</f>
        <v>0</v>
      </c>
      <c r="AH307" s="143">
        <f>IF(AQ307="0",BJ307,0)</f>
        <v>0</v>
      </c>
      <c r="AI307" s="137" t="s">
        <v>864</v>
      </c>
      <c r="AJ307" s="141">
        <f>IF(AN307=0,K307,0)</f>
        <v>0</v>
      </c>
      <c r="AK307" s="141">
        <f>IF(AN307=15,K307,0)</f>
        <v>0</v>
      </c>
      <c r="AL307" s="141">
        <f>IF(AN307=21,K307,0)</f>
        <v>0</v>
      </c>
      <c r="AN307" s="143">
        <v>21</v>
      </c>
      <c r="AO307" s="143">
        <f>H307*0</f>
        <v>0</v>
      </c>
      <c r="AP307" s="143">
        <f>H307*(1-0)</f>
        <v>0</v>
      </c>
      <c r="AQ307" s="142" t="s">
        <v>7</v>
      </c>
      <c r="AV307" s="143">
        <f>AW307+AX307</f>
        <v>0</v>
      </c>
      <c r="AW307" s="143">
        <f>G307*AO307</f>
        <v>0</v>
      </c>
      <c r="AX307" s="143">
        <f>G307*AP307</f>
        <v>0</v>
      </c>
      <c r="AY307" s="144" t="s">
        <v>897</v>
      </c>
      <c r="AZ307" s="144" t="s">
        <v>919</v>
      </c>
      <c r="BA307" s="137" t="s">
        <v>960</v>
      </c>
      <c r="BC307" s="143">
        <f>AW307+AX307</f>
        <v>0</v>
      </c>
      <c r="BD307" s="143">
        <f>H307/(100-BE307)*100</f>
        <v>0</v>
      </c>
      <c r="BE307" s="143">
        <v>0</v>
      </c>
      <c r="BF307" s="143">
        <f>307</f>
        <v>307</v>
      </c>
      <c r="BH307" s="141">
        <f>G307*AO307</f>
        <v>0</v>
      </c>
      <c r="BI307" s="141">
        <f>G307*AP307</f>
        <v>0</v>
      </c>
      <c r="BJ307" s="141">
        <f>G307*H307</f>
        <v>0</v>
      </c>
    </row>
    <row r="308" spans="1:12" ht="12.75">
      <c r="A308" s="154"/>
      <c r="B308" s="154"/>
      <c r="C308" s="60" t="s">
        <v>636</v>
      </c>
      <c r="D308" s="61"/>
      <c r="E308" s="61"/>
      <c r="F308" s="154"/>
      <c r="G308" s="12">
        <v>0.0125</v>
      </c>
      <c r="I308" s="154"/>
      <c r="J308" s="154"/>
      <c r="K308" s="154"/>
      <c r="L308" s="154"/>
    </row>
    <row r="309" spans="1:62" ht="12.75">
      <c r="A309" s="3" t="s">
        <v>124</v>
      </c>
      <c r="B309" s="3" t="s">
        <v>316</v>
      </c>
      <c r="C309" s="58" t="s">
        <v>637</v>
      </c>
      <c r="D309" s="59"/>
      <c r="E309" s="59"/>
      <c r="F309" s="3" t="s">
        <v>825</v>
      </c>
      <c r="G309" s="11">
        <v>7</v>
      </c>
      <c r="H309" s="141">
        <v>0</v>
      </c>
      <c r="I309" s="11">
        <f>G309*AO309</f>
        <v>0</v>
      </c>
      <c r="J309" s="11">
        <f>G309*AP309</f>
        <v>0</v>
      </c>
      <c r="K309" s="11">
        <f>G309*H309</f>
        <v>0</v>
      </c>
      <c r="L309" s="17" t="s">
        <v>845</v>
      </c>
      <c r="Z309" s="143">
        <f>IF(AQ309="5",BJ309,0)</f>
        <v>0</v>
      </c>
      <c r="AB309" s="143">
        <f>IF(AQ309="1",BH309,0)</f>
        <v>0</v>
      </c>
      <c r="AC309" s="143">
        <f>IF(AQ309="1",BI309,0)</f>
        <v>0</v>
      </c>
      <c r="AD309" s="143">
        <f>IF(AQ309="7",BH309,0)</f>
        <v>0</v>
      </c>
      <c r="AE309" s="143">
        <f>IF(AQ309="7",BI309,0)</f>
        <v>0</v>
      </c>
      <c r="AF309" s="143">
        <f>IF(AQ309="2",BH309,0)</f>
        <v>0</v>
      </c>
      <c r="AG309" s="143">
        <f>IF(AQ309="2",BI309,0)</f>
        <v>0</v>
      </c>
      <c r="AH309" s="143">
        <f>IF(AQ309="0",BJ309,0)</f>
        <v>0</v>
      </c>
      <c r="AI309" s="137" t="s">
        <v>864</v>
      </c>
      <c r="AJ309" s="141">
        <f>IF(AN309=0,K309,0)</f>
        <v>0</v>
      </c>
      <c r="AK309" s="141">
        <f>IF(AN309=15,K309,0)</f>
        <v>0</v>
      </c>
      <c r="AL309" s="141">
        <f>IF(AN309=21,K309,0)</f>
        <v>0</v>
      </c>
      <c r="AN309" s="143">
        <v>21</v>
      </c>
      <c r="AO309" s="143">
        <f>H309*0</f>
        <v>0</v>
      </c>
      <c r="AP309" s="143">
        <f>H309*(1-0)</f>
        <v>0</v>
      </c>
      <c r="AQ309" s="142" t="s">
        <v>7</v>
      </c>
      <c r="AV309" s="143">
        <f>AW309+AX309</f>
        <v>0</v>
      </c>
      <c r="AW309" s="143">
        <f>G309*AO309</f>
        <v>0</v>
      </c>
      <c r="AX309" s="143">
        <f>G309*AP309</f>
        <v>0</v>
      </c>
      <c r="AY309" s="144" t="s">
        <v>897</v>
      </c>
      <c r="AZ309" s="144" t="s">
        <v>919</v>
      </c>
      <c r="BA309" s="137" t="s">
        <v>960</v>
      </c>
      <c r="BC309" s="143">
        <f>AW309+AX309</f>
        <v>0</v>
      </c>
      <c r="BD309" s="143">
        <f>H309/(100-BE309)*100</f>
        <v>0</v>
      </c>
      <c r="BE309" s="143">
        <v>0</v>
      </c>
      <c r="BF309" s="143">
        <f>309</f>
        <v>309</v>
      </c>
      <c r="BH309" s="141">
        <f>G309*AO309</f>
        <v>0</v>
      </c>
      <c r="BI309" s="141">
        <f>G309*AP309</f>
        <v>0</v>
      </c>
      <c r="BJ309" s="141">
        <f>G309*H309</f>
        <v>0</v>
      </c>
    </row>
    <row r="310" spans="1:12" ht="12.75">
      <c r="A310" s="154"/>
      <c r="B310" s="154"/>
      <c r="C310" s="60" t="s">
        <v>632</v>
      </c>
      <c r="D310" s="61"/>
      <c r="E310" s="61"/>
      <c r="F310" s="154"/>
      <c r="G310" s="12">
        <v>7</v>
      </c>
      <c r="I310" s="154"/>
      <c r="J310" s="154"/>
      <c r="K310" s="154"/>
      <c r="L310" s="154"/>
    </row>
    <row r="311" spans="1:62" ht="12.75">
      <c r="A311" s="3" t="s">
        <v>125</v>
      </c>
      <c r="B311" s="3" t="s">
        <v>317</v>
      </c>
      <c r="C311" s="58" t="s">
        <v>638</v>
      </c>
      <c r="D311" s="59"/>
      <c r="E311" s="59"/>
      <c r="F311" s="3" t="s">
        <v>821</v>
      </c>
      <c r="G311" s="11">
        <v>2.6</v>
      </c>
      <c r="H311" s="141">
        <v>0</v>
      </c>
      <c r="I311" s="11">
        <f>G311*AO311</f>
        <v>0</v>
      </c>
      <c r="J311" s="11">
        <f>G311*AP311</f>
        <v>0</v>
      </c>
      <c r="K311" s="11">
        <f>G311*H311</f>
        <v>0</v>
      </c>
      <c r="L311" s="17" t="s">
        <v>845</v>
      </c>
      <c r="Z311" s="143">
        <f>IF(AQ311="5",BJ311,0)</f>
        <v>0</v>
      </c>
      <c r="AB311" s="143">
        <f>IF(AQ311="1",BH311,0)</f>
        <v>0</v>
      </c>
      <c r="AC311" s="143">
        <f>IF(AQ311="1",BI311,0)</f>
        <v>0</v>
      </c>
      <c r="AD311" s="143">
        <f>IF(AQ311="7",BH311,0)</f>
        <v>0</v>
      </c>
      <c r="AE311" s="143">
        <f>IF(AQ311="7",BI311,0)</f>
        <v>0</v>
      </c>
      <c r="AF311" s="143">
        <f>IF(AQ311="2",BH311,0)</f>
        <v>0</v>
      </c>
      <c r="AG311" s="143">
        <f>IF(AQ311="2",BI311,0)</f>
        <v>0</v>
      </c>
      <c r="AH311" s="143">
        <f>IF(AQ311="0",BJ311,0)</f>
        <v>0</v>
      </c>
      <c r="AI311" s="137" t="s">
        <v>864</v>
      </c>
      <c r="AJ311" s="141">
        <f>IF(AN311=0,K311,0)</f>
        <v>0</v>
      </c>
      <c r="AK311" s="141">
        <f>IF(AN311=15,K311,0)</f>
        <v>0</v>
      </c>
      <c r="AL311" s="141">
        <f>IF(AN311=21,K311,0)</f>
        <v>0</v>
      </c>
      <c r="AN311" s="143">
        <v>21</v>
      </c>
      <c r="AO311" s="143">
        <f>H311*0</f>
        <v>0</v>
      </c>
      <c r="AP311" s="143">
        <f>H311*(1-0)</f>
        <v>0</v>
      </c>
      <c r="AQ311" s="142" t="s">
        <v>7</v>
      </c>
      <c r="AV311" s="143">
        <f>AW311+AX311</f>
        <v>0</v>
      </c>
      <c r="AW311" s="143">
        <f>G311*AO311</f>
        <v>0</v>
      </c>
      <c r="AX311" s="143">
        <f>G311*AP311</f>
        <v>0</v>
      </c>
      <c r="AY311" s="144" t="s">
        <v>897</v>
      </c>
      <c r="AZ311" s="144" t="s">
        <v>919</v>
      </c>
      <c r="BA311" s="137" t="s">
        <v>960</v>
      </c>
      <c r="BC311" s="143">
        <f>AW311+AX311</f>
        <v>0</v>
      </c>
      <c r="BD311" s="143">
        <f>H311/(100-BE311)*100</f>
        <v>0</v>
      </c>
      <c r="BE311" s="143">
        <v>0</v>
      </c>
      <c r="BF311" s="143">
        <f>311</f>
        <v>311</v>
      </c>
      <c r="BH311" s="141">
        <f>G311*AO311</f>
        <v>0</v>
      </c>
      <c r="BI311" s="141">
        <f>G311*AP311</f>
        <v>0</v>
      </c>
      <c r="BJ311" s="141">
        <f>G311*H311</f>
        <v>0</v>
      </c>
    </row>
    <row r="312" spans="1:12" ht="12.75">
      <c r="A312" s="154"/>
      <c r="B312" s="154"/>
      <c r="C312" s="60" t="s">
        <v>639</v>
      </c>
      <c r="D312" s="61"/>
      <c r="E312" s="61"/>
      <c r="F312" s="154"/>
      <c r="G312" s="12">
        <v>2.6</v>
      </c>
      <c r="I312" s="154"/>
      <c r="J312" s="154"/>
      <c r="K312" s="154"/>
      <c r="L312" s="154"/>
    </row>
    <row r="313" spans="1:62" ht="12.75">
      <c r="A313" s="3" t="s">
        <v>126</v>
      </c>
      <c r="B313" s="3" t="s">
        <v>318</v>
      </c>
      <c r="C313" s="58" t="s">
        <v>640</v>
      </c>
      <c r="D313" s="59"/>
      <c r="E313" s="59"/>
      <c r="F313" s="3" t="s">
        <v>816</v>
      </c>
      <c r="G313" s="11">
        <v>22</v>
      </c>
      <c r="H313" s="141">
        <v>0</v>
      </c>
      <c r="I313" s="11">
        <f>G313*AO313</f>
        <v>0</v>
      </c>
      <c r="J313" s="11">
        <f>G313*AP313</f>
        <v>0</v>
      </c>
      <c r="K313" s="11">
        <f>G313*H313</f>
        <v>0</v>
      </c>
      <c r="L313" s="17" t="s">
        <v>845</v>
      </c>
      <c r="Z313" s="143">
        <f>IF(AQ313="5",BJ313,0)</f>
        <v>0</v>
      </c>
      <c r="AB313" s="143">
        <f>IF(AQ313="1",BH313,0)</f>
        <v>0</v>
      </c>
      <c r="AC313" s="143">
        <f>IF(AQ313="1",BI313,0)</f>
        <v>0</v>
      </c>
      <c r="AD313" s="143">
        <f>IF(AQ313="7",BH313,0)</f>
        <v>0</v>
      </c>
      <c r="AE313" s="143">
        <f>IF(AQ313="7",BI313,0)</f>
        <v>0</v>
      </c>
      <c r="AF313" s="143">
        <f>IF(AQ313="2",BH313,0)</f>
        <v>0</v>
      </c>
      <c r="AG313" s="143">
        <f>IF(AQ313="2",BI313,0)</f>
        <v>0</v>
      </c>
      <c r="AH313" s="143">
        <f>IF(AQ313="0",BJ313,0)</f>
        <v>0</v>
      </c>
      <c r="AI313" s="137" t="s">
        <v>864</v>
      </c>
      <c r="AJ313" s="141">
        <f>IF(AN313=0,K313,0)</f>
        <v>0</v>
      </c>
      <c r="AK313" s="141">
        <f>IF(AN313=15,K313,0)</f>
        <v>0</v>
      </c>
      <c r="AL313" s="141">
        <f>IF(AN313=21,K313,0)</f>
        <v>0</v>
      </c>
      <c r="AN313" s="143">
        <v>21</v>
      </c>
      <c r="AO313" s="143">
        <f>H313*0.0400932400932401</f>
        <v>0</v>
      </c>
      <c r="AP313" s="143">
        <f>H313*(1-0.0400932400932401)</f>
        <v>0</v>
      </c>
      <c r="AQ313" s="142" t="s">
        <v>7</v>
      </c>
      <c r="AV313" s="143">
        <f>AW313+AX313</f>
        <v>0</v>
      </c>
      <c r="AW313" s="143">
        <f>G313*AO313</f>
        <v>0</v>
      </c>
      <c r="AX313" s="143">
        <f>G313*AP313</f>
        <v>0</v>
      </c>
      <c r="AY313" s="144" t="s">
        <v>897</v>
      </c>
      <c r="AZ313" s="144" t="s">
        <v>919</v>
      </c>
      <c r="BA313" s="137" t="s">
        <v>960</v>
      </c>
      <c r="BC313" s="143">
        <f>AW313+AX313</f>
        <v>0</v>
      </c>
      <c r="BD313" s="143">
        <f>H313/(100-BE313)*100</f>
        <v>0</v>
      </c>
      <c r="BE313" s="143">
        <v>0</v>
      </c>
      <c r="BF313" s="143">
        <f>313</f>
        <v>313</v>
      </c>
      <c r="BH313" s="141">
        <f>G313*AO313</f>
        <v>0</v>
      </c>
      <c r="BI313" s="141">
        <f>G313*AP313</f>
        <v>0</v>
      </c>
      <c r="BJ313" s="141">
        <f>G313*H313</f>
        <v>0</v>
      </c>
    </row>
    <row r="314" spans="1:12" ht="12.75">
      <c r="A314" s="154"/>
      <c r="B314" s="154"/>
      <c r="C314" s="60" t="s">
        <v>641</v>
      </c>
      <c r="D314" s="61"/>
      <c r="E314" s="61"/>
      <c r="F314" s="154"/>
      <c r="G314" s="12">
        <v>22</v>
      </c>
      <c r="I314" s="154"/>
      <c r="J314" s="154"/>
      <c r="K314" s="154"/>
      <c r="L314" s="154"/>
    </row>
    <row r="315" spans="1:62" ht="12.75">
      <c r="A315" s="3" t="s">
        <v>127</v>
      </c>
      <c r="B315" s="3" t="s">
        <v>319</v>
      </c>
      <c r="C315" s="58" t="s">
        <v>642</v>
      </c>
      <c r="D315" s="59"/>
      <c r="E315" s="59"/>
      <c r="F315" s="3" t="s">
        <v>818</v>
      </c>
      <c r="G315" s="11">
        <v>160</v>
      </c>
      <c r="H315" s="141">
        <v>0</v>
      </c>
      <c r="I315" s="11">
        <f>G315*AO315</f>
        <v>0</v>
      </c>
      <c r="J315" s="11">
        <f>G315*AP315</f>
        <v>0</v>
      </c>
      <c r="K315" s="11">
        <f>G315*H315</f>
        <v>0</v>
      </c>
      <c r="L315" s="17" t="s">
        <v>845</v>
      </c>
      <c r="Z315" s="143">
        <f>IF(AQ315="5",BJ315,0)</f>
        <v>0</v>
      </c>
      <c r="AB315" s="143">
        <f>IF(AQ315="1",BH315,0)</f>
        <v>0</v>
      </c>
      <c r="AC315" s="143">
        <f>IF(AQ315="1",BI315,0)</f>
        <v>0</v>
      </c>
      <c r="AD315" s="143">
        <f>IF(AQ315="7",BH315,0)</f>
        <v>0</v>
      </c>
      <c r="AE315" s="143">
        <f>IF(AQ315="7",BI315,0)</f>
        <v>0</v>
      </c>
      <c r="AF315" s="143">
        <f>IF(AQ315="2",BH315,0)</f>
        <v>0</v>
      </c>
      <c r="AG315" s="143">
        <f>IF(AQ315="2",BI315,0)</f>
        <v>0</v>
      </c>
      <c r="AH315" s="143">
        <f>IF(AQ315="0",BJ315,0)</f>
        <v>0</v>
      </c>
      <c r="AI315" s="137" t="s">
        <v>864</v>
      </c>
      <c r="AJ315" s="141">
        <f>IF(AN315=0,K315,0)</f>
        <v>0</v>
      </c>
      <c r="AK315" s="141">
        <f>IF(AN315=15,K315,0)</f>
        <v>0</v>
      </c>
      <c r="AL315" s="141">
        <f>IF(AN315=21,K315,0)</f>
        <v>0</v>
      </c>
      <c r="AN315" s="143">
        <v>21</v>
      </c>
      <c r="AO315" s="143">
        <f>H315*0</f>
        <v>0</v>
      </c>
      <c r="AP315" s="143">
        <f>H315*(1-0)</f>
        <v>0</v>
      </c>
      <c r="AQ315" s="142" t="s">
        <v>7</v>
      </c>
      <c r="AV315" s="143">
        <f>AW315+AX315</f>
        <v>0</v>
      </c>
      <c r="AW315" s="143">
        <f>G315*AO315</f>
        <v>0</v>
      </c>
      <c r="AX315" s="143">
        <f>G315*AP315</f>
        <v>0</v>
      </c>
      <c r="AY315" s="144" t="s">
        <v>897</v>
      </c>
      <c r="AZ315" s="144" t="s">
        <v>919</v>
      </c>
      <c r="BA315" s="137" t="s">
        <v>960</v>
      </c>
      <c r="BC315" s="143">
        <f>AW315+AX315</f>
        <v>0</v>
      </c>
      <c r="BD315" s="143">
        <f>H315/(100-BE315)*100</f>
        <v>0</v>
      </c>
      <c r="BE315" s="143">
        <v>0</v>
      </c>
      <c r="BF315" s="143">
        <f>315</f>
        <v>315</v>
      </c>
      <c r="BH315" s="141">
        <f>G315*AO315</f>
        <v>0</v>
      </c>
      <c r="BI315" s="141">
        <f>G315*AP315</f>
        <v>0</v>
      </c>
      <c r="BJ315" s="141">
        <f>G315*H315</f>
        <v>0</v>
      </c>
    </row>
    <row r="316" spans="1:12" ht="12.75">
      <c r="A316" s="154"/>
      <c r="B316" s="154"/>
      <c r="C316" s="60" t="s">
        <v>643</v>
      </c>
      <c r="D316" s="61"/>
      <c r="E316" s="61"/>
      <c r="F316" s="154"/>
      <c r="G316" s="12">
        <v>160</v>
      </c>
      <c r="I316" s="154"/>
      <c r="J316" s="154"/>
      <c r="K316" s="154"/>
      <c r="L316" s="154"/>
    </row>
    <row r="317" spans="1:62" ht="12.75">
      <c r="A317" s="3" t="s">
        <v>128</v>
      </c>
      <c r="B317" s="3" t="s">
        <v>320</v>
      </c>
      <c r="C317" s="58" t="s">
        <v>644</v>
      </c>
      <c r="D317" s="59"/>
      <c r="E317" s="59"/>
      <c r="F317" s="3" t="s">
        <v>821</v>
      </c>
      <c r="G317" s="11">
        <v>13.3</v>
      </c>
      <c r="H317" s="141">
        <v>0</v>
      </c>
      <c r="I317" s="11">
        <f>G317*AO317</f>
        <v>0</v>
      </c>
      <c r="J317" s="11">
        <f>G317*AP317</f>
        <v>0</v>
      </c>
      <c r="K317" s="11">
        <f>G317*H317</f>
        <v>0</v>
      </c>
      <c r="L317" s="17" t="s">
        <v>845</v>
      </c>
      <c r="Z317" s="143">
        <f>IF(AQ317="5",BJ317,0)</f>
        <v>0</v>
      </c>
      <c r="AB317" s="143">
        <f>IF(AQ317="1",BH317,0)</f>
        <v>0</v>
      </c>
      <c r="AC317" s="143">
        <f>IF(AQ317="1",BI317,0)</f>
        <v>0</v>
      </c>
      <c r="AD317" s="143">
        <f>IF(AQ317="7",BH317,0)</f>
        <v>0</v>
      </c>
      <c r="AE317" s="143">
        <f>IF(AQ317="7",BI317,0)</f>
        <v>0</v>
      </c>
      <c r="AF317" s="143">
        <f>IF(AQ317="2",BH317,0)</f>
        <v>0</v>
      </c>
      <c r="AG317" s="143">
        <f>IF(AQ317="2",BI317,0)</f>
        <v>0</v>
      </c>
      <c r="AH317" s="143">
        <f>IF(AQ317="0",BJ317,0)</f>
        <v>0</v>
      </c>
      <c r="AI317" s="137" t="s">
        <v>864</v>
      </c>
      <c r="AJ317" s="141">
        <f>IF(AN317=0,K317,0)</f>
        <v>0</v>
      </c>
      <c r="AK317" s="141">
        <f>IF(AN317=15,K317,0)</f>
        <v>0</v>
      </c>
      <c r="AL317" s="141">
        <f>IF(AN317=21,K317,0)</f>
        <v>0</v>
      </c>
      <c r="AN317" s="143">
        <v>21</v>
      </c>
      <c r="AO317" s="143">
        <f>H317*0</f>
        <v>0</v>
      </c>
      <c r="AP317" s="143">
        <f>H317*(1-0)</f>
        <v>0</v>
      </c>
      <c r="AQ317" s="142" t="s">
        <v>7</v>
      </c>
      <c r="AV317" s="143">
        <f>AW317+AX317</f>
        <v>0</v>
      </c>
      <c r="AW317" s="143">
        <f>G317*AO317</f>
        <v>0</v>
      </c>
      <c r="AX317" s="143">
        <f>G317*AP317</f>
        <v>0</v>
      </c>
      <c r="AY317" s="144" t="s">
        <v>897</v>
      </c>
      <c r="AZ317" s="144" t="s">
        <v>919</v>
      </c>
      <c r="BA317" s="137" t="s">
        <v>960</v>
      </c>
      <c r="BC317" s="143">
        <f>AW317+AX317</f>
        <v>0</v>
      </c>
      <c r="BD317" s="143">
        <f>H317/(100-BE317)*100</f>
        <v>0</v>
      </c>
      <c r="BE317" s="143">
        <v>0</v>
      </c>
      <c r="BF317" s="143">
        <f>317</f>
        <v>317</v>
      </c>
      <c r="BH317" s="141">
        <f>G317*AO317</f>
        <v>0</v>
      </c>
      <c r="BI317" s="141">
        <f>G317*AP317</f>
        <v>0</v>
      </c>
      <c r="BJ317" s="141">
        <f>G317*H317</f>
        <v>0</v>
      </c>
    </row>
    <row r="318" spans="1:12" ht="12.75">
      <c r="A318" s="154"/>
      <c r="B318" s="154"/>
      <c r="C318" s="60" t="s">
        <v>645</v>
      </c>
      <c r="D318" s="61"/>
      <c r="E318" s="61"/>
      <c r="F318" s="154"/>
      <c r="G318" s="12">
        <v>13.3</v>
      </c>
      <c r="I318" s="154"/>
      <c r="J318" s="154"/>
      <c r="K318" s="154"/>
      <c r="L318" s="154"/>
    </row>
    <row r="319" spans="1:62" ht="12.75">
      <c r="A319" s="3" t="s">
        <v>129</v>
      </c>
      <c r="B319" s="3" t="s">
        <v>321</v>
      </c>
      <c r="C319" s="58" t="s">
        <v>646</v>
      </c>
      <c r="D319" s="59"/>
      <c r="E319" s="59"/>
      <c r="F319" s="3" t="s">
        <v>821</v>
      </c>
      <c r="G319" s="11">
        <v>3711</v>
      </c>
      <c r="H319" s="141">
        <v>0</v>
      </c>
      <c r="I319" s="11">
        <f>G319*AO319</f>
        <v>0</v>
      </c>
      <c r="J319" s="11">
        <f>G319*AP319</f>
        <v>0</v>
      </c>
      <c r="K319" s="11">
        <f>G319*H319</f>
        <v>0</v>
      </c>
      <c r="L319" s="17" t="s">
        <v>845</v>
      </c>
      <c r="Z319" s="143">
        <f>IF(AQ319="5",BJ319,0)</f>
        <v>0</v>
      </c>
      <c r="AB319" s="143">
        <f>IF(AQ319="1",BH319,0)</f>
        <v>0</v>
      </c>
      <c r="AC319" s="143">
        <f>IF(AQ319="1",BI319,0)</f>
        <v>0</v>
      </c>
      <c r="AD319" s="143">
        <f>IF(AQ319="7",BH319,0)</f>
        <v>0</v>
      </c>
      <c r="AE319" s="143">
        <f>IF(AQ319="7",BI319,0)</f>
        <v>0</v>
      </c>
      <c r="AF319" s="143">
        <f>IF(AQ319="2",BH319,0)</f>
        <v>0</v>
      </c>
      <c r="AG319" s="143">
        <f>IF(AQ319="2",BI319,0)</f>
        <v>0</v>
      </c>
      <c r="AH319" s="143">
        <f>IF(AQ319="0",BJ319,0)</f>
        <v>0</v>
      </c>
      <c r="AI319" s="137" t="s">
        <v>864</v>
      </c>
      <c r="AJ319" s="141">
        <f>IF(AN319=0,K319,0)</f>
        <v>0</v>
      </c>
      <c r="AK319" s="141">
        <f>IF(AN319=15,K319,0)</f>
        <v>0</v>
      </c>
      <c r="AL319" s="141">
        <f>IF(AN319=21,K319,0)</f>
        <v>0</v>
      </c>
      <c r="AN319" s="143">
        <v>21</v>
      </c>
      <c r="AO319" s="143">
        <f>H319*0</f>
        <v>0</v>
      </c>
      <c r="AP319" s="143">
        <f>H319*(1-0)</f>
        <v>0</v>
      </c>
      <c r="AQ319" s="142" t="s">
        <v>7</v>
      </c>
      <c r="AV319" s="143">
        <f>AW319+AX319</f>
        <v>0</v>
      </c>
      <c r="AW319" s="143">
        <f>G319*AO319</f>
        <v>0</v>
      </c>
      <c r="AX319" s="143">
        <f>G319*AP319</f>
        <v>0</v>
      </c>
      <c r="AY319" s="144" t="s">
        <v>897</v>
      </c>
      <c r="AZ319" s="144" t="s">
        <v>919</v>
      </c>
      <c r="BA319" s="137" t="s">
        <v>960</v>
      </c>
      <c r="BC319" s="143">
        <f>AW319+AX319</f>
        <v>0</v>
      </c>
      <c r="BD319" s="143">
        <f>H319/(100-BE319)*100</f>
        <v>0</v>
      </c>
      <c r="BE319" s="143">
        <v>0</v>
      </c>
      <c r="BF319" s="143">
        <f>319</f>
        <v>319</v>
      </c>
      <c r="BH319" s="141">
        <f>G319*AO319</f>
        <v>0</v>
      </c>
      <c r="BI319" s="141">
        <f>G319*AP319</f>
        <v>0</v>
      </c>
      <c r="BJ319" s="141">
        <f>G319*H319</f>
        <v>0</v>
      </c>
    </row>
    <row r="320" spans="1:12" ht="12.75">
      <c r="A320" s="154"/>
      <c r="B320" s="154"/>
      <c r="C320" s="60" t="s">
        <v>647</v>
      </c>
      <c r="D320" s="61"/>
      <c r="E320" s="61"/>
      <c r="F320" s="154"/>
      <c r="G320" s="12">
        <v>3711</v>
      </c>
      <c r="I320" s="154"/>
      <c r="J320" s="154"/>
      <c r="K320" s="154"/>
      <c r="L320" s="154"/>
    </row>
    <row r="321" spans="1:62" ht="12.75">
      <c r="A321" s="3" t="s">
        <v>130</v>
      </c>
      <c r="B321" s="3" t="s">
        <v>304</v>
      </c>
      <c r="C321" s="58" t="s">
        <v>614</v>
      </c>
      <c r="D321" s="59"/>
      <c r="E321" s="59"/>
      <c r="F321" s="3" t="s">
        <v>818</v>
      </c>
      <c r="G321" s="11">
        <v>1984</v>
      </c>
      <c r="H321" s="141">
        <v>0</v>
      </c>
      <c r="I321" s="11">
        <f>G321*AO321</f>
        <v>0</v>
      </c>
      <c r="J321" s="11">
        <f>G321*AP321</f>
        <v>0</v>
      </c>
      <c r="K321" s="11">
        <f>G321*H321</f>
        <v>0</v>
      </c>
      <c r="L321" s="17" t="s">
        <v>845</v>
      </c>
      <c r="Z321" s="143">
        <f>IF(AQ321="5",BJ321,0)</f>
        <v>0</v>
      </c>
      <c r="AB321" s="143">
        <f>IF(AQ321="1",BH321,0)</f>
        <v>0</v>
      </c>
      <c r="AC321" s="143">
        <f>IF(AQ321="1",BI321,0)</f>
        <v>0</v>
      </c>
      <c r="AD321" s="143">
        <f>IF(AQ321="7",BH321,0)</f>
        <v>0</v>
      </c>
      <c r="AE321" s="143">
        <f>IF(AQ321="7",BI321,0)</f>
        <v>0</v>
      </c>
      <c r="AF321" s="143">
        <f>IF(AQ321="2",BH321,0)</f>
        <v>0</v>
      </c>
      <c r="AG321" s="143">
        <f>IF(AQ321="2",BI321,0)</f>
        <v>0</v>
      </c>
      <c r="AH321" s="143">
        <f>IF(AQ321="0",BJ321,0)</f>
        <v>0</v>
      </c>
      <c r="AI321" s="137" t="s">
        <v>864</v>
      </c>
      <c r="AJ321" s="141">
        <f>IF(AN321=0,K321,0)</f>
        <v>0</v>
      </c>
      <c r="AK321" s="141">
        <f>IF(AN321=15,K321,0)</f>
        <v>0</v>
      </c>
      <c r="AL321" s="141">
        <f>IF(AN321=21,K321,0)</f>
        <v>0</v>
      </c>
      <c r="AN321" s="143">
        <v>21</v>
      </c>
      <c r="AO321" s="143">
        <f>H321*0</f>
        <v>0</v>
      </c>
      <c r="AP321" s="143">
        <f>H321*(1-0)</f>
        <v>0</v>
      </c>
      <c r="AQ321" s="142" t="s">
        <v>7</v>
      </c>
      <c r="AV321" s="143">
        <f>AW321+AX321</f>
        <v>0</v>
      </c>
      <c r="AW321" s="143">
        <f>G321*AO321</f>
        <v>0</v>
      </c>
      <c r="AX321" s="143">
        <f>G321*AP321</f>
        <v>0</v>
      </c>
      <c r="AY321" s="144" t="s">
        <v>897</v>
      </c>
      <c r="AZ321" s="144" t="s">
        <v>919</v>
      </c>
      <c r="BA321" s="137" t="s">
        <v>960</v>
      </c>
      <c r="BC321" s="143">
        <f>AW321+AX321</f>
        <v>0</v>
      </c>
      <c r="BD321" s="143">
        <f>H321/(100-BE321)*100</f>
        <v>0</v>
      </c>
      <c r="BE321" s="143">
        <v>0</v>
      </c>
      <c r="BF321" s="143">
        <f>321</f>
        <v>321</v>
      </c>
      <c r="BH321" s="141">
        <f>G321*AO321</f>
        <v>0</v>
      </c>
      <c r="BI321" s="141">
        <f>G321*AP321</f>
        <v>0</v>
      </c>
      <c r="BJ321" s="141">
        <f>G321*H321</f>
        <v>0</v>
      </c>
    </row>
    <row r="322" spans="1:12" ht="12.75">
      <c r="A322" s="154"/>
      <c r="B322" s="154"/>
      <c r="C322" s="60" t="s">
        <v>648</v>
      </c>
      <c r="D322" s="61"/>
      <c r="E322" s="61"/>
      <c r="F322" s="154"/>
      <c r="G322" s="12">
        <v>1984</v>
      </c>
      <c r="I322" s="154"/>
      <c r="J322" s="154"/>
      <c r="K322" s="154"/>
      <c r="L322" s="154"/>
    </row>
    <row r="323" spans="1:62" ht="12.75">
      <c r="A323" s="3" t="s">
        <v>131</v>
      </c>
      <c r="B323" s="3" t="s">
        <v>322</v>
      </c>
      <c r="C323" s="58" t="s">
        <v>649</v>
      </c>
      <c r="D323" s="59"/>
      <c r="E323" s="59"/>
      <c r="F323" s="3" t="s">
        <v>818</v>
      </c>
      <c r="G323" s="11">
        <v>1984</v>
      </c>
      <c r="H323" s="141">
        <v>0</v>
      </c>
      <c r="I323" s="11">
        <f>G323*AO323</f>
        <v>0</v>
      </c>
      <c r="J323" s="11">
        <f>G323*AP323</f>
        <v>0</v>
      </c>
      <c r="K323" s="11">
        <f>G323*H323</f>
        <v>0</v>
      </c>
      <c r="L323" s="17" t="s">
        <v>845</v>
      </c>
      <c r="Z323" s="143">
        <f>IF(AQ323="5",BJ323,0)</f>
        <v>0</v>
      </c>
      <c r="AB323" s="143">
        <f>IF(AQ323="1",BH323,0)</f>
        <v>0</v>
      </c>
      <c r="AC323" s="143">
        <f>IF(AQ323="1",BI323,0)</f>
        <v>0</v>
      </c>
      <c r="AD323" s="143">
        <f>IF(AQ323="7",BH323,0)</f>
        <v>0</v>
      </c>
      <c r="AE323" s="143">
        <f>IF(AQ323="7",BI323,0)</f>
        <v>0</v>
      </c>
      <c r="AF323" s="143">
        <f>IF(AQ323="2",BH323,0)</f>
        <v>0</v>
      </c>
      <c r="AG323" s="143">
        <f>IF(AQ323="2",BI323,0)</f>
        <v>0</v>
      </c>
      <c r="AH323" s="143">
        <f>IF(AQ323="0",BJ323,0)</f>
        <v>0</v>
      </c>
      <c r="AI323" s="137" t="s">
        <v>864</v>
      </c>
      <c r="AJ323" s="141">
        <f>IF(AN323=0,K323,0)</f>
        <v>0</v>
      </c>
      <c r="AK323" s="141">
        <f>IF(AN323=15,K323,0)</f>
        <v>0</v>
      </c>
      <c r="AL323" s="141">
        <f>IF(AN323=21,K323,0)</f>
        <v>0</v>
      </c>
      <c r="AN323" s="143">
        <v>21</v>
      </c>
      <c r="AO323" s="143">
        <f>H323*0</f>
        <v>0</v>
      </c>
      <c r="AP323" s="143">
        <f>H323*(1-0)</f>
        <v>0</v>
      </c>
      <c r="AQ323" s="142" t="s">
        <v>7</v>
      </c>
      <c r="AV323" s="143">
        <f>AW323+AX323</f>
        <v>0</v>
      </c>
      <c r="AW323" s="143">
        <f>G323*AO323</f>
        <v>0</v>
      </c>
      <c r="AX323" s="143">
        <f>G323*AP323</f>
        <v>0</v>
      </c>
      <c r="AY323" s="144" t="s">
        <v>897</v>
      </c>
      <c r="AZ323" s="144" t="s">
        <v>919</v>
      </c>
      <c r="BA323" s="137" t="s">
        <v>960</v>
      </c>
      <c r="BC323" s="143">
        <f>AW323+AX323</f>
        <v>0</v>
      </c>
      <c r="BD323" s="143">
        <f>H323/(100-BE323)*100</f>
        <v>0</v>
      </c>
      <c r="BE323" s="143">
        <v>0</v>
      </c>
      <c r="BF323" s="143">
        <f>323</f>
        <v>323</v>
      </c>
      <c r="BH323" s="141">
        <f>G323*AO323</f>
        <v>0</v>
      </c>
      <c r="BI323" s="141">
        <f>G323*AP323</f>
        <v>0</v>
      </c>
      <c r="BJ323" s="141">
        <f>G323*H323</f>
        <v>0</v>
      </c>
    </row>
    <row r="324" spans="1:12" ht="12.75">
      <c r="A324" s="154"/>
      <c r="B324" s="154"/>
      <c r="C324" s="60" t="s">
        <v>648</v>
      </c>
      <c r="D324" s="61"/>
      <c r="E324" s="61"/>
      <c r="F324" s="154"/>
      <c r="G324" s="12">
        <v>1984</v>
      </c>
      <c r="I324" s="154"/>
      <c r="J324" s="154"/>
      <c r="K324" s="154"/>
      <c r="L324" s="154"/>
    </row>
    <row r="325" spans="1:62" ht="12.75">
      <c r="A325" s="3" t="s">
        <v>132</v>
      </c>
      <c r="B325" s="3" t="s">
        <v>323</v>
      </c>
      <c r="C325" s="58" t="s">
        <v>650</v>
      </c>
      <c r="D325" s="59"/>
      <c r="E325" s="59"/>
      <c r="F325" s="3" t="s">
        <v>821</v>
      </c>
      <c r="G325" s="11">
        <v>1727</v>
      </c>
      <c r="H325" s="141">
        <v>0</v>
      </c>
      <c r="I325" s="11">
        <f>G325*AO325</f>
        <v>0</v>
      </c>
      <c r="J325" s="11">
        <f>G325*AP325</f>
        <v>0</v>
      </c>
      <c r="K325" s="11">
        <f>G325*H325</f>
        <v>0</v>
      </c>
      <c r="L325" s="17" t="s">
        <v>845</v>
      </c>
      <c r="Z325" s="143">
        <f>IF(AQ325="5",BJ325,0)</f>
        <v>0</v>
      </c>
      <c r="AB325" s="143">
        <f>IF(AQ325="1",BH325,0)</f>
        <v>0</v>
      </c>
      <c r="AC325" s="143">
        <f>IF(AQ325="1",BI325,0)</f>
        <v>0</v>
      </c>
      <c r="AD325" s="143">
        <f>IF(AQ325="7",BH325,0)</f>
        <v>0</v>
      </c>
      <c r="AE325" s="143">
        <f>IF(AQ325="7",BI325,0)</f>
        <v>0</v>
      </c>
      <c r="AF325" s="143">
        <f>IF(AQ325="2",BH325,0)</f>
        <v>0</v>
      </c>
      <c r="AG325" s="143">
        <f>IF(AQ325="2",BI325,0)</f>
        <v>0</v>
      </c>
      <c r="AH325" s="143">
        <f>IF(AQ325="0",BJ325,0)</f>
        <v>0</v>
      </c>
      <c r="AI325" s="137" t="s">
        <v>864</v>
      </c>
      <c r="AJ325" s="141">
        <f>IF(AN325=0,K325,0)</f>
        <v>0</v>
      </c>
      <c r="AK325" s="141">
        <f>IF(AN325=15,K325,0)</f>
        <v>0</v>
      </c>
      <c r="AL325" s="141">
        <f>IF(AN325=21,K325,0)</f>
        <v>0</v>
      </c>
      <c r="AN325" s="143">
        <v>21</v>
      </c>
      <c r="AO325" s="143">
        <f>H325*0</f>
        <v>0</v>
      </c>
      <c r="AP325" s="143">
        <f>H325*(1-0)</f>
        <v>0</v>
      </c>
      <c r="AQ325" s="142" t="s">
        <v>7</v>
      </c>
      <c r="AV325" s="143">
        <f>AW325+AX325</f>
        <v>0</v>
      </c>
      <c r="AW325" s="143">
        <f>G325*AO325</f>
        <v>0</v>
      </c>
      <c r="AX325" s="143">
        <f>G325*AP325</f>
        <v>0</v>
      </c>
      <c r="AY325" s="144" t="s">
        <v>897</v>
      </c>
      <c r="AZ325" s="144" t="s">
        <v>919</v>
      </c>
      <c r="BA325" s="137" t="s">
        <v>960</v>
      </c>
      <c r="BC325" s="143">
        <f>AW325+AX325</f>
        <v>0</v>
      </c>
      <c r="BD325" s="143">
        <f>H325/(100-BE325)*100</f>
        <v>0</v>
      </c>
      <c r="BE325" s="143">
        <v>0</v>
      </c>
      <c r="BF325" s="143">
        <f>325</f>
        <v>325</v>
      </c>
      <c r="BH325" s="141">
        <f>G325*AO325</f>
        <v>0</v>
      </c>
      <c r="BI325" s="141">
        <f>G325*AP325</f>
        <v>0</v>
      </c>
      <c r="BJ325" s="141">
        <f>G325*H325</f>
        <v>0</v>
      </c>
    </row>
    <row r="326" spans="1:12" ht="12.75">
      <c r="A326" s="154"/>
      <c r="B326" s="154"/>
      <c r="C326" s="60" t="s">
        <v>651</v>
      </c>
      <c r="D326" s="61"/>
      <c r="E326" s="61"/>
      <c r="F326" s="154"/>
      <c r="G326" s="12">
        <v>1727</v>
      </c>
      <c r="I326" s="154"/>
      <c r="J326" s="154"/>
      <c r="K326" s="154"/>
      <c r="L326" s="154"/>
    </row>
    <row r="327" spans="1:62" ht="12.75">
      <c r="A327" s="3" t="s">
        <v>133</v>
      </c>
      <c r="B327" s="3" t="s">
        <v>324</v>
      </c>
      <c r="C327" s="58" t="s">
        <v>652</v>
      </c>
      <c r="D327" s="59"/>
      <c r="E327" s="59"/>
      <c r="F327" s="3" t="s">
        <v>818</v>
      </c>
      <c r="G327" s="11">
        <v>3711</v>
      </c>
      <c r="H327" s="141">
        <v>0</v>
      </c>
      <c r="I327" s="11">
        <f>G327*AO327</f>
        <v>0</v>
      </c>
      <c r="J327" s="11">
        <f>G327*AP327</f>
        <v>0</v>
      </c>
      <c r="K327" s="11">
        <f>G327*H327</f>
        <v>0</v>
      </c>
      <c r="L327" s="17" t="s">
        <v>845</v>
      </c>
      <c r="Z327" s="143">
        <f>IF(AQ327="5",BJ327,0)</f>
        <v>0</v>
      </c>
      <c r="AB327" s="143">
        <f>IF(AQ327="1",BH327,0)</f>
        <v>0</v>
      </c>
      <c r="AC327" s="143">
        <f>IF(AQ327="1",BI327,0)</f>
        <v>0</v>
      </c>
      <c r="AD327" s="143">
        <f>IF(AQ327="7",BH327,0)</f>
        <v>0</v>
      </c>
      <c r="AE327" s="143">
        <f>IF(AQ327="7",BI327,0)</f>
        <v>0</v>
      </c>
      <c r="AF327" s="143">
        <f>IF(AQ327="2",BH327,0)</f>
        <v>0</v>
      </c>
      <c r="AG327" s="143">
        <f>IF(AQ327="2",BI327,0)</f>
        <v>0</v>
      </c>
      <c r="AH327" s="143">
        <f>IF(AQ327="0",BJ327,0)</f>
        <v>0</v>
      </c>
      <c r="AI327" s="137" t="s">
        <v>864</v>
      </c>
      <c r="AJ327" s="141">
        <f>IF(AN327=0,K327,0)</f>
        <v>0</v>
      </c>
      <c r="AK327" s="141">
        <f>IF(AN327=15,K327,0)</f>
        <v>0</v>
      </c>
      <c r="AL327" s="141">
        <f>IF(AN327=21,K327,0)</f>
        <v>0</v>
      </c>
      <c r="AN327" s="143">
        <v>21</v>
      </c>
      <c r="AO327" s="143">
        <f>H327*0.0723076923076923</f>
        <v>0</v>
      </c>
      <c r="AP327" s="143">
        <f>H327*(1-0.0723076923076923)</f>
        <v>0</v>
      </c>
      <c r="AQ327" s="142" t="s">
        <v>7</v>
      </c>
      <c r="AV327" s="143">
        <f>AW327+AX327</f>
        <v>0</v>
      </c>
      <c r="AW327" s="143">
        <f>G327*AO327</f>
        <v>0</v>
      </c>
      <c r="AX327" s="143">
        <f>G327*AP327</f>
        <v>0</v>
      </c>
      <c r="AY327" s="144" t="s">
        <v>897</v>
      </c>
      <c r="AZ327" s="144" t="s">
        <v>919</v>
      </c>
      <c r="BA327" s="137" t="s">
        <v>960</v>
      </c>
      <c r="BC327" s="143">
        <f>AW327+AX327</f>
        <v>0</v>
      </c>
      <c r="BD327" s="143">
        <f>H327/(100-BE327)*100</f>
        <v>0</v>
      </c>
      <c r="BE327" s="143">
        <v>0</v>
      </c>
      <c r="BF327" s="143">
        <f>327</f>
        <v>327</v>
      </c>
      <c r="BH327" s="141">
        <f>G327*AO327</f>
        <v>0</v>
      </c>
      <c r="BI327" s="141">
        <f>G327*AP327</f>
        <v>0</v>
      </c>
      <c r="BJ327" s="141">
        <f>G327*H327</f>
        <v>0</v>
      </c>
    </row>
    <row r="328" spans="1:12" ht="12.75">
      <c r="A328" s="154"/>
      <c r="B328" s="154"/>
      <c r="C328" s="60" t="s">
        <v>647</v>
      </c>
      <c r="D328" s="61"/>
      <c r="E328" s="61"/>
      <c r="F328" s="154"/>
      <c r="G328" s="12">
        <v>3711</v>
      </c>
      <c r="I328" s="154"/>
      <c r="J328" s="154"/>
      <c r="K328" s="154"/>
      <c r="L328" s="154"/>
    </row>
    <row r="329" spans="1:62" ht="12.75">
      <c r="A329" s="3" t="s">
        <v>134</v>
      </c>
      <c r="B329" s="3" t="s">
        <v>312</v>
      </c>
      <c r="C329" s="58" t="s">
        <v>630</v>
      </c>
      <c r="D329" s="59"/>
      <c r="E329" s="59"/>
      <c r="F329" s="3" t="s">
        <v>816</v>
      </c>
      <c r="G329" s="11">
        <v>25</v>
      </c>
      <c r="H329" s="141">
        <v>0</v>
      </c>
      <c r="I329" s="11">
        <f>G329*AO329</f>
        <v>0</v>
      </c>
      <c r="J329" s="11">
        <f>G329*AP329</f>
        <v>0</v>
      </c>
      <c r="K329" s="11">
        <f>G329*H329</f>
        <v>0</v>
      </c>
      <c r="L329" s="17" t="s">
        <v>845</v>
      </c>
      <c r="Z329" s="143">
        <f>IF(AQ329="5",BJ329,0)</f>
        <v>0</v>
      </c>
      <c r="AB329" s="143">
        <f>IF(AQ329="1",BH329,0)</f>
        <v>0</v>
      </c>
      <c r="AC329" s="143">
        <f>IF(AQ329="1",BI329,0)</f>
        <v>0</v>
      </c>
      <c r="AD329" s="143">
        <f>IF(AQ329="7",BH329,0)</f>
        <v>0</v>
      </c>
      <c r="AE329" s="143">
        <f>IF(AQ329="7",BI329,0)</f>
        <v>0</v>
      </c>
      <c r="AF329" s="143">
        <f>IF(AQ329="2",BH329,0)</f>
        <v>0</v>
      </c>
      <c r="AG329" s="143">
        <f>IF(AQ329="2",BI329,0)</f>
        <v>0</v>
      </c>
      <c r="AH329" s="143">
        <f>IF(AQ329="0",BJ329,0)</f>
        <v>0</v>
      </c>
      <c r="AI329" s="137" t="s">
        <v>864</v>
      </c>
      <c r="AJ329" s="141">
        <f>IF(AN329=0,K329,0)</f>
        <v>0</v>
      </c>
      <c r="AK329" s="141">
        <f>IF(AN329=15,K329,0)</f>
        <v>0</v>
      </c>
      <c r="AL329" s="141">
        <f>IF(AN329=21,K329,0)</f>
        <v>0</v>
      </c>
      <c r="AN329" s="143">
        <v>21</v>
      </c>
      <c r="AO329" s="143">
        <f>H329*0</f>
        <v>0</v>
      </c>
      <c r="AP329" s="143">
        <f>H329*(1-0)</f>
        <v>0</v>
      </c>
      <c r="AQ329" s="142" t="s">
        <v>7</v>
      </c>
      <c r="AV329" s="143">
        <f>AW329+AX329</f>
        <v>0</v>
      </c>
      <c r="AW329" s="143">
        <f>G329*AO329</f>
        <v>0</v>
      </c>
      <c r="AX329" s="143">
        <f>G329*AP329</f>
        <v>0</v>
      </c>
      <c r="AY329" s="144" t="s">
        <v>897</v>
      </c>
      <c r="AZ329" s="144" t="s">
        <v>919</v>
      </c>
      <c r="BA329" s="137" t="s">
        <v>960</v>
      </c>
      <c r="BC329" s="143">
        <f>AW329+AX329</f>
        <v>0</v>
      </c>
      <c r="BD329" s="143">
        <f>H329/(100-BE329)*100</f>
        <v>0</v>
      </c>
      <c r="BE329" s="143">
        <v>0</v>
      </c>
      <c r="BF329" s="143">
        <f>329</f>
        <v>329</v>
      </c>
      <c r="BH329" s="141">
        <f>G329*AO329</f>
        <v>0</v>
      </c>
      <c r="BI329" s="141">
        <f>G329*AP329</f>
        <v>0</v>
      </c>
      <c r="BJ329" s="141">
        <f>G329*H329</f>
        <v>0</v>
      </c>
    </row>
    <row r="330" spans="1:12" ht="12.75">
      <c r="A330" s="154"/>
      <c r="B330" s="154"/>
      <c r="C330" s="60" t="s">
        <v>629</v>
      </c>
      <c r="D330" s="61"/>
      <c r="E330" s="61"/>
      <c r="F330" s="154"/>
      <c r="G330" s="12">
        <v>25</v>
      </c>
      <c r="I330" s="154"/>
      <c r="J330" s="154"/>
      <c r="K330" s="154"/>
      <c r="L330" s="154"/>
    </row>
    <row r="331" spans="1:62" ht="12.75">
      <c r="A331" s="3" t="s">
        <v>135</v>
      </c>
      <c r="B331" s="3" t="s">
        <v>325</v>
      </c>
      <c r="C331" s="58" t="s">
        <v>653</v>
      </c>
      <c r="D331" s="59"/>
      <c r="E331" s="59"/>
      <c r="F331" s="3" t="s">
        <v>821</v>
      </c>
      <c r="G331" s="11">
        <v>3.7</v>
      </c>
      <c r="H331" s="141">
        <v>0</v>
      </c>
      <c r="I331" s="11">
        <f>G331*AO331</f>
        <v>0</v>
      </c>
      <c r="J331" s="11">
        <f>G331*AP331</f>
        <v>0</v>
      </c>
      <c r="K331" s="11">
        <f>G331*H331</f>
        <v>0</v>
      </c>
      <c r="L331" s="17" t="s">
        <v>845</v>
      </c>
      <c r="Z331" s="143">
        <f>IF(AQ331="5",BJ331,0)</f>
        <v>0</v>
      </c>
      <c r="AB331" s="143">
        <f>IF(AQ331="1",BH331,0)</f>
        <v>0</v>
      </c>
      <c r="AC331" s="143">
        <f>IF(AQ331="1",BI331,0)</f>
        <v>0</v>
      </c>
      <c r="AD331" s="143">
        <f>IF(AQ331="7",BH331,0)</f>
        <v>0</v>
      </c>
      <c r="AE331" s="143">
        <f>IF(AQ331="7",BI331,0)</f>
        <v>0</v>
      </c>
      <c r="AF331" s="143">
        <f>IF(AQ331="2",BH331,0)</f>
        <v>0</v>
      </c>
      <c r="AG331" s="143">
        <f>IF(AQ331="2",BI331,0)</f>
        <v>0</v>
      </c>
      <c r="AH331" s="143">
        <f>IF(AQ331="0",BJ331,0)</f>
        <v>0</v>
      </c>
      <c r="AI331" s="137" t="s">
        <v>864</v>
      </c>
      <c r="AJ331" s="141">
        <f>IF(AN331=0,K331,0)</f>
        <v>0</v>
      </c>
      <c r="AK331" s="141">
        <f>IF(AN331=15,K331,0)</f>
        <v>0</v>
      </c>
      <c r="AL331" s="141">
        <f>IF(AN331=21,K331,0)</f>
        <v>0</v>
      </c>
      <c r="AN331" s="143">
        <v>21</v>
      </c>
      <c r="AO331" s="143">
        <f>H331*0.0891840264177549</f>
        <v>0</v>
      </c>
      <c r="AP331" s="143">
        <f>H331*(1-0.0891840264177549)</f>
        <v>0</v>
      </c>
      <c r="AQ331" s="142" t="s">
        <v>7</v>
      </c>
      <c r="AV331" s="143">
        <f>AW331+AX331</f>
        <v>0</v>
      </c>
      <c r="AW331" s="143">
        <f>G331*AO331</f>
        <v>0</v>
      </c>
      <c r="AX331" s="143">
        <f>G331*AP331</f>
        <v>0</v>
      </c>
      <c r="AY331" s="144" t="s">
        <v>897</v>
      </c>
      <c r="AZ331" s="144" t="s">
        <v>919</v>
      </c>
      <c r="BA331" s="137" t="s">
        <v>960</v>
      </c>
      <c r="BC331" s="143">
        <f>AW331+AX331</f>
        <v>0</v>
      </c>
      <c r="BD331" s="143">
        <f>H331/(100-BE331)*100</f>
        <v>0</v>
      </c>
      <c r="BE331" s="143">
        <v>0</v>
      </c>
      <c r="BF331" s="143">
        <f>331</f>
        <v>331</v>
      </c>
      <c r="BH331" s="141">
        <f>G331*AO331</f>
        <v>0</v>
      </c>
      <c r="BI331" s="141">
        <f>G331*AP331</f>
        <v>0</v>
      </c>
      <c r="BJ331" s="141">
        <f>G331*H331</f>
        <v>0</v>
      </c>
    </row>
    <row r="332" spans="1:12" ht="12.75">
      <c r="A332" s="154"/>
      <c r="B332" s="154"/>
      <c r="C332" s="60" t="s">
        <v>654</v>
      </c>
      <c r="D332" s="61"/>
      <c r="E332" s="61"/>
      <c r="F332" s="154"/>
      <c r="G332" s="12">
        <v>3.7</v>
      </c>
      <c r="I332" s="154"/>
      <c r="J332" s="154"/>
      <c r="K332" s="154"/>
      <c r="L332" s="154"/>
    </row>
    <row r="333" spans="1:62" ht="12.75">
      <c r="A333" s="3" t="s">
        <v>136</v>
      </c>
      <c r="B333" s="3" t="s">
        <v>326</v>
      </c>
      <c r="C333" s="58" t="s">
        <v>655</v>
      </c>
      <c r="D333" s="59"/>
      <c r="E333" s="59"/>
      <c r="F333" s="3" t="s">
        <v>821</v>
      </c>
      <c r="G333" s="11">
        <v>1.5</v>
      </c>
      <c r="H333" s="141">
        <v>0</v>
      </c>
      <c r="I333" s="11">
        <f>G333*AO333</f>
        <v>0</v>
      </c>
      <c r="J333" s="11">
        <f>G333*AP333</f>
        <v>0</v>
      </c>
      <c r="K333" s="11">
        <f>G333*H333</f>
        <v>0</v>
      </c>
      <c r="L333" s="17" t="s">
        <v>845</v>
      </c>
      <c r="Z333" s="143">
        <f>IF(AQ333="5",BJ333,0)</f>
        <v>0</v>
      </c>
      <c r="AB333" s="143">
        <f>IF(AQ333="1",BH333,0)</f>
        <v>0</v>
      </c>
      <c r="AC333" s="143">
        <f>IF(AQ333="1",BI333,0)</f>
        <v>0</v>
      </c>
      <c r="AD333" s="143">
        <f>IF(AQ333="7",BH333,0)</f>
        <v>0</v>
      </c>
      <c r="AE333" s="143">
        <f>IF(AQ333="7",BI333,0)</f>
        <v>0</v>
      </c>
      <c r="AF333" s="143">
        <f>IF(AQ333="2",BH333,0)</f>
        <v>0</v>
      </c>
      <c r="AG333" s="143">
        <f>IF(AQ333="2",BI333,0)</f>
        <v>0</v>
      </c>
      <c r="AH333" s="143">
        <f>IF(AQ333="0",BJ333,0)</f>
        <v>0</v>
      </c>
      <c r="AI333" s="137" t="s">
        <v>864</v>
      </c>
      <c r="AJ333" s="141">
        <f>IF(AN333=0,K333,0)</f>
        <v>0</v>
      </c>
      <c r="AK333" s="141">
        <f>IF(AN333=15,K333,0)</f>
        <v>0</v>
      </c>
      <c r="AL333" s="141">
        <f>IF(AN333=21,K333,0)</f>
        <v>0</v>
      </c>
      <c r="AN333" s="143">
        <v>21</v>
      </c>
      <c r="AO333" s="143">
        <f>H333*0.310077519379845</f>
        <v>0</v>
      </c>
      <c r="AP333" s="143">
        <f>H333*(1-0.310077519379845)</f>
        <v>0</v>
      </c>
      <c r="AQ333" s="142" t="s">
        <v>7</v>
      </c>
      <c r="AV333" s="143">
        <f>AW333+AX333</f>
        <v>0</v>
      </c>
      <c r="AW333" s="143">
        <f>G333*AO333</f>
        <v>0</v>
      </c>
      <c r="AX333" s="143">
        <f>G333*AP333</f>
        <v>0</v>
      </c>
      <c r="AY333" s="144" t="s">
        <v>897</v>
      </c>
      <c r="AZ333" s="144" t="s">
        <v>919</v>
      </c>
      <c r="BA333" s="137" t="s">
        <v>960</v>
      </c>
      <c r="BC333" s="143">
        <f>AW333+AX333</f>
        <v>0</v>
      </c>
      <c r="BD333" s="143">
        <f>H333/(100-BE333)*100</f>
        <v>0</v>
      </c>
      <c r="BE333" s="143">
        <v>0</v>
      </c>
      <c r="BF333" s="143">
        <f>333</f>
        <v>333</v>
      </c>
      <c r="BH333" s="141">
        <f>G333*AO333</f>
        <v>0</v>
      </c>
      <c r="BI333" s="141">
        <f>G333*AP333</f>
        <v>0</v>
      </c>
      <c r="BJ333" s="141">
        <f>G333*H333</f>
        <v>0</v>
      </c>
    </row>
    <row r="334" spans="1:12" ht="12.75">
      <c r="A334" s="154"/>
      <c r="B334" s="154"/>
      <c r="C334" s="60" t="s">
        <v>656</v>
      </c>
      <c r="D334" s="61"/>
      <c r="E334" s="61"/>
      <c r="F334" s="154"/>
      <c r="G334" s="12">
        <v>1.5</v>
      </c>
      <c r="I334" s="154"/>
      <c r="J334" s="154"/>
      <c r="K334" s="154"/>
      <c r="L334" s="154"/>
    </row>
    <row r="335" spans="1:62" ht="12.75">
      <c r="A335" s="3" t="s">
        <v>137</v>
      </c>
      <c r="B335" s="3" t="s">
        <v>317</v>
      </c>
      <c r="C335" s="58" t="s">
        <v>638</v>
      </c>
      <c r="D335" s="59"/>
      <c r="E335" s="59"/>
      <c r="F335" s="3" t="s">
        <v>821</v>
      </c>
      <c r="G335" s="11">
        <v>5.2</v>
      </c>
      <c r="H335" s="141">
        <v>0</v>
      </c>
      <c r="I335" s="11">
        <f>G335*AO335</f>
        <v>0</v>
      </c>
      <c r="J335" s="11">
        <f>G335*AP335</f>
        <v>0</v>
      </c>
      <c r="K335" s="11">
        <f>G335*H335</f>
        <v>0</v>
      </c>
      <c r="L335" s="17" t="s">
        <v>845</v>
      </c>
      <c r="Z335" s="143">
        <f>IF(AQ335="5",BJ335,0)</f>
        <v>0</v>
      </c>
      <c r="AB335" s="143">
        <f>IF(AQ335="1",BH335,0)</f>
        <v>0</v>
      </c>
      <c r="AC335" s="143">
        <f>IF(AQ335="1",BI335,0)</f>
        <v>0</v>
      </c>
      <c r="AD335" s="143">
        <f>IF(AQ335="7",BH335,0)</f>
        <v>0</v>
      </c>
      <c r="AE335" s="143">
        <f>IF(AQ335="7",BI335,0)</f>
        <v>0</v>
      </c>
      <c r="AF335" s="143">
        <f>IF(AQ335="2",BH335,0)</f>
        <v>0</v>
      </c>
      <c r="AG335" s="143">
        <f>IF(AQ335="2",BI335,0)</f>
        <v>0</v>
      </c>
      <c r="AH335" s="143">
        <f>IF(AQ335="0",BJ335,0)</f>
        <v>0</v>
      </c>
      <c r="AI335" s="137" t="s">
        <v>864</v>
      </c>
      <c r="AJ335" s="141">
        <f>IF(AN335=0,K335,0)</f>
        <v>0</v>
      </c>
      <c r="AK335" s="141">
        <f>IF(AN335=15,K335,0)</f>
        <v>0</v>
      </c>
      <c r="AL335" s="141">
        <f>IF(AN335=21,K335,0)</f>
        <v>0</v>
      </c>
      <c r="AN335" s="143">
        <v>21</v>
      </c>
      <c r="AO335" s="143">
        <f>H335*0</f>
        <v>0</v>
      </c>
      <c r="AP335" s="143">
        <f>H335*(1-0)</f>
        <v>0</v>
      </c>
      <c r="AQ335" s="142" t="s">
        <v>7</v>
      </c>
      <c r="AV335" s="143">
        <f>AW335+AX335</f>
        <v>0</v>
      </c>
      <c r="AW335" s="143">
        <f>G335*AO335</f>
        <v>0</v>
      </c>
      <c r="AX335" s="143">
        <f>G335*AP335</f>
        <v>0</v>
      </c>
      <c r="AY335" s="144" t="s">
        <v>897</v>
      </c>
      <c r="AZ335" s="144" t="s">
        <v>919</v>
      </c>
      <c r="BA335" s="137" t="s">
        <v>960</v>
      </c>
      <c r="BC335" s="143">
        <f>AW335+AX335</f>
        <v>0</v>
      </c>
      <c r="BD335" s="143">
        <f>H335/(100-BE335)*100</f>
        <v>0</v>
      </c>
      <c r="BE335" s="143">
        <v>0</v>
      </c>
      <c r="BF335" s="143">
        <f>335</f>
        <v>335</v>
      </c>
      <c r="BH335" s="141">
        <f>G335*AO335</f>
        <v>0</v>
      </c>
      <c r="BI335" s="141">
        <f>G335*AP335</f>
        <v>0</v>
      </c>
      <c r="BJ335" s="141">
        <f>G335*H335</f>
        <v>0</v>
      </c>
    </row>
    <row r="336" spans="1:12" ht="12.75">
      <c r="A336" s="154"/>
      <c r="B336" s="154"/>
      <c r="C336" s="60" t="s">
        <v>657</v>
      </c>
      <c r="D336" s="61"/>
      <c r="E336" s="61"/>
      <c r="F336" s="154"/>
      <c r="G336" s="12">
        <v>5.2</v>
      </c>
      <c r="I336" s="154"/>
      <c r="J336" s="154"/>
      <c r="K336" s="154"/>
      <c r="L336" s="154"/>
    </row>
    <row r="337" spans="1:47" ht="12.75">
      <c r="A337" s="2"/>
      <c r="B337" s="9" t="s">
        <v>327</v>
      </c>
      <c r="C337" s="56" t="s">
        <v>658</v>
      </c>
      <c r="D337" s="57"/>
      <c r="E337" s="57"/>
      <c r="F337" s="2" t="s">
        <v>6</v>
      </c>
      <c r="G337" s="2" t="s">
        <v>6</v>
      </c>
      <c r="H337" s="139" t="s">
        <v>6</v>
      </c>
      <c r="I337" s="23">
        <f>SUM(I338:I338)</f>
        <v>0</v>
      </c>
      <c r="J337" s="23">
        <f>SUM(J338:J338)</f>
        <v>0</v>
      </c>
      <c r="K337" s="23">
        <f>SUM(K338:K338)</f>
        <v>0</v>
      </c>
      <c r="L337" s="16"/>
      <c r="AI337" s="137" t="s">
        <v>864</v>
      </c>
      <c r="AS337" s="140">
        <f>SUM(AJ338:AJ338)</f>
        <v>0</v>
      </c>
      <c r="AT337" s="140">
        <f>SUM(AK338:AK338)</f>
        <v>0</v>
      </c>
      <c r="AU337" s="140">
        <f>SUM(AL338:AL338)</f>
        <v>0</v>
      </c>
    </row>
    <row r="338" spans="1:62" ht="12.75">
      <c r="A338" s="3" t="s">
        <v>138</v>
      </c>
      <c r="B338" s="3" t="s">
        <v>328</v>
      </c>
      <c r="C338" s="58" t="s">
        <v>659</v>
      </c>
      <c r="D338" s="59"/>
      <c r="E338" s="59"/>
      <c r="F338" s="3" t="s">
        <v>817</v>
      </c>
      <c r="G338" s="11">
        <v>10.5</v>
      </c>
      <c r="H338" s="141">
        <v>0</v>
      </c>
      <c r="I338" s="11">
        <f>G338*AO338</f>
        <v>0</v>
      </c>
      <c r="J338" s="11">
        <f>G338*AP338</f>
        <v>0</v>
      </c>
      <c r="K338" s="11">
        <f>G338*H338</f>
        <v>0</v>
      </c>
      <c r="L338" s="17" t="s">
        <v>845</v>
      </c>
      <c r="Z338" s="143">
        <f>IF(AQ338="5",BJ338,0)</f>
        <v>0</v>
      </c>
      <c r="AB338" s="143">
        <f>IF(AQ338="1",BH338,0)</f>
        <v>0</v>
      </c>
      <c r="AC338" s="143">
        <f>IF(AQ338="1",BI338,0)</f>
        <v>0</v>
      </c>
      <c r="AD338" s="143">
        <f>IF(AQ338="7",BH338,0)</f>
        <v>0</v>
      </c>
      <c r="AE338" s="143">
        <f>IF(AQ338="7",BI338,0)</f>
        <v>0</v>
      </c>
      <c r="AF338" s="143">
        <f>IF(AQ338="2",BH338,0)</f>
        <v>0</v>
      </c>
      <c r="AG338" s="143">
        <f>IF(AQ338="2",BI338,0)</f>
        <v>0</v>
      </c>
      <c r="AH338" s="143">
        <f>IF(AQ338="0",BJ338,0)</f>
        <v>0</v>
      </c>
      <c r="AI338" s="137" t="s">
        <v>864</v>
      </c>
      <c r="AJ338" s="141">
        <f>IF(AN338=0,K338,0)</f>
        <v>0</v>
      </c>
      <c r="AK338" s="141">
        <f>IF(AN338=15,K338,0)</f>
        <v>0</v>
      </c>
      <c r="AL338" s="141">
        <f>IF(AN338=21,K338,0)</f>
        <v>0</v>
      </c>
      <c r="AN338" s="143">
        <v>21</v>
      </c>
      <c r="AO338" s="143">
        <f>H338*0</f>
        <v>0</v>
      </c>
      <c r="AP338" s="143">
        <f>H338*(1-0)</f>
        <v>0</v>
      </c>
      <c r="AQ338" s="142" t="s">
        <v>11</v>
      </c>
      <c r="AV338" s="143">
        <f>AW338+AX338</f>
        <v>0</v>
      </c>
      <c r="AW338" s="143">
        <f>G338*AO338</f>
        <v>0</v>
      </c>
      <c r="AX338" s="143">
        <f>G338*AP338</f>
        <v>0</v>
      </c>
      <c r="AY338" s="144" t="s">
        <v>898</v>
      </c>
      <c r="AZ338" s="144" t="s">
        <v>920</v>
      </c>
      <c r="BA338" s="137" t="s">
        <v>960</v>
      </c>
      <c r="BC338" s="143">
        <f>AW338+AX338</f>
        <v>0</v>
      </c>
      <c r="BD338" s="143">
        <f>H338/(100-BE338)*100</f>
        <v>0</v>
      </c>
      <c r="BE338" s="143">
        <v>0</v>
      </c>
      <c r="BF338" s="143">
        <f>338</f>
        <v>338</v>
      </c>
      <c r="BH338" s="141">
        <f>G338*AO338</f>
        <v>0</v>
      </c>
      <c r="BI338" s="141">
        <f>G338*AP338</f>
        <v>0</v>
      </c>
      <c r="BJ338" s="141">
        <f>G338*H338</f>
        <v>0</v>
      </c>
    </row>
    <row r="339" spans="1:12" ht="12.75">
      <c r="A339" s="154"/>
      <c r="B339" s="154"/>
      <c r="C339" s="60" t="s">
        <v>660</v>
      </c>
      <c r="D339" s="61"/>
      <c r="E339" s="61"/>
      <c r="F339" s="154"/>
      <c r="G339" s="12">
        <v>10.5</v>
      </c>
      <c r="I339" s="154"/>
      <c r="J339" s="154"/>
      <c r="K339" s="154"/>
      <c r="L339" s="154"/>
    </row>
    <row r="340" spans="1:47" ht="12.75">
      <c r="A340" s="2"/>
      <c r="B340" s="9"/>
      <c r="C340" s="56" t="s">
        <v>510</v>
      </c>
      <c r="D340" s="57"/>
      <c r="E340" s="57"/>
      <c r="F340" s="2" t="s">
        <v>6</v>
      </c>
      <c r="G340" s="2" t="s">
        <v>6</v>
      </c>
      <c r="H340" s="139" t="s">
        <v>6</v>
      </c>
      <c r="I340" s="23">
        <f>SUM(I341:I383)</f>
        <v>0</v>
      </c>
      <c r="J340" s="23">
        <f>SUM(J341:J383)</f>
        <v>0</v>
      </c>
      <c r="K340" s="23">
        <f>SUM(K341:K383)</f>
        <v>0</v>
      </c>
      <c r="L340" s="16"/>
      <c r="AI340" s="137" t="s">
        <v>864</v>
      </c>
      <c r="AS340" s="140">
        <f>SUM(AJ341:AJ383)</f>
        <v>0</v>
      </c>
      <c r="AT340" s="140">
        <f>SUM(AK341:AK383)</f>
        <v>0</v>
      </c>
      <c r="AU340" s="140">
        <f>SUM(AL341:AL383)</f>
        <v>0</v>
      </c>
    </row>
    <row r="341" spans="1:62" ht="12.75">
      <c r="A341" s="5" t="s">
        <v>139</v>
      </c>
      <c r="B341" s="5" t="s">
        <v>329</v>
      </c>
      <c r="C341" s="64" t="s">
        <v>661</v>
      </c>
      <c r="D341" s="65"/>
      <c r="E341" s="65"/>
      <c r="F341" s="5" t="s">
        <v>816</v>
      </c>
      <c r="G341" s="13">
        <v>1</v>
      </c>
      <c r="H341" s="146">
        <v>0</v>
      </c>
      <c r="I341" s="13">
        <f>G341*AO341</f>
        <v>0</v>
      </c>
      <c r="J341" s="13">
        <f>G341*AP341</f>
        <v>0</v>
      </c>
      <c r="K341" s="13">
        <f>G341*H341</f>
        <v>0</v>
      </c>
      <c r="L341" s="19" t="s">
        <v>845</v>
      </c>
      <c r="Z341" s="143">
        <f>IF(AQ341="5",BJ341,0)</f>
        <v>0</v>
      </c>
      <c r="AB341" s="143">
        <f>IF(AQ341="1",BH341,0)</f>
        <v>0</v>
      </c>
      <c r="AC341" s="143">
        <f>IF(AQ341="1",BI341,0)</f>
        <v>0</v>
      </c>
      <c r="AD341" s="143">
        <f>IF(AQ341="7",BH341,0)</f>
        <v>0</v>
      </c>
      <c r="AE341" s="143">
        <f>IF(AQ341="7",BI341,0)</f>
        <v>0</v>
      </c>
      <c r="AF341" s="143">
        <f>IF(AQ341="2",BH341,0)</f>
        <v>0</v>
      </c>
      <c r="AG341" s="143">
        <f>IF(AQ341="2",BI341,0)</f>
        <v>0</v>
      </c>
      <c r="AH341" s="143">
        <f>IF(AQ341="0",BJ341,0)</f>
        <v>0</v>
      </c>
      <c r="AI341" s="137" t="s">
        <v>864</v>
      </c>
      <c r="AJ341" s="146">
        <f>IF(AN341=0,K341,0)</f>
        <v>0</v>
      </c>
      <c r="AK341" s="146">
        <f>IF(AN341=15,K341,0)</f>
        <v>0</v>
      </c>
      <c r="AL341" s="146">
        <f>IF(AN341=21,K341,0)</f>
        <v>0</v>
      </c>
      <c r="AN341" s="143">
        <v>21</v>
      </c>
      <c r="AO341" s="143">
        <f>H341*1</f>
        <v>0</v>
      </c>
      <c r="AP341" s="143">
        <f>H341*(1-1)</f>
        <v>0</v>
      </c>
      <c r="AQ341" s="147" t="s">
        <v>882</v>
      </c>
      <c r="AV341" s="143">
        <f>AW341+AX341</f>
        <v>0</v>
      </c>
      <c r="AW341" s="143">
        <f>G341*AO341</f>
        <v>0</v>
      </c>
      <c r="AX341" s="143">
        <f>G341*AP341</f>
        <v>0</v>
      </c>
      <c r="AY341" s="144" t="s">
        <v>892</v>
      </c>
      <c r="AZ341" s="144" t="s">
        <v>921</v>
      </c>
      <c r="BA341" s="137" t="s">
        <v>960</v>
      </c>
      <c r="BC341" s="143">
        <f>AW341+AX341</f>
        <v>0</v>
      </c>
      <c r="BD341" s="143">
        <f>H341/(100-BE341)*100</f>
        <v>0</v>
      </c>
      <c r="BE341" s="143">
        <v>0</v>
      </c>
      <c r="BF341" s="143">
        <f>341</f>
        <v>341</v>
      </c>
      <c r="BH341" s="146">
        <f>G341*AO341</f>
        <v>0</v>
      </c>
      <c r="BI341" s="146">
        <f>G341*AP341</f>
        <v>0</v>
      </c>
      <c r="BJ341" s="146">
        <f>G341*H341</f>
        <v>0</v>
      </c>
    </row>
    <row r="342" spans="1:12" ht="12.75">
      <c r="A342" s="154"/>
      <c r="B342" s="154"/>
      <c r="C342" s="60" t="s">
        <v>495</v>
      </c>
      <c r="D342" s="61"/>
      <c r="E342" s="61"/>
      <c r="F342" s="154"/>
      <c r="G342" s="12">
        <v>1</v>
      </c>
      <c r="I342" s="154"/>
      <c r="J342" s="154"/>
      <c r="K342" s="154"/>
      <c r="L342" s="154"/>
    </row>
    <row r="343" spans="1:62" ht="12.75">
      <c r="A343" s="5" t="s">
        <v>140</v>
      </c>
      <c r="B343" s="5" t="s">
        <v>329</v>
      </c>
      <c r="C343" s="64" t="s">
        <v>662</v>
      </c>
      <c r="D343" s="65"/>
      <c r="E343" s="65"/>
      <c r="F343" s="5" t="s">
        <v>816</v>
      </c>
      <c r="G343" s="13">
        <v>3</v>
      </c>
      <c r="H343" s="146">
        <v>0</v>
      </c>
      <c r="I343" s="13">
        <f>G343*AO343</f>
        <v>0</v>
      </c>
      <c r="J343" s="13">
        <f>G343*AP343</f>
        <v>0</v>
      </c>
      <c r="K343" s="13">
        <f>G343*H343</f>
        <v>0</v>
      </c>
      <c r="L343" s="19" t="s">
        <v>845</v>
      </c>
      <c r="Z343" s="143">
        <f>IF(AQ343="5",BJ343,0)</f>
        <v>0</v>
      </c>
      <c r="AB343" s="143">
        <f>IF(AQ343="1",BH343,0)</f>
        <v>0</v>
      </c>
      <c r="AC343" s="143">
        <f>IF(AQ343="1",BI343,0)</f>
        <v>0</v>
      </c>
      <c r="AD343" s="143">
        <f>IF(AQ343="7",BH343,0)</f>
        <v>0</v>
      </c>
      <c r="AE343" s="143">
        <f>IF(AQ343="7",BI343,0)</f>
        <v>0</v>
      </c>
      <c r="AF343" s="143">
        <f>IF(AQ343="2",BH343,0)</f>
        <v>0</v>
      </c>
      <c r="AG343" s="143">
        <f>IF(AQ343="2",BI343,0)</f>
        <v>0</v>
      </c>
      <c r="AH343" s="143">
        <f>IF(AQ343="0",BJ343,0)</f>
        <v>0</v>
      </c>
      <c r="AI343" s="137" t="s">
        <v>864</v>
      </c>
      <c r="AJ343" s="146">
        <f>IF(AN343=0,K343,0)</f>
        <v>0</v>
      </c>
      <c r="AK343" s="146">
        <f>IF(AN343=15,K343,0)</f>
        <v>0</v>
      </c>
      <c r="AL343" s="146">
        <f>IF(AN343=21,K343,0)</f>
        <v>0</v>
      </c>
      <c r="AN343" s="143">
        <v>21</v>
      </c>
      <c r="AO343" s="143">
        <f>H343*1</f>
        <v>0</v>
      </c>
      <c r="AP343" s="143">
        <f>H343*(1-1)</f>
        <v>0</v>
      </c>
      <c r="AQ343" s="147" t="s">
        <v>882</v>
      </c>
      <c r="AV343" s="143">
        <f>AW343+AX343</f>
        <v>0</v>
      </c>
      <c r="AW343" s="143">
        <f>G343*AO343</f>
        <v>0</v>
      </c>
      <c r="AX343" s="143">
        <f>G343*AP343</f>
        <v>0</v>
      </c>
      <c r="AY343" s="144" t="s">
        <v>892</v>
      </c>
      <c r="AZ343" s="144" t="s">
        <v>921</v>
      </c>
      <c r="BA343" s="137" t="s">
        <v>960</v>
      </c>
      <c r="BC343" s="143">
        <f>AW343+AX343</f>
        <v>0</v>
      </c>
      <c r="BD343" s="143">
        <f>H343/(100-BE343)*100</f>
        <v>0</v>
      </c>
      <c r="BE343" s="143">
        <v>0</v>
      </c>
      <c r="BF343" s="143">
        <f>343</f>
        <v>343</v>
      </c>
      <c r="BH343" s="146">
        <f>G343*AO343</f>
        <v>0</v>
      </c>
      <c r="BI343" s="146">
        <f>G343*AP343</f>
        <v>0</v>
      </c>
      <c r="BJ343" s="146">
        <f>G343*H343</f>
        <v>0</v>
      </c>
    </row>
    <row r="344" spans="1:12" ht="12.75">
      <c r="A344" s="154"/>
      <c r="B344" s="154"/>
      <c r="C344" s="60" t="s">
        <v>598</v>
      </c>
      <c r="D344" s="61"/>
      <c r="E344" s="61"/>
      <c r="F344" s="154"/>
      <c r="G344" s="12">
        <v>3</v>
      </c>
      <c r="I344" s="154"/>
      <c r="J344" s="154"/>
      <c r="K344" s="154"/>
      <c r="L344" s="154"/>
    </row>
    <row r="345" spans="1:62" ht="12.75">
      <c r="A345" s="5" t="s">
        <v>141</v>
      </c>
      <c r="B345" s="5" t="s">
        <v>330</v>
      </c>
      <c r="C345" s="64" t="s">
        <v>663</v>
      </c>
      <c r="D345" s="65"/>
      <c r="E345" s="65"/>
      <c r="F345" s="5" t="s">
        <v>816</v>
      </c>
      <c r="G345" s="13">
        <v>1</v>
      </c>
      <c r="H345" s="146">
        <v>0</v>
      </c>
      <c r="I345" s="13">
        <f>G345*AO345</f>
        <v>0</v>
      </c>
      <c r="J345" s="13">
        <f>G345*AP345</f>
        <v>0</v>
      </c>
      <c r="K345" s="13">
        <f>G345*H345</f>
        <v>0</v>
      </c>
      <c r="L345" s="19" t="s">
        <v>845</v>
      </c>
      <c r="Z345" s="143">
        <f>IF(AQ345="5",BJ345,0)</f>
        <v>0</v>
      </c>
      <c r="AB345" s="143">
        <f>IF(AQ345="1",BH345,0)</f>
        <v>0</v>
      </c>
      <c r="AC345" s="143">
        <f>IF(AQ345="1",BI345,0)</f>
        <v>0</v>
      </c>
      <c r="AD345" s="143">
        <f>IF(AQ345="7",BH345,0)</f>
        <v>0</v>
      </c>
      <c r="AE345" s="143">
        <f>IF(AQ345="7",BI345,0)</f>
        <v>0</v>
      </c>
      <c r="AF345" s="143">
        <f>IF(AQ345="2",BH345,0)</f>
        <v>0</v>
      </c>
      <c r="AG345" s="143">
        <f>IF(AQ345="2",BI345,0)</f>
        <v>0</v>
      </c>
      <c r="AH345" s="143">
        <f>IF(AQ345="0",BJ345,0)</f>
        <v>0</v>
      </c>
      <c r="AI345" s="137" t="s">
        <v>864</v>
      </c>
      <c r="AJ345" s="146">
        <f>IF(AN345=0,K345,0)</f>
        <v>0</v>
      </c>
      <c r="AK345" s="146">
        <f>IF(AN345=15,K345,0)</f>
        <v>0</v>
      </c>
      <c r="AL345" s="146">
        <f>IF(AN345=21,K345,0)</f>
        <v>0</v>
      </c>
      <c r="AN345" s="143">
        <v>21</v>
      </c>
      <c r="AO345" s="143">
        <f>H345*1</f>
        <v>0</v>
      </c>
      <c r="AP345" s="143">
        <f>H345*(1-1)</f>
        <v>0</v>
      </c>
      <c r="AQ345" s="147" t="s">
        <v>882</v>
      </c>
      <c r="AV345" s="143">
        <f>AW345+AX345</f>
        <v>0</v>
      </c>
      <c r="AW345" s="143">
        <f>G345*AO345</f>
        <v>0</v>
      </c>
      <c r="AX345" s="143">
        <f>G345*AP345</f>
        <v>0</v>
      </c>
      <c r="AY345" s="144" t="s">
        <v>892</v>
      </c>
      <c r="AZ345" s="144" t="s">
        <v>921</v>
      </c>
      <c r="BA345" s="137" t="s">
        <v>960</v>
      </c>
      <c r="BC345" s="143">
        <f>AW345+AX345</f>
        <v>0</v>
      </c>
      <c r="BD345" s="143">
        <f>H345/(100-BE345)*100</f>
        <v>0</v>
      </c>
      <c r="BE345" s="143">
        <v>0</v>
      </c>
      <c r="BF345" s="143">
        <f>345</f>
        <v>345</v>
      </c>
      <c r="BH345" s="146">
        <f>G345*AO345</f>
        <v>0</v>
      </c>
      <c r="BI345" s="146">
        <f>G345*AP345</f>
        <v>0</v>
      </c>
      <c r="BJ345" s="146">
        <f>G345*H345</f>
        <v>0</v>
      </c>
    </row>
    <row r="346" spans="1:12" ht="12.75">
      <c r="A346" s="154"/>
      <c r="B346" s="154"/>
      <c r="C346" s="60" t="s">
        <v>495</v>
      </c>
      <c r="D346" s="61"/>
      <c r="E346" s="61"/>
      <c r="F346" s="154"/>
      <c r="G346" s="12">
        <v>1</v>
      </c>
      <c r="I346" s="154"/>
      <c r="J346" s="154"/>
      <c r="K346" s="154"/>
      <c r="L346" s="154"/>
    </row>
    <row r="347" spans="1:62" ht="12.75">
      <c r="A347" s="5" t="s">
        <v>142</v>
      </c>
      <c r="B347" s="5" t="s">
        <v>331</v>
      </c>
      <c r="C347" s="64" t="s">
        <v>664</v>
      </c>
      <c r="D347" s="65"/>
      <c r="E347" s="65"/>
      <c r="F347" s="5" t="s">
        <v>816</v>
      </c>
      <c r="G347" s="13">
        <v>2</v>
      </c>
      <c r="H347" s="146">
        <v>0</v>
      </c>
      <c r="I347" s="13">
        <f>G347*AO347</f>
        <v>0</v>
      </c>
      <c r="J347" s="13">
        <f>G347*AP347</f>
        <v>0</v>
      </c>
      <c r="K347" s="13">
        <f>G347*H347</f>
        <v>0</v>
      </c>
      <c r="L347" s="19" t="s">
        <v>845</v>
      </c>
      <c r="Z347" s="143">
        <f>IF(AQ347="5",BJ347,0)</f>
        <v>0</v>
      </c>
      <c r="AB347" s="143">
        <f>IF(AQ347="1",BH347,0)</f>
        <v>0</v>
      </c>
      <c r="AC347" s="143">
        <f>IF(AQ347="1",BI347,0)</f>
        <v>0</v>
      </c>
      <c r="AD347" s="143">
        <f>IF(AQ347="7",BH347,0)</f>
        <v>0</v>
      </c>
      <c r="AE347" s="143">
        <f>IF(AQ347="7",BI347,0)</f>
        <v>0</v>
      </c>
      <c r="AF347" s="143">
        <f>IF(AQ347="2",BH347,0)</f>
        <v>0</v>
      </c>
      <c r="AG347" s="143">
        <f>IF(AQ347="2",BI347,0)</f>
        <v>0</v>
      </c>
      <c r="AH347" s="143">
        <f>IF(AQ347="0",BJ347,0)</f>
        <v>0</v>
      </c>
      <c r="AI347" s="137" t="s">
        <v>864</v>
      </c>
      <c r="AJ347" s="146">
        <f>IF(AN347=0,K347,0)</f>
        <v>0</v>
      </c>
      <c r="AK347" s="146">
        <f>IF(AN347=15,K347,0)</f>
        <v>0</v>
      </c>
      <c r="AL347" s="146">
        <f>IF(AN347=21,K347,0)</f>
        <v>0</v>
      </c>
      <c r="AN347" s="143">
        <v>21</v>
      </c>
      <c r="AO347" s="143">
        <f>H347*1</f>
        <v>0</v>
      </c>
      <c r="AP347" s="143">
        <f>H347*(1-1)</f>
        <v>0</v>
      </c>
      <c r="AQ347" s="147" t="s">
        <v>882</v>
      </c>
      <c r="AV347" s="143">
        <f>AW347+AX347</f>
        <v>0</v>
      </c>
      <c r="AW347" s="143">
        <f>G347*AO347</f>
        <v>0</v>
      </c>
      <c r="AX347" s="143">
        <f>G347*AP347</f>
        <v>0</v>
      </c>
      <c r="AY347" s="144" t="s">
        <v>892</v>
      </c>
      <c r="AZ347" s="144" t="s">
        <v>921</v>
      </c>
      <c r="BA347" s="137" t="s">
        <v>960</v>
      </c>
      <c r="BC347" s="143">
        <f>AW347+AX347</f>
        <v>0</v>
      </c>
      <c r="BD347" s="143">
        <f>H347/(100-BE347)*100</f>
        <v>0</v>
      </c>
      <c r="BE347" s="143">
        <v>0</v>
      </c>
      <c r="BF347" s="143">
        <f>347</f>
        <v>347</v>
      </c>
      <c r="BH347" s="146">
        <f>G347*AO347</f>
        <v>0</v>
      </c>
      <c r="BI347" s="146">
        <f>G347*AP347</f>
        <v>0</v>
      </c>
      <c r="BJ347" s="146">
        <f>G347*H347</f>
        <v>0</v>
      </c>
    </row>
    <row r="348" spans="1:12" ht="12.75">
      <c r="A348" s="154"/>
      <c r="B348" s="154"/>
      <c r="C348" s="60" t="s">
        <v>561</v>
      </c>
      <c r="D348" s="61"/>
      <c r="E348" s="61"/>
      <c r="F348" s="154"/>
      <c r="G348" s="12">
        <v>2</v>
      </c>
      <c r="I348" s="154"/>
      <c r="J348" s="154"/>
      <c r="K348" s="154"/>
      <c r="L348" s="154"/>
    </row>
    <row r="349" spans="1:62" ht="12.75">
      <c r="A349" s="5" t="s">
        <v>143</v>
      </c>
      <c r="B349" s="5" t="s">
        <v>332</v>
      </c>
      <c r="C349" s="64" t="s">
        <v>665</v>
      </c>
      <c r="D349" s="65"/>
      <c r="E349" s="65"/>
      <c r="F349" s="5" t="s">
        <v>816</v>
      </c>
      <c r="G349" s="13">
        <v>1</v>
      </c>
      <c r="H349" s="146">
        <v>0</v>
      </c>
      <c r="I349" s="13">
        <f>G349*AO349</f>
        <v>0</v>
      </c>
      <c r="J349" s="13">
        <f>G349*AP349</f>
        <v>0</v>
      </c>
      <c r="K349" s="13">
        <f>G349*H349</f>
        <v>0</v>
      </c>
      <c r="L349" s="19" t="s">
        <v>845</v>
      </c>
      <c r="Z349" s="143">
        <f>IF(AQ349="5",BJ349,0)</f>
        <v>0</v>
      </c>
      <c r="AB349" s="143">
        <f>IF(AQ349="1",BH349,0)</f>
        <v>0</v>
      </c>
      <c r="AC349" s="143">
        <f>IF(AQ349="1",BI349,0)</f>
        <v>0</v>
      </c>
      <c r="AD349" s="143">
        <f>IF(AQ349="7",BH349,0)</f>
        <v>0</v>
      </c>
      <c r="AE349" s="143">
        <f>IF(AQ349="7",BI349,0)</f>
        <v>0</v>
      </c>
      <c r="AF349" s="143">
        <f>IF(AQ349="2",BH349,0)</f>
        <v>0</v>
      </c>
      <c r="AG349" s="143">
        <f>IF(AQ349="2",BI349,0)</f>
        <v>0</v>
      </c>
      <c r="AH349" s="143">
        <f>IF(AQ349="0",BJ349,0)</f>
        <v>0</v>
      </c>
      <c r="AI349" s="137" t="s">
        <v>864</v>
      </c>
      <c r="AJ349" s="146">
        <f>IF(AN349=0,K349,0)</f>
        <v>0</v>
      </c>
      <c r="AK349" s="146">
        <f>IF(AN349=15,K349,0)</f>
        <v>0</v>
      </c>
      <c r="AL349" s="146">
        <f>IF(AN349=21,K349,0)</f>
        <v>0</v>
      </c>
      <c r="AN349" s="143">
        <v>21</v>
      </c>
      <c r="AO349" s="143">
        <f>H349*1</f>
        <v>0</v>
      </c>
      <c r="AP349" s="143">
        <f>H349*(1-1)</f>
        <v>0</v>
      </c>
      <c r="AQ349" s="147" t="s">
        <v>882</v>
      </c>
      <c r="AV349" s="143">
        <f>AW349+AX349</f>
        <v>0</v>
      </c>
      <c r="AW349" s="143">
        <f>G349*AO349</f>
        <v>0</v>
      </c>
      <c r="AX349" s="143">
        <f>G349*AP349</f>
        <v>0</v>
      </c>
      <c r="AY349" s="144" t="s">
        <v>892</v>
      </c>
      <c r="AZ349" s="144" t="s">
        <v>921</v>
      </c>
      <c r="BA349" s="137" t="s">
        <v>960</v>
      </c>
      <c r="BC349" s="143">
        <f>AW349+AX349</f>
        <v>0</v>
      </c>
      <c r="BD349" s="143">
        <f>H349/(100-BE349)*100</f>
        <v>0</v>
      </c>
      <c r="BE349" s="143">
        <v>0</v>
      </c>
      <c r="BF349" s="143">
        <f>349</f>
        <v>349</v>
      </c>
      <c r="BH349" s="146">
        <f>G349*AO349</f>
        <v>0</v>
      </c>
      <c r="BI349" s="146">
        <f>G349*AP349</f>
        <v>0</v>
      </c>
      <c r="BJ349" s="146">
        <f>G349*H349</f>
        <v>0</v>
      </c>
    </row>
    <row r="350" spans="1:12" ht="12.75">
      <c r="A350" s="154"/>
      <c r="B350" s="154"/>
      <c r="C350" s="60" t="s">
        <v>495</v>
      </c>
      <c r="D350" s="61"/>
      <c r="E350" s="61"/>
      <c r="F350" s="154"/>
      <c r="G350" s="12">
        <v>1</v>
      </c>
      <c r="I350" s="154"/>
      <c r="J350" s="154"/>
      <c r="K350" s="154"/>
      <c r="L350" s="154"/>
    </row>
    <row r="351" spans="1:62" ht="12.75">
      <c r="A351" s="5" t="s">
        <v>144</v>
      </c>
      <c r="B351" s="5" t="s">
        <v>333</v>
      </c>
      <c r="C351" s="64" t="s">
        <v>666</v>
      </c>
      <c r="D351" s="65"/>
      <c r="E351" s="65"/>
      <c r="F351" s="5" t="s">
        <v>816</v>
      </c>
      <c r="G351" s="13">
        <v>1</v>
      </c>
      <c r="H351" s="146">
        <v>0</v>
      </c>
      <c r="I351" s="13">
        <f>G351*AO351</f>
        <v>0</v>
      </c>
      <c r="J351" s="13">
        <f>G351*AP351</f>
        <v>0</v>
      </c>
      <c r="K351" s="13">
        <f>G351*H351</f>
        <v>0</v>
      </c>
      <c r="L351" s="19" t="s">
        <v>845</v>
      </c>
      <c r="Z351" s="143">
        <f>IF(AQ351="5",BJ351,0)</f>
        <v>0</v>
      </c>
      <c r="AB351" s="143">
        <f>IF(AQ351="1",BH351,0)</f>
        <v>0</v>
      </c>
      <c r="AC351" s="143">
        <f>IF(AQ351="1",BI351,0)</f>
        <v>0</v>
      </c>
      <c r="AD351" s="143">
        <f>IF(AQ351="7",BH351,0)</f>
        <v>0</v>
      </c>
      <c r="AE351" s="143">
        <f>IF(AQ351="7",BI351,0)</f>
        <v>0</v>
      </c>
      <c r="AF351" s="143">
        <f>IF(AQ351="2",BH351,0)</f>
        <v>0</v>
      </c>
      <c r="AG351" s="143">
        <f>IF(AQ351="2",BI351,0)</f>
        <v>0</v>
      </c>
      <c r="AH351" s="143">
        <f>IF(AQ351="0",BJ351,0)</f>
        <v>0</v>
      </c>
      <c r="AI351" s="137" t="s">
        <v>864</v>
      </c>
      <c r="AJ351" s="146">
        <f>IF(AN351=0,K351,0)</f>
        <v>0</v>
      </c>
      <c r="AK351" s="146">
        <f>IF(AN351=15,K351,0)</f>
        <v>0</v>
      </c>
      <c r="AL351" s="146">
        <f>IF(AN351=21,K351,0)</f>
        <v>0</v>
      </c>
      <c r="AN351" s="143">
        <v>21</v>
      </c>
      <c r="AO351" s="143">
        <f>H351*1</f>
        <v>0</v>
      </c>
      <c r="AP351" s="143">
        <f>H351*(1-1)</f>
        <v>0</v>
      </c>
      <c r="AQ351" s="147" t="s">
        <v>882</v>
      </c>
      <c r="AV351" s="143">
        <f>AW351+AX351</f>
        <v>0</v>
      </c>
      <c r="AW351" s="143">
        <f>G351*AO351</f>
        <v>0</v>
      </c>
      <c r="AX351" s="143">
        <f>G351*AP351</f>
        <v>0</v>
      </c>
      <c r="AY351" s="144" t="s">
        <v>892</v>
      </c>
      <c r="AZ351" s="144" t="s">
        <v>921</v>
      </c>
      <c r="BA351" s="137" t="s">
        <v>960</v>
      </c>
      <c r="BC351" s="143">
        <f>AW351+AX351</f>
        <v>0</v>
      </c>
      <c r="BD351" s="143">
        <f>H351/(100-BE351)*100</f>
        <v>0</v>
      </c>
      <c r="BE351" s="143">
        <v>0</v>
      </c>
      <c r="BF351" s="143">
        <f>351</f>
        <v>351</v>
      </c>
      <c r="BH351" s="146">
        <f>G351*AO351</f>
        <v>0</v>
      </c>
      <c r="BI351" s="146">
        <f>G351*AP351</f>
        <v>0</v>
      </c>
      <c r="BJ351" s="146">
        <f>G351*H351</f>
        <v>0</v>
      </c>
    </row>
    <row r="352" spans="1:12" ht="12.75">
      <c r="A352" s="154"/>
      <c r="B352" s="154"/>
      <c r="C352" s="60" t="s">
        <v>495</v>
      </c>
      <c r="D352" s="61"/>
      <c r="E352" s="61"/>
      <c r="F352" s="154"/>
      <c r="G352" s="12">
        <v>1</v>
      </c>
      <c r="I352" s="154"/>
      <c r="J352" s="154"/>
      <c r="K352" s="154"/>
      <c r="L352" s="154"/>
    </row>
    <row r="353" spans="1:62" ht="12.75">
      <c r="A353" s="5" t="s">
        <v>145</v>
      </c>
      <c r="B353" s="5" t="s">
        <v>334</v>
      </c>
      <c r="C353" s="64" t="s">
        <v>667</v>
      </c>
      <c r="D353" s="65"/>
      <c r="E353" s="65"/>
      <c r="F353" s="5" t="s">
        <v>816</v>
      </c>
      <c r="G353" s="13">
        <v>5</v>
      </c>
      <c r="H353" s="146">
        <v>0</v>
      </c>
      <c r="I353" s="13">
        <f>G353*AO353</f>
        <v>0</v>
      </c>
      <c r="J353" s="13">
        <f>G353*AP353</f>
        <v>0</v>
      </c>
      <c r="K353" s="13">
        <f>G353*H353</f>
        <v>0</v>
      </c>
      <c r="L353" s="19" t="s">
        <v>845</v>
      </c>
      <c r="Z353" s="143">
        <f>IF(AQ353="5",BJ353,0)</f>
        <v>0</v>
      </c>
      <c r="AB353" s="143">
        <f>IF(AQ353="1",BH353,0)</f>
        <v>0</v>
      </c>
      <c r="AC353" s="143">
        <f>IF(AQ353="1",BI353,0)</f>
        <v>0</v>
      </c>
      <c r="AD353" s="143">
        <f>IF(AQ353="7",BH353,0)</f>
        <v>0</v>
      </c>
      <c r="AE353" s="143">
        <f>IF(AQ353="7",BI353,0)</f>
        <v>0</v>
      </c>
      <c r="AF353" s="143">
        <f>IF(AQ353="2",BH353,0)</f>
        <v>0</v>
      </c>
      <c r="AG353" s="143">
        <f>IF(AQ353="2",BI353,0)</f>
        <v>0</v>
      </c>
      <c r="AH353" s="143">
        <f>IF(AQ353="0",BJ353,0)</f>
        <v>0</v>
      </c>
      <c r="AI353" s="137" t="s">
        <v>864</v>
      </c>
      <c r="AJ353" s="146">
        <f>IF(AN353=0,K353,0)</f>
        <v>0</v>
      </c>
      <c r="AK353" s="146">
        <f>IF(AN353=15,K353,0)</f>
        <v>0</v>
      </c>
      <c r="AL353" s="146">
        <f>IF(AN353=21,K353,0)</f>
        <v>0</v>
      </c>
      <c r="AN353" s="143">
        <v>21</v>
      </c>
      <c r="AO353" s="143">
        <f>H353*1</f>
        <v>0</v>
      </c>
      <c r="AP353" s="143">
        <f>H353*(1-1)</f>
        <v>0</v>
      </c>
      <c r="AQ353" s="147" t="s">
        <v>882</v>
      </c>
      <c r="AV353" s="143">
        <f>AW353+AX353</f>
        <v>0</v>
      </c>
      <c r="AW353" s="143">
        <f>G353*AO353</f>
        <v>0</v>
      </c>
      <c r="AX353" s="143">
        <f>G353*AP353</f>
        <v>0</v>
      </c>
      <c r="AY353" s="144" t="s">
        <v>892</v>
      </c>
      <c r="AZ353" s="144" t="s">
        <v>921</v>
      </c>
      <c r="BA353" s="137" t="s">
        <v>960</v>
      </c>
      <c r="BC353" s="143">
        <f>AW353+AX353</f>
        <v>0</v>
      </c>
      <c r="BD353" s="143">
        <f>H353/(100-BE353)*100</f>
        <v>0</v>
      </c>
      <c r="BE353" s="143">
        <v>0</v>
      </c>
      <c r="BF353" s="143">
        <f>353</f>
        <v>353</v>
      </c>
      <c r="BH353" s="146">
        <f>G353*AO353</f>
        <v>0</v>
      </c>
      <c r="BI353" s="146">
        <f>G353*AP353</f>
        <v>0</v>
      </c>
      <c r="BJ353" s="146">
        <f>G353*H353</f>
        <v>0</v>
      </c>
    </row>
    <row r="354" spans="1:12" ht="12.75">
      <c r="A354" s="154"/>
      <c r="B354" s="154"/>
      <c r="C354" s="60" t="s">
        <v>668</v>
      </c>
      <c r="D354" s="61"/>
      <c r="E354" s="61"/>
      <c r="F354" s="154"/>
      <c r="G354" s="12">
        <v>5</v>
      </c>
      <c r="I354" s="154"/>
      <c r="J354" s="154"/>
      <c r="K354" s="154"/>
      <c r="L354" s="154"/>
    </row>
    <row r="355" spans="1:62" ht="12.75">
      <c r="A355" s="5" t="s">
        <v>146</v>
      </c>
      <c r="B355" s="5" t="s">
        <v>335</v>
      </c>
      <c r="C355" s="64" t="s">
        <v>669</v>
      </c>
      <c r="D355" s="65"/>
      <c r="E355" s="65"/>
      <c r="F355" s="5" t="s">
        <v>816</v>
      </c>
      <c r="G355" s="13">
        <v>1</v>
      </c>
      <c r="H355" s="146">
        <v>0</v>
      </c>
      <c r="I355" s="13">
        <f>G355*AO355</f>
        <v>0</v>
      </c>
      <c r="J355" s="13">
        <f>G355*AP355</f>
        <v>0</v>
      </c>
      <c r="K355" s="13">
        <f>G355*H355</f>
        <v>0</v>
      </c>
      <c r="L355" s="19" t="s">
        <v>845</v>
      </c>
      <c r="Z355" s="143">
        <f>IF(AQ355="5",BJ355,0)</f>
        <v>0</v>
      </c>
      <c r="AB355" s="143">
        <f>IF(AQ355="1",BH355,0)</f>
        <v>0</v>
      </c>
      <c r="AC355" s="143">
        <f>IF(AQ355="1",BI355,0)</f>
        <v>0</v>
      </c>
      <c r="AD355" s="143">
        <f>IF(AQ355="7",BH355,0)</f>
        <v>0</v>
      </c>
      <c r="AE355" s="143">
        <f>IF(AQ355="7",BI355,0)</f>
        <v>0</v>
      </c>
      <c r="AF355" s="143">
        <f>IF(AQ355="2",BH355,0)</f>
        <v>0</v>
      </c>
      <c r="AG355" s="143">
        <f>IF(AQ355="2",BI355,0)</f>
        <v>0</v>
      </c>
      <c r="AH355" s="143">
        <f>IF(AQ355="0",BJ355,0)</f>
        <v>0</v>
      </c>
      <c r="AI355" s="137" t="s">
        <v>864</v>
      </c>
      <c r="AJ355" s="146">
        <f>IF(AN355=0,K355,0)</f>
        <v>0</v>
      </c>
      <c r="AK355" s="146">
        <f>IF(AN355=15,K355,0)</f>
        <v>0</v>
      </c>
      <c r="AL355" s="146">
        <f>IF(AN355=21,K355,0)</f>
        <v>0</v>
      </c>
      <c r="AN355" s="143">
        <v>21</v>
      </c>
      <c r="AO355" s="143">
        <f>H355*1</f>
        <v>0</v>
      </c>
      <c r="AP355" s="143">
        <f>H355*(1-1)</f>
        <v>0</v>
      </c>
      <c r="AQ355" s="147" t="s">
        <v>882</v>
      </c>
      <c r="AV355" s="143">
        <f>AW355+AX355</f>
        <v>0</v>
      </c>
      <c r="AW355" s="143">
        <f>G355*AO355</f>
        <v>0</v>
      </c>
      <c r="AX355" s="143">
        <f>G355*AP355</f>
        <v>0</v>
      </c>
      <c r="AY355" s="144" t="s">
        <v>892</v>
      </c>
      <c r="AZ355" s="144" t="s">
        <v>921</v>
      </c>
      <c r="BA355" s="137" t="s">
        <v>960</v>
      </c>
      <c r="BC355" s="143">
        <f>AW355+AX355</f>
        <v>0</v>
      </c>
      <c r="BD355" s="143">
        <f>H355/(100-BE355)*100</f>
        <v>0</v>
      </c>
      <c r="BE355" s="143">
        <v>0</v>
      </c>
      <c r="BF355" s="143">
        <f>355</f>
        <v>355</v>
      </c>
      <c r="BH355" s="146">
        <f>G355*AO355</f>
        <v>0</v>
      </c>
      <c r="BI355" s="146">
        <f>G355*AP355</f>
        <v>0</v>
      </c>
      <c r="BJ355" s="146">
        <f>G355*H355</f>
        <v>0</v>
      </c>
    </row>
    <row r="356" spans="1:12" ht="12.75">
      <c r="A356" s="154"/>
      <c r="B356" s="154"/>
      <c r="C356" s="60" t="s">
        <v>495</v>
      </c>
      <c r="D356" s="61"/>
      <c r="E356" s="61"/>
      <c r="F356" s="154"/>
      <c r="G356" s="12">
        <v>1</v>
      </c>
      <c r="I356" s="154"/>
      <c r="J356" s="154"/>
      <c r="K356" s="154"/>
      <c r="L356" s="154"/>
    </row>
    <row r="357" spans="1:62" ht="12.75">
      <c r="A357" s="5" t="s">
        <v>147</v>
      </c>
      <c r="B357" s="5" t="s">
        <v>336</v>
      </c>
      <c r="C357" s="64" t="s">
        <v>670</v>
      </c>
      <c r="D357" s="65"/>
      <c r="E357" s="65"/>
      <c r="F357" s="5" t="s">
        <v>816</v>
      </c>
      <c r="G357" s="13">
        <v>1</v>
      </c>
      <c r="H357" s="146">
        <v>0</v>
      </c>
      <c r="I357" s="13">
        <f>G357*AO357</f>
        <v>0</v>
      </c>
      <c r="J357" s="13">
        <f>G357*AP357</f>
        <v>0</v>
      </c>
      <c r="K357" s="13">
        <f>G357*H357</f>
        <v>0</v>
      </c>
      <c r="L357" s="19" t="s">
        <v>845</v>
      </c>
      <c r="Z357" s="143">
        <f>IF(AQ357="5",BJ357,0)</f>
        <v>0</v>
      </c>
      <c r="AB357" s="143">
        <f>IF(AQ357="1",BH357,0)</f>
        <v>0</v>
      </c>
      <c r="AC357" s="143">
        <f>IF(AQ357="1",BI357,0)</f>
        <v>0</v>
      </c>
      <c r="AD357" s="143">
        <f>IF(AQ357="7",BH357,0)</f>
        <v>0</v>
      </c>
      <c r="AE357" s="143">
        <f>IF(AQ357="7",BI357,0)</f>
        <v>0</v>
      </c>
      <c r="AF357" s="143">
        <f>IF(AQ357="2",BH357,0)</f>
        <v>0</v>
      </c>
      <c r="AG357" s="143">
        <f>IF(AQ357="2",BI357,0)</f>
        <v>0</v>
      </c>
      <c r="AH357" s="143">
        <f>IF(AQ357="0",BJ357,0)</f>
        <v>0</v>
      </c>
      <c r="AI357" s="137" t="s">
        <v>864</v>
      </c>
      <c r="AJ357" s="146">
        <f>IF(AN357=0,K357,0)</f>
        <v>0</v>
      </c>
      <c r="AK357" s="146">
        <f>IF(AN357=15,K357,0)</f>
        <v>0</v>
      </c>
      <c r="AL357" s="146">
        <f>IF(AN357=21,K357,0)</f>
        <v>0</v>
      </c>
      <c r="AN357" s="143">
        <v>21</v>
      </c>
      <c r="AO357" s="143">
        <f>H357*1</f>
        <v>0</v>
      </c>
      <c r="AP357" s="143">
        <f>H357*(1-1)</f>
        <v>0</v>
      </c>
      <c r="AQ357" s="147" t="s">
        <v>882</v>
      </c>
      <c r="AV357" s="143">
        <f>AW357+AX357</f>
        <v>0</v>
      </c>
      <c r="AW357" s="143">
        <f>G357*AO357</f>
        <v>0</v>
      </c>
      <c r="AX357" s="143">
        <f>G357*AP357</f>
        <v>0</v>
      </c>
      <c r="AY357" s="144" t="s">
        <v>892</v>
      </c>
      <c r="AZ357" s="144" t="s">
        <v>921</v>
      </c>
      <c r="BA357" s="137" t="s">
        <v>960</v>
      </c>
      <c r="BC357" s="143">
        <f>AW357+AX357</f>
        <v>0</v>
      </c>
      <c r="BD357" s="143">
        <f>H357/(100-BE357)*100</f>
        <v>0</v>
      </c>
      <c r="BE357" s="143">
        <v>0</v>
      </c>
      <c r="BF357" s="143">
        <f>357</f>
        <v>357</v>
      </c>
      <c r="BH357" s="146">
        <f>G357*AO357</f>
        <v>0</v>
      </c>
      <c r="BI357" s="146">
        <f>G357*AP357</f>
        <v>0</v>
      </c>
      <c r="BJ357" s="146">
        <f>G357*H357</f>
        <v>0</v>
      </c>
    </row>
    <row r="358" spans="1:12" ht="12.75">
      <c r="A358" s="154"/>
      <c r="B358" s="154"/>
      <c r="C358" s="60" t="s">
        <v>495</v>
      </c>
      <c r="D358" s="61"/>
      <c r="E358" s="61"/>
      <c r="F358" s="154"/>
      <c r="G358" s="12">
        <v>1</v>
      </c>
      <c r="I358" s="154"/>
      <c r="J358" s="154"/>
      <c r="K358" s="154"/>
      <c r="L358" s="154"/>
    </row>
    <row r="359" spans="1:62" ht="12.75">
      <c r="A359" s="5" t="s">
        <v>148</v>
      </c>
      <c r="B359" s="5" t="s">
        <v>337</v>
      </c>
      <c r="C359" s="64" t="s">
        <v>671</v>
      </c>
      <c r="D359" s="65"/>
      <c r="E359" s="65"/>
      <c r="F359" s="5" t="s">
        <v>816</v>
      </c>
      <c r="G359" s="13">
        <v>1</v>
      </c>
      <c r="H359" s="146">
        <v>0</v>
      </c>
      <c r="I359" s="13">
        <f>G359*AO359</f>
        <v>0</v>
      </c>
      <c r="J359" s="13">
        <f>G359*AP359</f>
        <v>0</v>
      </c>
      <c r="K359" s="13">
        <f>G359*H359</f>
        <v>0</v>
      </c>
      <c r="L359" s="19" t="s">
        <v>845</v>
      </c>
      <c r="Z359" s="143">
        <f>IF(AQ359="5",BJ359,0)</f>
        <v>0</v>
      </c>
      <c r="AB359" s="143">
        <f>IF(AQ359="1",BH359,0)</f>
        <v>0</v>
      </c>
      <c r="AC359" s="143">
        <f>IF(AQ359="1",BI359,0)</f>
        <v>0</v>
      </c>
      <c r="AD359" s="143">
        <f>IF(AQ359="7",BH359,0)</f>
        <v>0</v>
      </c>
      <c r="AE359" s="143">
        <f>IF(AQ359="7",BI359,0)</f>
        <v>0</v>
      </c>
      <c r="AF359" s="143">
        <f>IF(AQ359="2",BH359,0)</f>
        <v>0</v>
      </c>
      <c r="AG359" s="143">
        <f>IF(AQ359="2",BI359,0)</f>
        <v>0</v>
      </c>
      <c r="AH359" s="143">
        <f>IF(AQ359="0",BJ359,0)</f>
        <v>0</v>
      </c>
      <c r="AI359" s="137" t="s">
        <v>864</v>
      </c>
      <c r="AJ359" s="146">
        <f>IF(AN359=0,K359,0)</f>
        <v>0</v>
      </c>
      <c r="AK359" s="146">
        <f>IF(AN359=15,K359,0)</f>
        <v>0</v>
      </c>
      <c r="AL359" s="146">
        <f>IF(AN359=21,K359,0)</f>
        <v>0</v>
      </c>
      <c r="AN359" s="143">
        <v>21</v>
      </c>
      <c r="AO359" s="143">
        <f>H359*1</f>
        <v>0</v>
      </c>
      <c r="AP359" s="143">
        <f>H359*(1-1)</f>
        <v>0</v>
      </c>
      <c r="AQ359" s="147" t="s">
        <v>882</v>
      </c>
      <c r="AV359" s="143">
        <f>AW359+AX359</f>
        <v>0</v>
      </c>
      <c r="AW359" s="143">
        <f>G359*AO359</f>
        <v>0</v>
      </c>
      <c r="AX359" s="143">
        <f>G359*AP359</f>
        <v>0</v>
      </c>
      <c r="AY359" s="144" t="s">
        <v>892</v>
      </c>
      <c r="AZ359" s="144" t="s">
        <v>921</v>
      </c>
      <c r="BA359" s="137" t="s">
        <v>960</v>
      </c>
      <c r="BC359" s="143">
        <f>AW359+AX359</f>
        <v>0</v>
      </c>
      <c r="BD359" s="143">
        <f>H359/(100-BE359)*100</f>
        <v>0</v>
      </c>
      <c r="BE359" s="143">
        <v>0</v>
      </c>
      <c r="BF359" s="143">
        <f>359</f>
        <v>359</v>
      </c>
      <c r="BH359" s="146">
        <f>G359*AO359</f>
        <v>0</v>
      </c>
      <c r="BI359" s="146">
        <f>G359*AP359</f>
        <v>0</v>
      </c>
      <c r="BJ359" s="146">
        <f>G359*H359</f>
        <v>0</v>
      </c>
    </row>
    <row r="360" spans="1:12" ht="12.75">
      <c r="A360" s="154"/>
      <c r="B360" s="154"/>
      <c r="C360" s="60" t="s">
        <v>495</v>
      </c>
      <c r="D360" s="61"/>
      <c r="E360" s="61"/>
      <c r="F360" s="154"/>
      <c r="G360" s="12">
        <v>1</v>
      </c>
      <c r="I360" s="154"/>
      <c r="J360" s="154"/>
      <c r="K360" s="154"/>
      <c r="L360" s="154"/>
    </row>
    <row r="361" spans="1:62" ht="12.75">
      <c r="A361" s="5" t="s">
        <v>149</v>
      </c>
      <c r="B361" s="5" t="s">
        <v>338</v>
      </c>
      <c r="C361" s="64" t="s">
        <v>672</v>
      </c>
      <c r="D361" s="65"/>
      <c r="E361" s="65"/>
      <c r="F361" s="5" t="s">
        <v>816</v>
      </c>
      <c r="G361" s="13">
        <v>4</v>
      </c>
      <c r="H361" s="146">
        <v>0</v>
      </c>
      <c r="I361" s="13">
        <f>G361*AO361</f>
        <v>0</v>
      </c>
      <c r="J361" s="13">
        <f>G361*AP361</f>
        <v>0</v>
      </c>
      <c r="K361" s="13">
        <f>G361*H361</f>
        <v>0</v>
      </c>
      <c r="L361" s="19" t="s">
        <v>845</v>
      </c>
      <c r="Z361" s="143">
        <f>IF(AQ361="5",BJ361,0)</f>
        <v>0</v>
      </c>
      <c r="AB361" s="143">
        <f>IF(AQ361="1",BH361,0)</f>
        <v>0</v>
      </c>
      <c r="AC361" s="143">
        <f>IF(AQ361="1",BI361,0)</f>
        <v>0</v>
      </c>
      <c r="AD361" s="143">
        <f>IF(AQ361="7",BH361,0)</f>
        <v>0</v>
      </c>
      <c r="AE361" s="143">
        <f>IF(AQ361="7",BI361,0)</f>
        <v>0</v>
      </c>
      <c r="AF361" s="143">
        <f>IF(AQ361="2",BH361,0)</f>
        <v>0</v>
      </c>
      <c r="AG361" s="143">
        <f>IF(AQ361="2",BI361,0)</f>
        <v>0</v>
      </c>
      <c r="AH361" s="143">
        <f>IF(AQ361="0",BJ361,0)</f>
        <v>0</v>
      </c>
      <c r="AI361" s="137" t="s">
        <v>864</v>
      </c>
      <c r="AJ361" s="146">
        <f>IF(AN361=0,K361,0)</f>
        <v>0</v>
      </c>
      <c r="AK361" s="146">
        <f>IF(AN361=15,K361,0)</f>
        <v>0</v>
      </c>
      <c r="AL361" s="146">
        <f>IF(AN361=21,K361,0)</f>
        <v>0</v>
      </c>
      <c r="AN361" s="143">
        <v>21</v>
      </c>
      <c r="AO361" s="143">
        <f>H361*1</f>
        <v>0</v>
      </c>
      <c r="AP361" s="143">
        <f>H361*(1-1)</f>
        <v>0</v>
      </c>
      <c r="AQ361" s="147" t="s">
        <v>882</v>
      </c>
      <c r="AV361" s="143">
        <f>AW361+AX361</f>
        <v>0</v>
      </c>
      <c r="AW361" s="143">
        <f>G361*AO361</f>
        <v>0</v>
      </c>
      <c r="AX361" s="143">
        <f>G361*AP361</f>
        <v>0</v>
      </c>
      <c r="AY361" s="144" t="s">
        <v>892</v>
      </c>
      <c r="AZ361" s="144" t="s">
        <v>921</v>
      </c>
      <c r="BA361" s="137" t="s">
        <v>960</v>
      </c>
      <c r="BC361" s="143">
        <f>AW361+AX361</f>
        <v>0</v>
      </c>
      <c r="BD361" s="143">
        <f>H361/(100-BE361)*100</f>
        <v>0</v>
      </c>
      <c r="BE361" s="143">
        <v>0</v>
      </c>
      <c r="BF361" s="143">
        <f>361</f>
        <v>361</v>
      </c>
      <c r="BH361" s="146">
        <f>G361*AO361</f>
        <v>0</v>
      </c>
      <c r="BI361" s="146">
        <f>G361*AP361</f>
        <v>0</v>
      </c>
      <c r="BJ361" s="146">
        <f>G361*H361</f>
        <v>0</v>
      </c>
    </row>
    <row r="362" spans="1:12" ht="12.75">
      <c r="A362" s="154"/>
      <c r="B362" s="154"/>
      <c r="C362" s="60" t="s">
        <v>563</v>
      </c>
      <c r="D362" s="61"/>
      <c r="E362" s="61"/>
      <c r="F362" s="154"/>
      <c r="G362" s="12">
        <v>4</v>
      </c>
      <c r="I362" s="154"/>
      <c r="J362" s="154"/>
      <c r="K362" s="154"/>
      <c r="L362" s="154"/>
    </row>
    <row r="363" spans="1:62" ht="12.75">
      <c r="A363" s="5" t="s">
        <v>150</v>
      </c>
      <c r="B363" s="5" t="s">
        <v>339</v>
      </c>
      <c r="C363" s="64" t="s">
        <v>673</v>
      </c>
      <c r="D363" s="65"/>
      <c r="E363" s="65"/>
      <c r="F363" s="5" t="s">
        <v>816</v>
      </c>
      <c r="G363" s="13">
        <v>4</v>
      </c>
      <c r="H363" s="146">
        <v>0</v>
      </c>
      <c r="I363" s="13">
        <f>G363*AO363</f>
        <v>0</v>
      </c>
      <c r="J363" s="13">
        <f>G363*AP363</f>
        <v>0</v>
      </c>
      <c r="K363" s="13">
        <f>G363*H363</f>
        <v>0</v>
      </c>
      <c r="L363" s="19" t="s">
        <v>845</v>
      </c>
      <c r="Z363" s="143">
        <f>IF(AQ363="5",BJ363,0)</f>
        <v>0</v>
      </c>
      <c r="AB363" s="143">
        <f>IF(AQ363="1",BH363,0)</f>
        <v>0</v>
      </c>
      <c r="AC363" s="143">
        <f>IF(AQ363="1",BI363,0)</f>
        <v>0</v>
      </c>
      <c r="AD363" s="143">
        <f>IF(AQ363="7",BH363,0)</f>
        <v>0</v>
      </c>
      <c r="AE363" s="143">
        <f>IF(AQ363="7",BI363,0)</f>
        <v>0</v>
      </c>
      <c r="AF363" s="143">
        <f>IF(AQ363="2",BH363,0)</f>
        <v>0</v>
      </c>
      <c r="AG363" s="143">
        <f>IF(AQ363="2",BI363,0)</f>
        <v>0</v>
      </c>
      <c r="AH363" s="143">
        <f>IF(AQ363="0",BJ363,0)</f>
        <v>0</v>
      </c>
      <c r="AI363" s="137" t="s">
        <v>864</v>
      </c>
      <c r="AJ363" s="146">
        <f>IF(AN363=0,K363,0)</f>
        <v>0</v>
      </c>
      <c r="AK363" s="146">
        <f>IF(AN363=15,K363,0)</f>
        <v>0</v>
      </c>
      <c r="AL363" s="146">
        <f>IF(AN363=21,K363,0)</f>
        <v>0</v>
      </c>
      <c r="AN363" s="143">
        <v>21</v>
      </c>
      <c r="AO363" s="143">
        <f>H363*1</f>
        <v>0</v>
      </c>
      <c r="AP363" s="143">
        <f>H363*(1-1)</f>
        <v>0</v>
      </c>
      <c r="AQ363" s="147" t="s">
        <v>882</v>
      </c>
      <c r="AV363" s="143">
        <f>AW363+AX363</f>
        <v>0</v>
      </c>
      <c r="AW363" s="143">
        <f>G363*AO363</f>
        <v>0</v>
      </c>
      <c r="AX363" s="143">
        <f>G363*AP363</f>
        <v>0</v>
      </c>
      <c r="AY363" s="144" t="s">
        <v>892</v>
      </c>
      <c r="AZ363" s="144" t="s">
        <v>921</v>
      </c>
      <c r="BA363" s="137" t="s">
        <v>960</v>
      </c>
      <c r="BC363" s="143">
        <f>AW363+AX363</f>
        <v>0</v>
      </c>
      <c r="BD363" s="143">
        <f>H363/(100-BE363)*100</f>
        <v>0</v>
      </c>
      <c r="BE363" s="143">
        <v>0</v>
      </c>
      <c r="BF363" s="143">
        <f>363</f>
        <v>363</v>
      </c>
      <c r="BH363" s="146">
        <f>G363*AO363</f>
        <v>0</v>
      </c>
      <c r="BI363" s="146">
        <f>G363*AP363</f>
        <v>0</v>
      </c>
      <c r="BJ363" s="146">
        <f>G363*H363</f>
        <v>0</v>
      </c>
    </row>
    <row r="364" spans="1:12" ht="12.75">
      <c r="A364" s="154"/>
      <c r="B364" s="154"/>
      <c r="C364" s="60" t="s">
        <v>563</v>
      </c>
      <c r="D364" s="61"/>
      <c r="E364" s="61"/>
      <c r="F364" s="154"/>
      <c r="G364" s="12">
        <v>4</v>
      </c>
      <c r="I364" s="154"/>
      <c r="J364" s="154"/>
      <c r="K364" s="154"/>
      <c r="L364" s="154"/>
    </row>
    <row r="365" spans="1:62" ht="12.75">
      <c r="A365" s="5" t="s">
        <v>151</v>
      </c>
      <c r="B365" s="5" t="s">
        <v>340</v>
      </c>
      <c r="C365" s="64" t="s">
        <v>674</v>
      </c>
      <c r="D365" s="65"/>
      <c r="E365" s="65"/>
      <c r="F365" s="5" t="s">
        <v>816</v>
      </c>
      <c r="G365" s="13">
        <v>6</v>
      </c>
      <c r="H365" s="146">
        <v>0</v>
      </c>
      <c r="I365" s="13">
        <f>G365*AO365</f>
        <v>0</v>
      </c>
      <c r="J365" s="13">
        <f>G365*AP365</f>
        <v>0</v>
      </c>
      <c r="K365" s="13">
        <f>G365*H365</f>
        <v>0</v>
      </c>
      <c r="L365" s="19" t="s">
        <v>845</v>
      </c>
      <c r="Z365" s="143">
        <f>IF(AQ365="5",BJ365,0)</f>
        <v>0</v>
      </c>
      <c r="AB365" s="143">
        <f>IF(AQ365="1",BH365,0)</f>
        <v>0</v>
      </c>
      <c r="AC365" s="143">
        <f>IF(AQ365="1",BI365,0)</f>
        <v>0</v>
      </c>
      <c r="AD365" s="143">
        <f>IF(AQ365="7",BH365,0)</f>
        <v>0</v>
      </c>
      <c r="AE365" s="143">
        <f>IF(AQ365="7",BI365,0)</f>
        <v>0</v>
      </c>
      <c r="AF365" s="143">
        <f>IF(AQ365="2",BH365,0)</f>
        <v>0</v>
      </c>
      <c r="AG365" s="143">
        <f>IF(AQ365="2",BI365,0)</f>
        <v>0</v>
      </c>
      <c r="AH365" s="143">
        <f>IF(AQ365="0",BJ365,0)</f>
        <v>0</v>
      </c>
      <c r="AI365" s="137" t="s">
        <v>864</v>
      </c>
      <c r="AJ365" s="146">
        <f>IF(AN365=0,K365,0)</f>
        <v>0</v>
      </c>
      <c r="AK365" s="146">
        <f>IF(AN365=15,K365,0)</f>
        <v>0</v>
      </c>
      <c r="AL365" s="146">
        <f>IF(AN365=21,K365,0)</f>
        <v>0</v>
      </c>
      <c r="AN365" s="143">
        <v>21</v>
      </c>
      <c r="AO365" s="143">
        <f>H365*1</f>
        <v>0</v>
      </c>
      <c r="AP365" s="143">
        <f>H365*(1-1)</f>
        <v>0</v>
      </c>
      <c r="AQ365" s="147" t="s">
        <v>882</v>
      </c>
      <c r="AV365" s="143">
        <f>AW365+AX365</f>
        <v>0</v>
      </c>
      <c r="AW365" s="143">
        <f>G365*AO365</f>
        <v>0</v>
      </c>
      <c r="AX365" s="143">
        <f>G365*AP365</f>
        <v>0</v>
      </c>
      <c r="AY365" s="144" t="s">
        <v>892</v>
      </c>
      <c r="AZ365" s="144" t="s">
        <v>921</v>
      </c>
      <c r="BA365" s="137" t="s">
        <v>960</v>
      </c>
      <c r="BC365" s="143">
        <f>AW365+AX365</f>
        <v>0</v>
      </c>
      <c r="BD365" s="143">
        <f>H365/(100-BE365)*100</f>
        <v>0</v>
      </c>
      <c r="BE365" s="143">
        <v>0</v>
      </c>
      <c r="BF365" s="143">
        <f>365</f>
        <v>365</v>
      </c>
      <c r="BH365" s="146">
        <f>G365*AO365</f>
        <v>0</v>
      </c>
      <c r="BI365" s="146">
        <f>G365*AP365</f>
        <v>0</v>
      </c>
      <c r="BJ365" s="146">
        <f>G365*H365</f>
        <v>0</v>
      </c>
    </row>
    <row r="366" spans="1:12" ht="12.75">
      <c r="A366" s="154"/>
      <c r="B366" s="154"/>
      <c r="C366" s="60" t="s">
        <v>578</v>
      </c>
      <c r="D366" s="61"/>
      <c r="E366" s="61"/>
      <c r="F366" s="154"/>
      <c r="G366" s="12">
        <v>6</v>
      </c>
      <c r="I366" s="154"/>
      <c r="J366" s="154"/>
      <c r="K366" s="154"/>
      <c r="L366" s="154"/>
    </row>
    <row r="367" spans="1:62" ht="12.75">
      <c r="A367" s="5" t="s">
        <v>152</v>
      </c>
      <c r="B367" s="5" t="s">
        <v>341</v>
      </c>
      <c r="C367" s="64" t="s">
        <v>675</v>
      </c>
      <c r="D367" s="65"/>
      <c r="E367" s="65"/>
      <c r="F367" s="5" t="s">
        <v>816</v>
      </c>
      <c r="G367" s="13">
        <v>9</v>
      </c>
      <c r="H367" s="146">
        <v>0</v>
      </c>
      <c r="I367" s="13">
        <f>G367*AO367</f>
        <v>0</v>
      </c>
      <c r="J367" s="13">
        <f>G367*AP367</f>
        <v>0</v>
      </c>
      <c r="K367" s="13">
        <f>G367*H367</f>
        <v>0</v>
      </c>
      <c r="L367" s="19" t="s">
        <v>845</v>
      </c>
      <c r="Z367" s="143">
        <f>IF(AQ367="5",BJ367,0)</f>
        <v>0</v>
      </c>
      <c r="AB367" s="143">
        <f>IF(AQ367="1",BH367,0)</f>
        <v>0</v>
      </c>
      <c r="AC367" s="143">
        <f>IF(AQ367="1",BI367,0)</f>
        <v>0</v>
      </c>
      <c r="AD367" s="143">
        <f>IF(AQ367="7",BH367,0)</f>
        <v>0</v>
      </c>
      <c r="AE367" s="143">
        <f>IF(AQ367="7",BI367,0)</f>
        <v>0</v>
      </c>
      <c r="AF367" s="143">
        <f>IF(AQ367="2",BH367,0)</f>
        <v>0</v>
      </c>
      <c r="AG367" s="143">
        <f>IF(AQ367="2",BI367,0)</f>
        <v>0</v>
      </c>
      <c r="AH367" s="143">
        <f>IF(AQ367="0",BJ367,0)</f>
        <v>0</v>
      </c>
      <c r="AI367" s="137" t="s">
        <v>864</v>
      </c>
      <c r="AJ367" s="146">
        <f>IF(AN367=0,K367,0)</f>
        <v>0</v>
      </c>
      <c r="AK367" s="146">
        <f>IF(AN367=15,K367,0)</f>
        <v>0</v>
      </c>
      <c r="AL367" s="146">
        <f>IF(AN367=21,K367,0)</f>
        <v>0</v>
      </c>
      <c r="AN367" s="143">
        <v>21</v>
      </c>
      <c r="AO367" s="143">
        <f>H367*1</f>
        <v>0</v>
      </c>
      <c r="AP367" s="143">
        <f>H367*(1-1)</f>
        <v>0</v>
      </c>
      <c r="AQ367" s="147" t="s">
        <v>882</v>
      </c>
      <c r="AV367" s="143">
        <f>AW367+AX367</f>
        <v>0</v>
      </c>
      <c r="AW367" s="143">
        <f>G367*AO367</f>
        <v>0</v>
      </c>
      <c r="AX367" s="143">
        <f>G367*AP367</f>
        <v>0</v>
      </c>
      <c r="AY367" s="144" t="s">
        <v>892</v>
      </c>
      <c r="AZ367" s="144" t="s">
        <v>921</v>
      </c>
      <c r="BA367" s="137" t="s">
        <v>960</v>
      </c>
      <c r="BC367" s="143">
        <f>AW367+AX367</f>
        <v>0</v>
      </c>
      <c r="BD367" s="143">
        <f>H367/(100-BE367)*100</f>
        <v>0</v>
      </c>
      <c r="BE367" s="143">
        <v>0</v>
      </c>
      <c r="BF367" s="143">
        <f>367</f>
        <v>367</v>
      </c>
      <c r="BH367" s="146">
        <f>G367*AO367</f>
        <v>0</v>
      </c>
      <c r="BI367" s="146">
        <f>G367*AP367</f>
        <v>0</v>
      </c>
      <c r="BJ367" s="146">
        <f>G367*H367</f>
        <v>0</v>
      </c>
    </row>
    <row r="368" spans="1:12" ht="12.75">
      <c r="A368" s="154"/>
      <c r="B368" s="154"/>
      <c r="C368" s="60" t="s">
        <v>576</v>
      </c>
      <c r="D368" s="61"/>
      <c r="E368" s="61"/>
      <c r="F368" s="154"/>
      <c r="G368" s="12">
        <v>9</v>
      </c>
      <c r="I368" s="154"/>
      <c r="J368" s="154"/>
      <c r="K368" s="154"/>
      <c r="L368" s="154"/>
    </row>
    <row r="369" spans="1:62" ht="12.75">
      <c r="A369" s="5" t="s">
        <v>153</v>
      </c>
      <c r="B369" s="5" t="s">
        <v>342</v>
      </c>
      <c r="C369" s="64" t="s">
        <v>676</v>
      </c>
      <c r="D369" s="65"/>
      <c r="E369" s="65"/>
      <c r="F369" s="5" t="s">
        <v>816</v>
      </c>
      <c r="G369" s="13">
        <v>25</v>
      </c>
      <c r="H369" s="146">
        <v>0</v>
      </c>
      <c r="I369" s="13">
        <f>G369*AO369</f>
        <v>0</v>
      </c>
      <c r="J369" s="13">
        <f>G369*AP369</f>
        <v>0</v>
      </c>
      <c r="K369" s="13">
        <f>G369*H369</f>
        <v>0</v>
      </c>
      <c r="L369" s="19" t="s">
        <v>845</v>
      </c>
      <c r="Z369" s="143">
        <f>IF(AQ369="5",BJ369,0)</f>
        <v>0</v>
      </c>
      <c r="AB369" s="143">
        <f>IF(AQ369="1",BH369,0)</f>
        <v>0</v>
      </c>
      <c r="AC369" s="143">
        <f>IF(AQ369="1",BI369,0)</f>
        <v>0</v>
      </c>
      <c r="AD369" s="143">
        <f>IF(AQ369="7",BH369,0)</f>
        <v>0</v>
      </c>
      <c r="AE369" s="143">
        <f>IF(AQ369="7",BI369,0)</f>
        <v>0</v>
      </c>
      <c r="AF369" s="143">
        <f>IF(AQ369="2",BH369,0)</f>
        <v>0</v>
      </c>
      <c r="AG369" s="143">
        <f>IF(AQ369="2",BI369,0)</f>
        <v>0</v>
      </c>
      <c r="AH369" s="143">
        <f>IF(AQ369="0",BJ369,0)</f>
        <v>0</v>
      </c>
      <c r="AI369" s="137" t="s">
        <v>864</v>
      </c>
      <c r="AJ369" s="146">
        <f>IF(AN369=0,K369,0)</f>
        <v>0</v>
      </c>
      <c r="AK369" s="146">
        <f>IF(AN369=15,K369,0)</f>
        <v>0</v>
      </c>
      <c r="AL369" s="146">
        <f>IF(AN369=21,K369,0)</f>
        <v>0</v>
      </c>
      <c r="AN369" s="143">
        <v>21</v>
      </c>
      <c r="AO369" s="143">
        <f>H369*1</f>
        <v>0</v>
      </c>
      <c r="AP369" s="143">
        <f>H369*(1-1)</f>
        <v>0</v>
      </c>
      <c r="AQ369" s="147" t="s">
        <v>882</v>
      </c>
      <c r="AV369" s="143">
        <f>AW369+AX369</f>
        <v>0</v>
      </c>
      <c r="AW369" s="143">
        <f>G369*AO369</f>
        <v>0</v>
      </c>
      <c r="AX369" s="143">
        <f>G369*AP369</f>
        <v>0</v>
      </c>
      <c r="AY369" s="144" t="s">
        <v>892</v>
      </c>
      <c r="AZ369" s="144" t="s">
        <v>921</v>
      </c>
      <c r="BA369" s="137" t="s">
        <v>960</v>
      </c>
      <c r="BC369" s="143">
        <f>AW369+AX369</f>
        <v>0</v>
      </c>
      <c r="BD369" s="143">
        <f>H369/(100-BE369)*100</f>
        <v>0</v>
      </c>
      <c r="BE369" s="143">
        <v>0</v>
      </c>
      <c r="BF369" s="143">
        <f>369</f>
        <v>369</v>
      </c>
      <c r="BH369" s="146">
        <f>G369*AO369</f>
        <v>0</v>
      </c>
      <c r="BI369" s="146">
        <f>G369*AP369</f>
        <v>0</v>
      </c>
      <c r="BJ369" s="146">
        <f>G369*H369</f>
        <v>0</v>
      </c>
    </row>
    <row r="370" spans="1:12" ht="12.75">
      <c r="A370" s="154"/>
      <c r="B370" s="154"/>
      <c r="C370" s="60" t="s">
        <v>629</v>
      </c>
      <c r="D370" s="61"/>
      <c r="E370" s="61"/>
      <c r="F370" s="154"/>
      <c r="G370" s="12">
        <v>25</v>
      </c>
      <c r="I370" s="154"/>
      <c r="J370" s="154"/>
      <c r="K370" s="154"/>
      <c r="L370" s="154"/>
    </row>
    <row r="371" spans="1:62" ht="12.75">
      <c r="A371" s="5" t="s">
        <v>154</v>
      </c>
      <c r="B371" s="5" t="s">
        <v>343</v>
      </c>
      <c r="C371" s="64" t="s">
        <v>677</v>
      </c>
      <c r="D371" s="65"/>
      <c r="E371" s="65"/>
      <c r="F371" s="5" t="s">
        <v>816</v>
      </c>
      <c r="G371" s="13">
        <v>74</v>
      </c>
      <c r="H371" s="146">
        <v>0</v>
      </c>
      <c r="I371" s="13">
        <f>G371*AO371</f>
        <v>0</v>
      </c>
      <c r="J371" s="13">
        <f>G371*AP371</f>
        <v>0</v>
      </c>
      <c r="K371" s="13">
        <f>G371*H371</f>
        <v>0</v>
      </c>
      <c r="L371" s="19" t="s">
        <v>845</v>
      </c>
      <c r="Z371" s="143">
        <f>IF(AQ371="5",BJ371,0)</f>
        <v>0</v>
      </c>
      <c r="AB371" s="143">
        <f>IF(AQ371="1",BH371,0)</f>
        <v>0</v>
      </c>
      <c r="AC371" s="143">
        <f>IF(AQ371="1",BI371,0)</f>
        <v>0</v>
      </c>
      <c r="AD371" s="143">
        <f>IF(AQ371="7",BH371,0)</f>
        <v>0</v>
      </c>
      <c r="AE371" s="143">
        <f>IF(AQ371="7",BI371,0)</f>
        <v>0</v>
      </c>
      <c r="AF371" s="143">
        <f>IF(AQ371="2",BH371,0)</f>
        <v>0</v>
      </c>
      <c r="AG371" s="143">
        <f>IF(AQ371="2",BI371,0)</f>
        <v>0</v>
      </c>
      <c r="AH371" s="143">
        <f>IF(AQ371="0",BJ371,0)</f>
        <v>0</v>
      </c>
      <c r="AI371" s="137" t="s">
        <v>864</v>
      </c>
      <c r="AJ371" s="146">
        <f>IF(AN371=0,K371,0)</f>
        <v>0</v>
      </c>
      <c r="AK371" s="146">
        <f>IF(AN371=15,K371,0)</f>
        <v>0</v>
      </c>
      <c r="AL371" s="146">
        <f>IF(AN371=21,K371,0)</f>
        <v>0</v>
      </c>
      <c r="AN371" s="143">
        <v>21</v>
      </c>
      <c r="AO371" s="143">
        <f>H371*1</f>
        <v>0</v>
      </c>
      <c r="AP371" s="143">
        <f>H371*(1-1)</f>
        <v>0</v>
      </c>
      <c r="AQ371" s="147" t="s">
        <v>882</v>
      </c>
      <c r="AV371" s="143">
        <f>AW371+AX371</f>
        <v>0</v>
      </c>
      <c r="AW371" s="143">
        <f>G371*AO371</f>
        <v>0</v>
      </c>
      <c r="AX371" s="143">
        <f>G371*AP371</f>
        <v>0</v>
      </c>
      <c r="AY371" s="144" t="s">
        <v>892</v>
      </c>
      <c r="AZ371" s="144" t="s">
        <v>921</v>
      </c>
      <c r="BA371" s="137" t="s">
        <v>960</v>
      </c>
      <c r="BC371" s="143">
        <f>AW371+AX371</f>
        <v>0</v>
      </c>
      <c r="BD371" s="143">
        <f>H371/(100-BE371)*100</f>
        <v>0</v>
      </c>
      <c r="BE371" s="143">
        <v>0</v>
      </c>
      <c r="BF371" s="143">
        <f>371</f>
        <v>371</v>
      </c>
      <c r="BH371" s="146">
        <f>G371*AO371</f>
        <v>0</v>
      </c>
      <c r="BI371" s="146">
        <f>G371*AP371</f>
        <v>0</v>
      </c>
      <c r="BJ371" s="146">
        <f>G371*H371</f>
        <v>0</v>
      </c>
    </row>
    <row r="372" spans="1:12" ht="12.75">
      <c r="A372" s="154"/>
      <c r="B372" s="154"/>
      <c r="C372" s="60" t="s">
        <v>678</v>
      </c>
      <c r="D372" s="61"/>
      <c r="E372" s="61"/>
      <c r="F372" s="154"/>
      <c r="G372" s="12">
        <v>74</v>
      </c>
      <c r="I372" s="154"/>
      <c r="J372" s="154"/>
      <c r="K372" s="154"/>
      <c r="L372" s="154"/>
    </row>
    <row r="373" spans="1:62" ht="12.75">
      <c r="A373" s="5" t="s">
        <v>155</v>
      </c>
      <c r="B373" s="5" t="s">
        <v>344</v>
      </c>
      <c r="C373" s="64" t="s">
        <v>679</v>
      </c>
      <c r="D373" s="65"/>
      <c r="E373" s="65"/>
      <c r="F373" s="5" t="s">
        <v>816</v>
      </c>
      <c r="G373" s="13">
        <v>150</v>
      </c>
      <c r="H373" s="146">
        <v>0</v>
      </c>
      <c r="I373" s="13">
        <f>G373*AO373</f>
        <v>0</v>
      </c>
      <c r="J373" s="13">
        <f>G373*AP373</f>
        <v>0</v>
      </c>
      <c r="K373" s="13">
        <f>G373*H373</f>
        <v>0</v>
      </c>
      <c r="L373" s="19" t="s">
        <v>845</v>
      </c>
      <c r="Z373" s="143">
        <f>IF(AQ373="5",BJ373,0)</f>
        <v>0</v>
      </c>
      <c r="AB373" s="143">
        <f>IF(AQ373="1",BH373,0)</f>
        <v>0</v>
      </c>
      <c r="AC373" s="143">
        <f>IF(AQ373="1",BI373,0)</f>
        <v>0</v>
      </c>
      <c r="AD373" s="143">
        <f>IF(AQ373="7",BH373,0)</f>
        <v>0</v>
      </c>
      <c r="AE373" s="143">
        <f>IF(AQ373="7",BI373,0)</f>
        <v>0</v>
      </c>
      <c r="AF373" s="143">
        <f>IF(AQ373="2",BH373,0)</f>
        <v>0</v>
      </c>
      <c r="AG373" s="143">
        <f>IF(AQ373="2",BI373,0)</f>
        <v>0</v>
      </c>
      <c r="AH373" s="143">
        <f>IF(AQ373="0",BJ373,0)</f>
        <v>0</v>
      </c>
      <c r="AI373" s="137" t="s">
        <v>864</v>
      </c>
      <c r="AJ373" s="146">
        <f>IF(AN373=0,K373,0)</f>
        <v>0</v>
      </c>
      <c r="AK373" s="146">
        <f>IF(AN373=15,K373,0)</f>
        <v>0</v>
      </c>
      <c r="AL373" s="146">
        <f>IF(AN373=21,K373,0)</f>
        <v>0</v>
      </c>
      <c r="AN373" s="143">
        <v>21</v>
      </c>
      <c r="AO373" s="143">
        <f>H373*1</f>
        <v>0</v>
      </c>
      <c r="AP373" s="143">
        <f>H373*(1-1)</f>
        <v>0</v>
      </c>
      <c r="AQ373" s="147" t="s">
        <v>882</v>
      </c>
      <c r="AV373" s="143">
        <f>AW373+AX373</f>
        <v>0</v>
      </c>
      <c r="AW373" s="143">
        <f>G373*AO373</f>
        <v>0</v>
      </c>
      <c r="AX373" s="143">
        <f>G373*AP373</f>
        <v>0</v>
      </c>
      <c r="AY373" s="144" t="s">
        <v>892</v>
      </c>
      <c r="AZ373" s="144" t="s">
        <v>921</v>
      </c>
      <c r="BA373" s="137" t="s">
        <v>960</v>
      </c>
      <c r="BC373" s="143">
        <f>AW373+AX373</f>
        <v>0</v>
      </c>
      <c r="BD373" s="143">
        <f>H373/(100-BE373)*100</f>
        <v>0</v>
      </c>
      <c r="BE373" s="143">
        <v>0</v>
      </c>
      <c r="BF373" s="143">
        <f>373</f>
        <v>373</v>
      </c>
      <c r="BH373" s="146">
        <f>G373*AO373</f>
        <v>0</v>
      </c>
      <c r="BI373" s="146">
        <f>G373*AP373</f>
        <v>0</v>
      </c>
      <c r="BJ373" s="146">
        <f>G373*H373</f>
        <v>0</v>
      </c>
    </row>
    <row r="374" spans="1:12" ht="12.75">
      <c r="A374" s="154"/>
      <c r="B374" s="154"/>
      <c r="C374" s="60" t="s">
        <v>680</v>
      </c>
      <c r="D374" s="61"/>
      <c r="E374" s="61"/>
      <c r="F374" s="154"/>
      <c r="G374" s="12">
        <v>150</v>
      </c>
      <c r="I374" s="154"/>
      <c r="J374" s="154"/>
      <c r="K374" s="154"/>
      <c r="L374" s="154"/>
    </row>
    <row r="375" spans="1:62" ht="12.75">
      <c r="A375" s="5" t="s">
        <v>156</v>
      </c>
      <c r="B375" s="5" t="s">
        <v>345</v>
      </c>
      <c r="C375" s="64" t="s">
        <v>681</v>
      </c>
      <c r="D375" s="65"/>
      <c r="E375" s="65"/>
      <c r="F375" s="5" t="s">
        <v>821</v>
      </c>
      <c r="G375" s="13">
        <v>1.1</v>
      </c>
      <c r="H375" s="146">
        <v>0</v>
      </c>
      <c r="I375" s="13">
        <f>G375*AO375</f>
        <v>0</v>
      </c>
      <c r="J375" s="13">
        <f>G375*AP375</f>
        <v>0</v>
      </c>
      <c r="K375" s="13">
        <f>G375*H375</f>
        <v>0</v>
      </c>
      <c r="L375" s="19" t="s">
        <v>845</v>
      </c>
      <c r="Z375" s="143">
        <f>IF(AQ375="5",BJ375,0)</f>
        <v>0</v>
      </c>
      <c r="AB375" s="143">
        <f>IF(AQ375="1",BH375,0)</f>
        <v>0</v>
      </c>
      <c r="AC375" s="143">
        <f>IF(AQ375="1",BI375,0)</f>
        <v>0</v>
      </c>
      <c r="AD375" s="143">
        <f>IF(AQ375="7",BH375,0)</f>
        <v>0</v>
      </c>
      <c r="AE375" s="143">
        <f>IF(AQ375="7",BI375,0)</f>
        <v>0</v>
      </c>
      <c r="AF375" s="143">
        <f>IF(AQ375="2",BH375,0)</f>
        <v>0</v>
      </c>
      <c r="AG375" s="143">
        <f>IF(AQ375="2",BI375,0)</f>
        <v>0</v>
      </c>
      <c r="AH375" s="143">
        <f>IF(AQ375="0",BJ375,0)</f>
        <v>0</v>
      </c>
      <c r="AI375" s="137" t="s">
        <v>864</v>
      </c>
      <c r="AJ375" s="146">
        <f>IF(AN375=0,K375,0)</f>
        <v>0</v>
      </c>
      <c r="AK375" s="146">
        <f>IF(AN375=15,K375,0)</f>
        <v>0</v>
      </c>
      <c r="AL375" s="146">
        <f>IF(AN375=21,K375,0)</f>
        <v>0</v>
      </c>
      <c r="AN375" s="143">
        <v>21</v>
      </c>
      <c r="AO375" s="143">
        <f>H375*1</f>
        <v>0</v>
      </c>
      <c r="AP375" s="143">
        <f>H375*(1-1)</f>
        <v>0</v>
      </c>
      <c r="AQ375" s="147" t="s">
        <v>882</v>
      </c>
      <c r="AV375" s="143">
        <f>AW375+AX375</f>
        <v>0</v>
      </c>
      <c r="AW375" s="143">
        <f>G375*AO375</f>
        <v>0</v>
      </c>
      <c r="AX375" s="143">
        <f>G375*AP375</f>
        <v>0</v>
      </c>
      <c r="AY375" s="144" t="s">
        <v>892</v>
      </c>
      <c r="AZ375" s="144" t="s">
        <v>921</v>
      </c>
      <c r="BA375" s="137" t="s">
        <v>960</v>
      </c>
      <c r="BC375" s="143">
        <f>AW375+AX375</f>
        <v>0</v>
      </c>
      <c r="BD375" s="143">
        <f>H375/(100-BE375)*100</f>
        <v>0</v>
      </c>
      <c r="BE375" s="143">
        <v>0</v>
      </c>
      <c r="BF375" s="143">
        <f>375</f>
        <v>375</v>
      </c>
      <c r="BH375" s="146">
        <f>G375*AO375</f>
        <v>0</v>
      </c>
      <c r="BI375" s="146">
        <f>G375*AP375</f>
        <v>0</v>
      </c>
      <c r="BJ375" s="146">
        <f>G375*H375</f>
        <v>0</v>
      </c>
    </row>
    <row r="376" spans="1:12" ht="12.75">
      <c r="A376" s="154"/>
      <c r="B376" s="154"/>
      <c r="C376" s="60" t="s">
        <v>682</v>
      </c>
      <c r="D376" s="61"/>
      <c r="E376" s="61"/>
      <c r="F376" s="154"/>
      <c r="G376" s="12">
        <v>1.1</v>
      </c>
      <c r="I376" s="154"/>
      <c r="J376" s="154"/>
      <c r="K376" s="154"/>
      <c r="L376" s="154"/>
    </row>
    <row r="377" spans="1:62" ht="12.75">
      <c r="A377" s="5" t="s">
        <v>157</v>
      </c>
      <c r="B377" s="5" t="s">
        <v>346</v>
      </c>
      <c r="C377" s="64" t="s">
        <v>612</v>
      </c>
      <c r="D377" s="65"/>
      <c r="E377" s="65"/>
      <c r="F377" s="5" t="s">
        <v>816</v>
      </c>
      <c r="G377" s="13">
        <v>4.5</v>
      </c>
      <c r="H377" s="146">
        <v>0</v>
      </c>
      <c r="I377" s="13">
        <f>G377*AO377</f>
        <v>0</v>
      </c>
      <c r="J377" s="13">
        <f>G377*AP377</f>
        <v>0</v>
      </c>
      <c r="K377" s="13">
        <f>G377*H377</f>
        <v>0</v>
      </c>
      <c r="L377" s="19" t="s">
        <v>845</v>
      </c>
      <c r="Z377" s="143">
        <f>IF(AQ377="5",BJ377,0)</f>
        <v>0</v>
      </c>
      <c r="AB377" s="143">
        <f>IF(AQ377="1",BH377,0)</f>
        <v>0</v>
      </c>
      <c r="AC377" s="143">
        <f>IF(AQ377="1",BI377,0)</f>
        <v>0</v>
      </c>
      <c r="AD377" s="143">
        <f>IF(AQ377="7",BH377,0)</f>
        <v>0</v>
      </c>
      <c r="AE377" s="143">
        <f>IF(AQ377="7",BI377,0)</f>
        <v>0</v>
      </c>
      <c r="AF377" s="143">
        <f>IF(AQ377="2",BH377,0)</f>
        <v>0</v>
      </c>
      <c r="AG377" s="143">
        <f>IF(AQ377="2",BI377,0)</f>
        <v>0</v>
      </c>
      <c r="AH377" s="143">
        <f>IF(AQ377="0",BJ377,0)</f>
        <v>0</v>
      </c>
      <c r="AI377" s="137" t="s">
        <v>864</v>
      </c>
      <c r="AJ377" s="146">
        <f>IF(AN377=0,K377,0)</f>
        <v>0</v>
      </c>
      <c r="AK377" s="146">
        <f>IF(AN377=15,K377,0)</f>
        <v>0</v>
      </c>
      <c r="AL377" s="146">
        <f>IF(AN377=21,K377,0)</f>
        <v>0</v>
      </c>
      <c r="AN377" s="143">
        <v>21</v>
      </c>
      <c r="AO377" s="143">
        <f>H377*1</f>
        <v>0</v>
      </c>
      <c r="AP377" s="143">
        <f>H377*(1-1)</f>
        <v>0</v>
      </c>
      <c r="AQ377" s="147" t="s">
        <v>882</v>
      </c>
      <c r="AV377" s="143">
        <f>AW377+AX377</f>
        <v>0</v>
      </c>
      <c r="AW377" s="143">
        <f>G377*AO377</f>
        <v>0</v>
      </c>
      <c r="AX377" s="143">
        <f>G377*AP377</f>
        <v>0</v>
      </c>
      <c r="AY377" s="144" t="s">
        <v>892</v>
      </c>
      <c r="AZ377" s="144" t="s">
        <v>921</v>
      </c>
      <c r="BA377" s="137" t="s">
        <v>960</v>
      </c>
      <c r="BC377" s="143">
        <f>AW377+AX377</f>
        <v>0</v>
      </c>
      <c r="BD377" s="143">
        <f>H377/(100-BE377)*100</f>
        <v>0</v>
      </c>
      <c r="BE377" s="143">
        <v>0</v>
      </c>
      <c r="BF377" s="143">
        <f>377</f>
        <v>377</v>
      </c>
      <c r="BH377" s="146">
        <f>G377*AO377</f>
        <v>0</v>
      </c>
      <c r="BI377" s="146">
        <f>G377*AP377</f>
        <v>0</v>
      </c>
      <c r="BJ377" s="146">
        <f>G377*H377</f>
        <v>0</v>
      </c>
    </row>
    <row r="378" spans="1:12" ht="12.75">
      <c r="A378" s="154"/>
      <c r="B378" s="154"/>
      <c r="C378" s="60" t="s">
        <v>683</v>
      </c>
      <c r="D378" s="61"/>
      <c r="E378" s="61"/>
      <c r="F378" s="154"/>
      <c r="G378" s="12">
        <v>4.5</v>
      </c>
      <c r="I378" s="154"/>
      <c r="J378" s="154"/>
      <c r="K378" s="154"/>
      <c r="L378" s="154"/>
    </row>
    <row r="379" spans="1:62" ht="12.75">
      <c r="A379" s="5" t="s">
        <v>158</v>
      </c>
      <c r="B379" s="5" t="s">
        <v>347</v>
      </c>
      <c r="C379" s="64" t="s">
        <v>684</v>
      </c>
      <c r="D379" s="65"/>
      <c r="E379" s="65"/>
      <c r="F379" s="5" t="s">
        <v>817</v>
      </c>
      <c r="G379" s="13">
        <v>0.0125</v>
      </c>
      <c r="H379" s="146">
        <v>0</v>
      </c>
      <c r="I379" s="13">
        <f>G379*AO379</f>
        <v>0</v>
      </c>
      <c r="J379" s="13">
        <f>G379*AP379</f>
        <v>0</v>
      </c>
      <c r="K379" s="13">
        <f>G379*H379</f>
        <v>0</v>
      </c>
      <c r="L379" s="19" t="s">
        <v>845</v>
      </c>
      <c r="Z379" s="143">
        <f>IF(AQ379="5",BJ379,0)</f>
        <v>0</v>
      </c>
      <c r="AB379" s="143">
        <f>IF(AQ379="1",BH379,0)</f>
        <v>0</v>
      </c>
      <c r="AC379" s="143">
        <f>IF(AQ379="1",BI379,0)</f>
        <v>0</v>
      </c>
      <c r="AD379" s="143">
        <f>IF(AQ379="7",BH379,0)</f>
        <v>0</v>
      </c>
      <c r="AE379" s="143">
        <f>IF(AQ379="7",BI379,0)</f>
        <v>0</v>
      </c>
      <c r="AF379" s="143">
        <f>IF(AQ379="2",BH379,0)</f>
        <v>0</v>
      </c>
      <c r="AG379" s="143">
        <f>IF(AQ379="2",BI379,0)</f>
        <v>0</v>
      </c>
      <c r="AH379" s="143">
        <f>IF(AQ379="0",BJ379,0)</f>
        <v>0</v>
      </c>
      <c r="AI379" s="137" t="s">
        <v>864</v>
      </c>
      <c r="AJ379" s="146">
        <f>IF(AN379=0,K379,0)</f>
        <v>0</v>
      </c>
      <c r="AK379" s="146">
        <f>IF(AN379=15,K379,0)</f>
        <v>0</v>
      </c>
      <c r="AL379" s="146">
        <f>IF(AN379=21,K379,0)</f>
        <v>0</v>
      </c>
      <c r="AN379" s="143">
        <v>21</v>
      </c>
      <c r="AO379" s="143">
        <f>H379*1</f>
        <v>0</v>
      </c>
      <c r="AP379" s="143">
        <f>H379*(1-1)</f>
        <v>0</v>
      </c>
      <c r="AQ379" s="147" t="s">
        <v>882</v>
      </c>
      <c r="AV379" s="143">
        <f>AW379+AX379</f>
        <v>0</v>
      </c>
      <c r="AW379" s="143">
        <f>G379*AO379</f>
        <v>0</v>
      </c>
      <c r="AX379" s="143">
        <f>G379*AP379</f>
        <v>0</v>
      </c>
      <c r="AY379" s="144" t="s">
        <v>892</v>
      </c>
      <c r="AZ379" s="144" t="s">
        <v>921</v>
      </c>
      <c r="BA379" s="137" t="s">
        <v>960</v>
      </c>
      <c r="BC379" s="143">
        <f>AW379+AX379</f>
        <v>0</v>
      </c>
      <c r="BD379" s="143">
        <f>H379/(100-BE379)*100</f>
        <v>0</v>
      </c>
      <c r="BE379" s="143">
        <v>0</v>
      </c>
      <c r="BF379" s="143">
        <f>379</f>
        <v>379</v>
      </c>
      <c r="BH379" s="146">
        <f>G379*AO379</f>
        <v>0</v>
      </c>
      <c r="BI379" s="146">
        <f>G379*AP379</f>
        <v>0</v>
      </c>
      <c r="BJ379" s="146">
        <f>G379*H379</f>
        <v>0</v>
      </c>
    </row>
    <row r="380" spans="1:12" ht="12.75">
      <c r="A380" s="154"/>
      <c r="B380" s="154"/>
      <c r="C380" s="60" t="s">
        <v>636</v>
      </c>
      <c r="D380" s="61"/>
      <c r="E380" s="61"/>
      <c r="F380" s="154"/>
      <c r="G380" s="12">
        <v>0.0125</v>
      </c>
      <c r="I380" s="154"/>
      <c r="J380" s="154"/>
      <c r="K380" s="154"/>
      <c r="L380" s="154"/>
    </row>
    <row r="381" spans="1:62" ht="12.75">
      <c r="A381" s="5" t="s">
        <v>159</v>
      </c>
      <c r="B381" s="5" t="s">
        <v>348</v>
      </c>
      <c r="C381" s="64" t="s">
        <v>685</v>
      </c>
      <c r="D381" s="65"/>
      <c r="E381" s="65"/>
      <c r="F381" s="5" t="s">
        <v>821</v>
      </c>
      <c r="G381" s="13">
        <v>7.8</v>
      </c>
      <c r="H381" s="146">
        <v>0</v>
      </c>
      <c r="I381" s="13">
        <f>G381*AO381</f>
        <v>0</v>
      </c>
      <c r="J381" s="13">
        <f>G381*AP381</f>
        <v>0</v>
      </c>
      <c r="K381" s="13">
        <f>G381*H381</f>
        <v>0</v>
      </c>
      <c r="L381" s="19" t="s">
        <v>845</v>
      </c>
      <c r="Z381" s="143">
        <f>IF(AQ381="5",BJ381,0)</f>
        <v>0</v>
      </c>
      <c r="AB381" s="143">
        <f>IF(AQ381="1",BH381,0)</f>
        <v>0</v>
      </c>
      <c r="AC381" s="143">
        <f>IF(AQ381="1",BI381,0)</f>
        <v>0</v>
      </c>
      <c r="AD381" s="143">
        <f>IF(AQ381="7",BH381,0)</f>
        <v>0</v>
      </c>
      <c r="AE381" s="143">
        <f>IF(AQ381="7",BI381,0)</f>
        <v>0</v>
      </c>
      <c r="AF381" s="143">
        <f>IF(AQ381="2",BH381,0)</f>
        <v>0</v>
      </c>
      <c r="AG381" s="143">
        <f>IF(AQ381="2",BI381,0)</f>
        <v>0</v>
      </c>
      <c r="AH381" s="143">
        <f>IF(AQ381="0",BJ381,0)</f>
        <v>0</v>
      </c>
      <c r="AI381" s="137" t="s">
        <v>864</v>
      </c>
      <c r="AJ381" s="146">
        <f>IF(AN381=0,K381,0)</f>
        <v>0</v>
      </c>
      <c r="AK381" s="146">
        <f>IF(AN381=15,K381,0)</f>
        <v>0</v>
      </c>
      <c r="AL381" s="146">
        <f>IF(AN381=21,K381,0)</f>
        <v>0</v>
      </c>
      <c r="AN381" s="143">
        <v>21</v>
      </c>
      <c r="AO381" s="143">
        <f>H381*1</f>
        <v>0</v>
      </c>
      <c r="AP381" s="143">
        <f>H381*(1-1)</f>
        <v>0</v>
      </c>
      <c r="AQ381" s="147" t="s">
        <v>882</v>
      </c>
      <c r="AV381" s="143">
        <f>AW381+AX381</f>
        <v>0</v>
      </c>
      <c r="AW381" s="143">
        <f>G381*AO381</f>
        <v>0</v>
      </c>
      <c r="AX381" s="143">
        <f>G381*AP381</f>
        <v>0</v>
      </c>
      <c r="AY381" s="144" t="s">
        <v>892</v>
      </c>
      <c r="AZ381" s="144" t="s">
        <v>921</v>
      </c>
      <c r="BA381" s="137" t="s">
        <v>960</v>
      </c>
      <c r="BC381" s="143">
        <f>AW381+AX381</f>
        <v>0</v>
      </c>
      <c r="BD381" s="143">
        <f>H381/(100-BE381)*100</f>
        <v>0</v>
      </c>
      <c r="BE381" s="143">
        <v>0</v>
      </c>
      <c r="BF381" s="143">
        <f>381</f>
        <v>381</v>
      </c>
      <c r="BH381" s="146">
        <f>G381*AO381</f>
        <v>0</v>
      </c>
      <c r="BI381" s="146">
        <f>G381*AP381</f>
        <v>0</v>
      </c>
      <c r="BJ381" s="146">
        <f>G381*H381</f>
        <v>0</v>
      </c>
    </row>
    <row r="382" spans="1:12" ht="12.75">
      <c r="A382" s="154"/>
      <c r="B382" s="154"/>
      <c r="C382" s="60" t="s">
        <v>686</v>
      </c>
      <c r="D382" s="61"/>
      <c r="E382" s="61"/>
      <c r="F382" s="154"/>
      <c r="G382" s="12">
        <v>7.8</v>
      </c>
      <c r="I382" s="154"/>
      <c r="J382" s="154"/>
      <c r="K382" s="154"/>
      <c r="L382" s="154"/>
    </row>
    <row r="383" spans="1:62" ht="12.75">
      <c r="A383" s="5" t="s">
        <v>160</v>
      </c>
      <c r="B383" s="5" t="s">
        <v>345</v>
      </c>
      <c r="C383" s="64" t="s">
        <v>687</v>
      </c>
      <c r="D383" s="65"/>
      <c r="E383" s="65"/>
      <c r="F383" s="5" t="s">
        <v>821</v>
      </c>
      <c r="G383" s="13">
        <v>86.4</v>
      </c>
      <c r="H383" s="146">
        <v>0</v>
      </c>
      <c r="I383" s="13">
        <f>G383*AO383</f>
        <v>0</v>
      </c>
      <c r="J383" s="13">
        <f>G383*AP383</f>
        <v>0</v>
      </c>
      <c r="K383" s="13">
        <f>G383*H383</f>
        <v>0</v>
      </c>
      <c r="L383" s="19" t="s">
        <v>845</v>
      </c>
      <c r="Z383" s="143">
        <f>IF(AQ383="5",BJ383,0)</f>
        <v>0</v>
      </c>
      <c r="AB383" s="143">
        <f>IF(AQ383="1",BH383,0)</f>
        <v>0</v>
      </c>
      <c r="AC383" s="143">
        <f>IF(AQ383="1",BI383,0)</f>
        <v>0</v>
      </c>
      <c r="AD383" s="143">
        <f>IF(AQ383="7",BH383,0)</f>
        <v>0</v>
      </c>
      <c r="AE383" s="143">
        <f>IF(AQ383="7",BI383,0)</f>
        <v>0</v>
      </c>
      <c r="AF383" s="143">
        <f>IF(AQ383="2",BH383,0)</f>
        <v>0</v>
      </c>
      <c r="AG383" s="143">
        <f>IF(AQ383="2",BI383,0)</f>
        <v>0</v>
      </c>
      <c r="AH383" s="143">
        <f>IF(AQ383="0",BJ383,0)</f>
        <v>0</v>
      </c>
      <c r="AI383" s="137" t="s">
        <v>864</v>
      </c>
      <c r="AJ383" s="146">
        <f>IF(AN383=0,K383,0)</f>
        <v>0</v>
      </c>
      <c r="AK383" s="146">
        <f>IF(AN383=15,K383,0)</f>
        <v>0</v>
      </c>
      <c r="AL383" s="146">
        <f>IF(AN383=21,K383,0)</f>
        <v>0</v>
      </c>
      <c r="AN383" s="143">
        <v>21</v>
      </c>
      <c r="AO383" s="143">
        <f>H383*1</f>
        <v>0</v>
      </c>
      <c r="AP383" s="143">
        <f>H383*(1-1)</f>
        <v>0</v>
      </c>
      <c r="AQ383" s="147" t="s">
        <v>882</v>
      </c>
      <c r="AV383" s="143">
        <f>AW383+AX383</f>
        <v>0</v>
      </c>
      <c r="AW383" s="143">
        <f>G383*AO383</f>
        <v>0</v>
      </c>
      <c r="AX383" s="143">
        <f>G383*AP383</f>
        <v>0</v>
      </c>
      <c r="AY383" s="144" t="s">
        <v>892</v>
      </c>
      <c r="AZ383" s="144" t="s">
        <v>921</v>
      </c>
      <c r="BA383" s="137" t="s">
        <v>960</v>
      </c>
      <c r="BC383" s="143">
        <f>AW383+AX383</f>
        <v>0</v>
      </c>
      <c r="BD383" s="143">
        <f>H383/(100-BE383)*100</f>
        <v>0</v>
      </c>
      <c r="BE383" s="143">
        <v>0</v>
      </c>
      <c r="BF383" s="143">
        <f>383</f>
        <v>383</v>
      </c>
      <c r="BH383" s="146">
        <f>G383*AO383</f>
        <v>0</v>
      </c>
      <c r="BI383" s="146">
        <f>G383*AP383</f>
        <v>0</v>
      </c>
      <c r="BJ383" s="146">
        <f>G383*H383</f>
        <v>0</v>
      </c>
    </row>
    <row r="384" spans="1:12" ht="12.75">
      <c r="A384" s="154"/>
      <c r="B384" s="154"/>
      <c r="C384" s="60" t="s">
        <v>688</v>
      </c>
      <c r="D384" s="61"/>
      <c r="E384" s="61"/>
      <c r="F384" s="154"/>
      <c r="G384" s="12">
        <v>86.4</v>
      </c>
      <c r="I384" s="154"/>
      <c r="J384" s="154"/>
      <c r="K384" s="154"/>
      <c r="L384" s="154"/>
    </row>
    <row r="385" spans="1:12" ht="12.75">
      <c r="A385" s="4"/>
      <c r="B385" s="10"/>
      <c r="C385" s="62" t="s">
        <v>689</v>
      </c>
      <c r="D385" s="63"/>
      <c r="E385" s="63"/>
      <c r="F385" s="4" t="s">
        <v>6</v>
      </c>
      <c r="G385" s="4" t="s">
        <v>6</v>
      </c>
      <c r="H385" s="145" t="s">
        <v>6</v>
      </c>
      <c r="I385" s="24">
        <f>I386</f>
        <v>0</v>
      </c>
      <c r="J385" s="24">
        <f>J386</f>
        <v>0</v>
      </c>
      <c r="K385" s="24">
        <f>K386</f>
        <v>0</v>
      </c>
      <c r="L385" s="18"/>
    </row>
    <row r="386" spans="1:47" ht="12.75">
      <c r="A386" s="2"/>
      <c r="B386" s="9" t="s">
        <v>97</v>
      </c>
      <c r="C386" s="56" t="s">
        <v>485</v>
      </c>
      <c r="D386" s="57"/>
      <c r="E386" s="57"/>
      <c r="F386" s="2" t="s">
        <v>6</v>
      </c>
      <c r="G386" s="2" t="s">
        <v>6</v>
      </c>
      <c r="H386" s="139" t="s">
        <v>6</v>
      </c>
      <c r="I386" s="23">
        <f>SUM(I387:I389)</f>
        <v>0</v>
      </c>
      <c r="J386" s="23">
        <f>SUM(J387:J389)</f>
        <v>0</v>
      </c>
      <c r="K386" s="23">
        <f>SUM(K387:K389)</f>
        <v>0</v>
      </c>
      <c r="L386" s="16"/>
      <c r="AI386" s="137" t="s">
        <v>213</v>
      </c>
      <c r="AS386" s="140">
        <f>SUM(AJ387:AJ389)</f>
        <v>0</v>
      </c>
      <c r="AT386" s="140">
        <f>SUM(AK387:AK389)</f>
        <v>0</v>
      </c>
      <c r="AU386" s="140">
        <f>SUM(AL387:AL389)</f>
        <v>0</v>
      </c>
    </row>
    <row r="387" spans="1:62" ht="12.75">
      <c r="A387" s="3" t="s">
        <v>161</v>
      </c>
      <c r="B387" s="3" t="s">
        <v>349</v>
      </c>
      <c r="C387" s="58" t="s">
        <v>690</v>
      </c>
      <c r="D387" s="59"/>
      <c r="E387" s="59"/>
      <c r="F387" s="3" t="s">
        <v>819</v>
      </c>
      <c r="G387" s="11">
        <v>1</v>
      </c>
      <c r="H387" s="141">
        <v>0</v>
      </c>
      <c r="I387" s="11">
        <f>G387*AO387</f>
        <v>0</v>
      </c>
      <c r="J387" s="11">
        <f>G387*AP387</f>
        <v>0</v>
      </c>
      <c r="K387" s="11">
        <f>G387*H387</f>
        <v>0</v>
      </c>
      <c r="L387" s="17" t="s">
        <v>845</v>
      </c>
      <c r="Z387" s="143">
        <f>IF(AQ387="5",BJ387,0)</f>
        <v>0</v>
      </c>
      <c r="AB387" s="143">
        <f>IF(AQ387="1",BH387,0)</f>
        <v>0</v>
      </c>
      <c r="AC387" s="143">
        <f>IF(AQ387="1",BI387,0)</f>
        <v>0</v>
      </c>
      <c r="AD387" s="143">
        <f>IF(AQ387="7",BH387,0)</f>
        <v>0</v>
      </c>
      <c r="AE387" s="143">
        <f>IF(AQ387="7",BI387,0)</f>
        <v>0</v>
      </c>
      <c r="AF387" s="143">
        <f>IF(AQ387="2",BH387,0)</f>
        <v>0</v>
      </c>
      <c r="AG387" s="143">
        <f>IF(AQ387="2",BI387,0)</f>
        <v>0</v>
      </c>
      <c r="AH387" s="143">
        <f>IF(AQ387="0",BJ387,0)</f>
        <v>0</v>
      </c>
      <c r="AI387" s="137" t="s">
        <v>213</v>
      </c>
      <c r="AJ387" s="141">
        <f>IF(AN387=0,K387,0)</f>
        <v>0</v>
      </c>
      <c r="AK387" s="141">
        <f>IF(AN387=15,K387,0)</f>
        <v>0</v>
      </c>
      <c r="AL387" s="141">
        <f>IF(AN387=21,K387,0)</f>
        <v>0</v>
      </c>
      <c r="AN387" s="143">
        <v>21</v>
      </c>
      <c r="AO387" s="143">
        <f>H387*0.9428671875</f>
        <v>0</v>
      </c>
      <c r="AP387" s="143">
        <f>H387*(1-0.9428671875)</f>
        <v>0</v>
      </c>
      <c r="AQ387" s="142" t="s">
        <v>7</v>
      </c>
      <c r="AV387" s="143">
        <f>AW387+AX387</f>
        <v>0</v>
      </c>
      <c r="AW387" s="143">
        <f>G387*AO387</f>
        <v>0</v>
      </c>
      <c r="AX387" s="143">
        <f>G387*AP387</f>
        <v>0</v>
      </c>
      <c r="AY387" s="144" t="s">
        <v>889</v>
      </c>
      <c r="AZ387" s="144" t="s">
        <v>922</v>
      </c>
      <c r="BA387" s="137" t="s">
        <v>883</v>
      </c>
      <c r="BC387" s="143">
        <f>AW387+AX387</f>
        <v>0</v>
      </c>
      <c r="BD387" s="143">
        <f>H387/(100-BE387)*100</f>
        <v>0</v>
      </c>
      <c r="BE387" s="143">
        <v>0</v>
      </c>
      <c r="BF387" s="143">
        <f>387</f>
        <v>387</v>
      </c>
      <c r="BH387" s="141">
        <f>G387*AO387</f>
        <v>0</v>
      </c>
      <c r="BI387" s="141">
        <f>G387*AP387</f>
        <v>0</v>
      </c>
      <c r="BJ387" s="141">
        <f>G387*H387</f>
        <v>0</v>
      </c>
    </row>
    <row r="388" spans="1:12" ht="12.75">
      <c r="A388" s="154"/>
      <c r="B388" s="154"/>
      <c r="C388" s="60" t="s">
        <v>691</v>
      </c>
      <c r="D388" s="61"/>
      <c r="E388" s="61"/>
      <c r="F388" s="154"/>
      <c r="G388" s="12">
        <v>1</v>
      </c>
      <c r="I388" s="154"/>
      <c r="J388" s="154"/>
      <c r="K388" s="154"/>
      <c r="L388" s="154"/>
    </row>
    <row r="389" spans="1:62" ht="12.75">
      <c r="A389" s="3" t="s">
        <v>162</v>
      </c>
      <c r="B389" s="3" t="s">
        <v>350</v>
      </c>
      <c r="C389" s="58" t="s">
        <v>692</v>
      </c>
      <c r="D389" s="59"/>
      <c r="E389" s="59"/>
      <c r="F389" s="3" t="s">
        <v>816</v>
      </c>
      <c r="G389" s="11">
        <v>4</v>
      </c>
      <c r="H389" s="141">
        <v>0</v>
      </c>
      <c r="I389" s="11">
        <f>G389*AO389</f>
        <v>0</v>
      </c>
      <c r="J389" s="11">
        <f>G389*AP389</f>
        <v>0</v>
      </c>
      <c r="K389" s="11">
        <f>G389*H389</f>
        <v>0</v>
      </c>
      <c r="L389" s="17" t="s">
        <v>845</v>
      </c>
      <c r="Z389" s="143">
        <f>IF(AQ389="5",BJ389,0)</f>
        <v>0</v>
      </c>
      <c r="AB389" s="143">
        <f>IF(AQ389="1",BH389,0)</f>
        <v>0</v>
      </c>
      <c r="AC389" s="143">
        <f>IF(AQ389="1",BI389,0)</f>
        <v>0</v>
      </c>
      <c r="AD389" s="143">
        <f>IF(AQ389="7",BH389,0)</f>
        <v>0</v>
      </c>
      <c r="AE389" s="143">
        <f>IF(AQ389="7",BI389,0)</f>
        <v>0</v>
      </c>
      <c r="AF389" s="143">
        <f>IF(AQ389="2",BH389,0)</f>
        <v>0</v>
      </c>
      <c r="AG389" s="143">
        <f>IF(AQ389="2",BI389,0)</f>
        <v>0</v>
      </c>
      <c r="AH389" s="143">
        <f>IF(AQ389="0",BJ389,0)</f>
        <v>0</v>
      </c>
      <c r="AI389" s="137" t="s">
        <v>213</v>
      </c>
      <c r="AJ389" s="141">
        <f>IF(AN389=0,K389,0)</f>
        <v>0</v>
      </c>
      <c r="AK389" s="141">
        <f>IF(AN389=15,K389,0)</f>
        <v>0</v>
      </c>
      <c r="AL389" s="141">
        <f>IF(AN389=21,K389,0)</f>
        <v>0</v>
      </c>
      <c r="AN389" s="143">
        <v>21</v>
      </c>
      <c r="AO389" s="143">
        <f>H389*0.94286</f>
        <v>0</v>
      </c>
      <c r="AP389" s="143">
        <f>H389*(1-0.94286)</f>
        <v>0</v>
      </c>
      <c r="AQ389" s="142" t="s">
        <v>7</v>
      </c>
      <c r="AV389" s="143">
        <f>AW389+AX389</f>
        <v>0</v>
      </c>
      <c r="AW389" s="143">
        <f>G389*AO389</f>
        <v>0</v>
      </c>
      <c r="AX389" s="143">
        <f>G389*AP389</f>
        <v>0</v>
      </c>
      <c r="AY389" s="144" t="s">
        <v>889</v>
      </c>
      <c r="AZ389" s="144" t="s">
        <v>922</v>
      </c>
      <c r="BA389" s="137" t="s">
        <v>883</v>
      </c>
      <c r="BC389" s="143">
        <f>AW389+AX389</f>
        <v>0</v>
      </c>
      <c r="BD389" s="143">
        <f>H389/(100-BE389)*100</f>
        <v>0</v>
      </c>
      <c r="BE389" s="143">
        <v>0</v>
      </c>
      <c r="BF389" s="143">
        <f>389</f>
        <v>389</v>
      </c>
      <c r="BH389" s="141">
        <f>G389*AO389</f>
        <v>0</v>
      </c>
      <c r="BI389" s="141">
        <f>G389*AP389</f>
        <v>0</v>
      </c>
      <c r="BJ389" s="141">
        <f>G389*H389</f>
        <v>0</v>
      </c>
    </row>
    <row r="390" spans="1:12" ht="12.75">
      <c r="A390" s="154"/>
      <c r="B390" s="154"/>
      <c r="C390" s="60" t="s">
        <v>693</v>
      </c>
      <c r="D390" s="61"/>
      <c r="E390" s="61"/>
      <c r="F390" s="154"/>
      <c r="G390" s="12">
        <v>4</v>
      </c>
      <c r="I390" s="154"/>
      <c r="J390" s="154"/>
      <c r="K390" s="154"/>
      <c r="L390" s="154"/>
    </row>
    <row r="391" spans="1:12" ht="12.75">
      <c r="A391" s="4"/>
      <c r="B391" s="10"/>
      <c r="C391" s="62" t="s">
        <v>694</v>
      </c>
      <c r="D391" s="63"/>
      <c r="E391" s="63"/>
      <c r="F391" s="4" t="s">
        <v>6</v>
      </c>
      <c r="G391" s="4" t="s">
        <v>6</v>
      </c>
      <c r="H391" s="145" t="s">
        <v>6</v>
      </c>
      <c r="I391" s="24">
        <f>I392+I398+I404</f>
        <v>0</v>
      </c>
      <c r="J391" s="24">
        <f>J392+J398+J404</f>
        <v>0</v>
      </c>
      <c r="K391" s="24">
        <f>K392+K398+K404</f>
        <v>0</v>
      </c>
      <c r="L391" s="18"/>
    </row>
    <row r="392" spans="1:47" ht="12.75">
      <c r="A392" s="2"/>
      <c r="B392" s="9" t="s">
        <v>18</v>
      </c>
      <c r="C392" s="56" t="s">
        <v>522</v>
      </c>
      <c r="D392" s="57"/>
      <c r="E392" s="57"/>
      <c r="F392" s="2" t="s">
        <v>6</v>
      </c>
      <c r="G392" s="2" t="s">
        <v>6</v>
      </c>
      <c r="H392" s="139" t="s">
        <v>6</v>
      </c>
      <c r="I392" s="23">
        <f>SUM(I393:I393)</f>
        <v>0</v>
      </c>
      <c r="J392" s="23">
        <f>SUM(J393:J393)</f>
        <v>0</v>
      </c>
      <c r="K392" s="23">
        <f>SUM(K393:K393)</f>
        <v>0</v>
      </c>
      <c r="L392" s="16"/>
      <c r="AI392" s="137" t="s">
        <v>865</v>
      </c>
      <c r="AS392" s="140">
        <f>SUM(AJ393:AJ393)</f>
        <v>0</v>
      </c>
      <c r="AT392" s="140">
        <f>SUM(AK393:AK393)</f>
        <v>0</v>
      </c>
      <c r="AU392" s="140">
        <f>SUM(AL393:AL393)</f>
        <v>0</v>
      </c>
    </row>
    <row r="393" spans="1:62" ht="12.75">
      <c r="A393" s="3" t="s">
        <v>163</v>
      </c>
      <c r="B393" s="3" t="s">
        <v>261</v>
      </c>
      <c r="C393" s="58" t="s">
        <v>695</v>
      </c>
      <c r="D393" s="59"/>
      <c r="E393" s="59"/>
      <c r="F393" s="3" t="s">
        <v>821</v>
      </c>
      <c r="G393" s="11">
        <v>148.4</v>
      </c>
      <c r="H393" s="141">
        <v>0</v>
      </c>
      <c r="I393" s="11">
        <f>G393*AO393</f>
        <v>0</v>
      </c>
      <c r="J393" s="11">
        <f>G393*AP393</f>
        <v>0</v>
      </c>
      <c r="K393" s="11">
        <f>G393*H393</f>
        <v>0</v>
      </c>
      <c r="L393" s="17" t="s">
        <v>845</v>
      </c>
      <c r="Z393" s="143">
        <f>IF(AQ393="5",BJ393,0)</f>
        <v>0</v>
      </c>
      <c r="AB393" s="143">
        <f>IF(AQ393="1",BH393,0)</f>
        <v>0</v>
      </c>
      <c r="AC393" s="143">
        <f>IF(AQ393="1",BI393,0)</f>
        <v>0</v>
      </c>
      <c r="AD393" s="143">
        <f>IF(AQ393="7",BH393,0)</f>
        <v>0</v>
      </c>
      <c r="AE393" s="143">
        <f>IF(AQ393="7",BI393,0)</f>
        <v>0</v>
      </c>
      <c r="AF393" s="143">
        <f>IF(AQ393="2",BH393,0)</f>
        <v>0</v>
      </c>
      <c r="AG393" s="143">
        <f>IF(AQ393="2",BI393,0)</f>
        <v>0</v>
      </c>
      <c r="AH393" s="143">
        <f>IF(AQ393="0",BJ393,0)</f>
        <v>0</v>
      </c>
      <c r="AI393" s="137" t="s">
        <v>865</v>
      </c>
      <c r="AJ393" s="141">
        <f>IF(AN393=0,K393,0)</f>
        <v>0</v>
      </c>
      <c r="AK393" s="141">
        <f>IF(AN393=15,K393,0)</f>
        <v>0</v>
      </c>
      <c r="AL393" s="141">
        <f>IF(AN393=21,K393,0)</f>
        <v>0</v>
      </c>
      <c r="AN393" s="143">
        <v>21</v>
      </c>
      <c r="AO393" s="143">
        <f>H393*0</f>
        <v>0</v>
      </c>
      <c r="AP393" s="143">
        <f>H393*(1-0)</f>
        <v>0</v>
      </c>
      <c r="AQ393" s="142" t="s">
        <v>7</v>
      </c>
      <c r="AV393" s="143">
        <f>AW393+AX393</f>
        <v>0</v>
      </c>
      <c r="AW393" s="143">
        <f>G393*AO393</f>
        <v>0</v>
      </c>
      <c r="AX393" s="143">
        <f>G393*AP393</f>
        <v>0</v>
      </c>
      <c r="AY393" s="144" t="s">
        <v>893</v>
      </c>
      <c r="AZ393" s="144" t="s">
        <v>923</v>
      </c>
      <c r="BA393" s="137" t="s">
        <v>961</v>
      </c>
      <c r="BC393" s="143">
        <f>AW393+AX393</f>
        <v>0</v>
      </c>
      <c r="BD393" s="143">
        <f>H393/(100-BE393)*100</f>
        <v>0</v>
      </c>
      <c r="BE393" s="143">
        <v>0</v>
      </c>
      <c r="BF393" s="143">
        <f>393</f>
        <v>393</v>
      </c>
      <c r="BH393" s="141">
        <f>G393*AO393</f>
        <v>0</v>
      </c>
      <c r="BI393" s="141">
        <f>G393*AP393</f>
        <v>0</v>
      </c>
      <c r="BJ393" s="141">
        <f>G393*H393</f>
        <v>0</v>
      </c>
    </row>
    <row r="394" spans="1:12" ht="12.75">
      <c r="A394" s="154"/>
      <c r="B394" s="154"/>
      <c r="C394" s="60" t="s">
        <v>696</v>
      </c>
      <c r="D394" s="61"/>
      <c r="E394" s="61"/>
      <c r="F394" s="154"/>
      <c r="G394" s="12">
        <v>6.4</v>
      </c>
      <c r="I394" s="154"/>
      <c r="J394" s="154"/>
      <c r="K394" s="154"/>
      <c r="L394" s="154"/>
    </row>
    <row r="395" spans="1:12" ht="12.75">
      <c r="A395" s="154"/>
      <c r="B395" s="154"/>
      <c r="C395" s="60" t="s">
        <v>697</v>
      </c>
      <c r="D395" s="61"/>
      <c r="E395" s="61"/>
      <c r="F395" s="154"/>
      <c r="G395" s="12">
        <v>69.4</v>
      </c>
      <c r="I395" s="154"/>
      <c r="J395" s="154"/>
      <c r="K395" s="154"/>
      <c r="L395" s="154"/>
    </row>
    <row r="396" spans="1:12" ht="12.75">
      <c r="A396" s="154"/>
      <c r="B396" s="154"/>
      <c r="C396" s="60" t="s">
        <v>698</v>
      </c>
      <c r="D396" s="61"/>
      <c r="E396" s="61"/>
      <c r="F396" s="154"/>
      <c r="G396" s="12">
        <v>50</v>
      </c>
      <c r="I396" s="154"/>
      <c r="J396" s="154"/>
      <c r="K396" s="154"/>
      <c r="L396" s="154"/>
    </row>
    <row r="397" spans="1:12" ht="12.75">
      <c r="A397" s="154"/>
      <c r="B397" s="154"/>
      <c r="C397" s="60" t="s">
        <v>699</v>
      </c>
      <c r="D397" s="61"/>
      <c r="E397" s="61"/>
      <c r="F397" s="154"/>
      <c r="G397" s="12">
        <v>22.6</v>
      </c>
      <c r="I397" s="154"/>
      <c r="J397" s="154"/>
      <c r="K397" s="154"/>
      <c r="L397" s="154"/>
    </row>
    <row r="398" spans="1:47" ht="12.75">
      <c r="A398" s="2"/>
      <c r="B398" s="9" t="s">
        <v>97</v>
      </c>
      <c r="C398" s="56" t="s">
        <v>485</v>
      </c>
      <c r="D398" s="57"/>
      <c r="E398" s="57"/>
      <c r="F398" s="2" t="s">
        <v>6</v>
      </c>
      <c r="G398" s="2" t="s">
        <v>6</v>
      </c>
      <c r="H398" s="139" t="s">
        <v>6</v>
      </c>
      <c r="I398" s="23">
        <f>SUM(I399:I399)</f>
        <v>0</v>
      </c>
      <c r="J398" s="23">
        <f>SUM(J399:J399)</f>
        <v>0</v>
      </c>
      <c r="K398" s="23">
        <f>SUM(K399:K399)</f>
        <v>0</v>
      </c>
      <c r="L398" s="16"/>
      <c r="AI398" s="137" t="s">
        <v>865</v>
      </c>
      <c r="AS398" s="140">
        <f>SUM(AJ399:AJ399)</f>
        <v>0</v>
      </c>
      <c r="AT398" s="140">
        <f>SUM(AK399:AK399)</f>
        <v>0</v>
      </c>
      <c r="AU398" s="140">
        <f>SUM(AL399:AL399)</f>
        <v>0</v>
      </c>
    </row>
    <row r="399" spans="1:62" ht="12.75">
      <c r="A399" s="3" t="s">
        <v>164</v>
      </c>
      <c r="B399" s="3" t="s">
        <v>351</v>
      </c>
      <c r="C399" s="58" t="s">
        <v>700</v>
      </c>
      <c r="D399" s="59"/>
      <c r="E399" s="59"/>
      <c r="F399" s="3" t="s">
        <v>815</v>
      </c>
      <c r="G399" s="11">
        <v>90</v>
      </c>
      <c r="H399" s="141">
        <v>0</v>
      </c>
      <c r="I399" s="11">
        <f>G399*AO399</f>
        <v>0</v>
      </c>
      <c r="J399" s="11">
        <f>G399*AP399</f>
        <v>0</v>
      </c>
      <c r="K399" s="11">
        <f>G399*H399</f>
        <v>0</v>
      </c>
      <c r="L399" s="17" t="s">
        <v>845</v>
      </c>
      <c r="Z399" s="143">
        <f>IF(AQ399="5",BJ399,0)</f>
        <v>0</v>
      </c>
      <c r="AB399" s="143">
        <f>IF(AQ399="1",BH399,0)</f>
        <v>0</v>
      </c>
      <c r="AC399" s="143">
        <f>IF(AQ399="1",BI399,0)</f>
        <v>0</v>
      </c>
      <c r="AD399" s="143">
        <f>IF(AQ399="7",BH399,0)</f>
        <v>0</v>
      </c>
      <c r="AE399" s="143">
        <f>IF(AQ399="7",BI399,0)</f>
        <v>0</v>
      </c>
      <c r="AF399" s="143">
        <f>IF(AQ399="2",BH399,0)</f>
        <v>0</v>
      </c>
      <c r="AG399" s="143">
        <f>IF(AQ399="2",BI399,0)</f>
        <v>0</v>
      </c>
      <c r="AH399" s="143">
        <f>IF(AQ399="0",BJ399,0)</f>
        <v>0</v>
      </c>
      <c r="AI399" s="137" t="s">
        <v>865</v>
      </c>
      <c r="AJ399" s="141">
        <f>IF(AN399=0,K399,0)</f>
        <v>0</v>
      </c>
      <c r="AK399" s="141">
        <f>IF(AN399=15,K399,0)</f>
        <v>0</v>
      </c>
      <c r="AL399" s="141">
        <f>IF(AN399=21,K399,0)</f>
        <v>0</v>
      </c>
      <c r="AN399" s="143">
        <v>21</v>
      </c>
      <c r="AO399" s="143">
        <f>H399*0.947825</f>
        <v>0</v>
      </c>
      <c r="AP399" s="143">
        <f>H399*(1-0.947825)</f>
        <v>0</v>
      </c>
      <c r="AQ399" s="142" t="s">
        <v>7</v>
      </c>
      <c r="AV399" s="143">
        <f>AW399+AX399</f>
        <v>0</v>
      </c>
      <c r="AW399" s="143">
        <f>G399*AO399</f>
        <v>0</v>
      </c>
      <c r="AX399" s="143">
        <f>G399*AP399</f>
        <v>0</v>
      </c>
      <c r="AY399" s="144" t="s">
        <v>889</v>
      </c>
      <c r="AZ399" s="144" t="s">
        <v>924</v>
      </c>
      <c r="BA399" s="137" t="s">
        <v>961</v>
      </c>
      <c r="BC399" s="143">
        <f>AW399+AX399</f>
        <v>0</v>
      </c>
      <c r="BD399" s="143">
        <f>H399/(100-BE399)*100</f>
        <v>0</v>
      </c>
      <c r="BE399" s="143">
        <v>0</v>
      </c>
      <c r="BF399" s="143">
        <f>399</f>
        <v>399</v>
      </c>
      <c r="BH399" s="141">
        <f>G399*AO399</f>
        <v>0</v>
      </c>
      <c r="BI399" s="141">
        <f>G399*AP399</f>
        <v>0</v>
      </c>
      <c r="BJ399" s="141">
        <f>G399*H399</f>
        <v>0</v>
      </c>
    </row>
    <row r="400" spans="1:12" ht="12.75">
      <c r="A400" s="154"/>
      <c r="B400" s="154"/>
      <c r="C400" s="60" t="s">
        <v>701</v>
      </c>
      <c r="D400" s="61"/>
      <c r="E400" s="61"/>
      <c r="F400" s="154"/>
      <c r="G400" s="12">
        <v>16</v>
      </c>
      <c r="I400" s="154"/>
      <c r="J400" s="154"/>
      <c r="K400" s="154"/>
      <c r="L400" s="154"/>
    </row>
    <row r="401" spans="1:12" ht="12.75">
      <c r="A401" s="154"/>
      <c r="B401" s="154"/>
      <c r="C401" s="60" t="s">
        <v>702</v>
      </c>
      <c r="D401" s="61"/>
      <c r="E401" s="61"/>
      <c r="F401" s="154"/>
      <c r="G401" s="12">
        <v>30</v>
      </c>
      <c r="I401" s="154"/>
      <c r="J401" s="154"/>
      <c r="K401" s="154"/>
      <c r="L401" s="154"/>
    </row>
    <row r="402" spans="1:12" ht="12.75">
      <c r="A402" s="154"/>
      <c r="B402" s="154"/>
      <c r="C402" s="60" t="s">
        <v>703</v>
      </c>
      <c r="D402" s="61"/>
      <c r="E402" s="61"/>
      <c r="F402" s="154"/>
      <c r="G402" s="12">
        <v>27</v>
      </c>
      <c r="I402" s="154"/>
      <c r="J402" s="154"/>
      <c r="K402" s="154"/>
      <c r="L402" s="154"/>
    </row>
    <row r="403" spans="1:12" ht="12.75">
      <c r="A403" s="154"/>
      <c r="B403" s="154"/>
      <c r="C403" s="60" t="s">
        <v>704</v>
      </c>
      <c r="D403" s="61"/>
      <c r="E403" s="61"/>
      <c r="F403" s="154"/>
      <c r="G403" s="12">
        <v>17</v>
      </c>
      <c r="I403" s="154"/>
      <c r="J403" s="154"/>
      <c r="K403" s="154"/>
      <c r="L403" s="154"/>
    </row>
    <row r="404" spans="1:47" ht="12.75">
      <c r="A404" s="2"/>
      <c r="B404" s="9"/>
      <c r="C404" s="56" t="s">
        <v>510</v>
      </c>
      <c r="D404" s="57"/>
      <c r="E404" s="57"/>
      <c r="F404" s="2" t="s">
        <v>6</v>
      </c>
      <c r="G404" s="2" t="s">
        <v>6</v>
      </c>
      <c r="H404" s="139" t="s">
        <v>6</v>
      </c>
      <c r="I404" s="23">
        <f>SUM(I405:I412)</f>
        <v>0</v>
      </c>
      <c r="J404" s="23">
        <f>SUM(J405:J412)</f>
        <v>0</v>
      </c>
      <c r="K404" s="23">
        <f>SUM(K405:K412)</f>
        <v>0</v>
      </c>
      <c r="L404" s="16"/>
      <c r="AI404" s="137" t="s">
        <v>865</v>
      </c>
      <c r="AS404" s="140">
        <f>SUM(AJ405:AJ412)</f>
        <v>0</v>
      </c>
      <c r="AT404" s="140">
        <f>SUM(AK405:AK412)</f>
        <v>0</v>
      </c>
      <c r="AU404" s="140">
        <f>SUM(AL405:AL412)</f>
        <v>0</v>
      </c>
    </row>
    <row r="405" spans="1:62" ht="12.75">
      <c r="A405" s="5" t="s">
        <v>165</v>
      </c>
      <c r="B405" s="5" t="s">
        <v>352</v>
      </c>
      <c r="C405" s="64" t="s">
        <v>705</v>
      </c>
      <c r="D405" s="65"/>
      <c r="E405" s="65"/>
      <c r="F405" s="5" t="s">
        <v>821</v>
      </c>
      <c r="G405" s="13">
        <v>67.47</v>
      </c>
      <c r="H405" s="146">
        <v>0</v>
      </c>
      <c r="I405" s="13">
        <f>G405*AO405</f>
        <v>0</v>
      </c>
      <c r="J405" s="13">
        <f>G405*AP405</f>
        <v>0</v>
      </c>
      <c r="K405" s="13">
        <f>G405*H405</f>
        <v>0</v>
      </c>
      <c r="L405" s="19" t="s">
        <v>845</v>
      </c>
      <c r="Z405" s="143">
        <f>IF(AQ405="5",BJ405,0)</f>
        <v>0</v>
      </c>
      <c r="AB405" s="143">
        <f>IF(AQ405="1",BH405,0)</f>
        <v>0</v>
      </c>
      <c r="AC405" s="143">
        <f>IF(AQ405="1",BI405,0)</f>
        <v>0</v>
      </c>
      <c r="AD405" s="143">
        <f>IF(AQ405="7",BH405,0)</f>
        <v>0</v>
      </c>
      <c r="AE405" s="143">
        <f>IF(AQ405="7",BI405,0)</f>
        <v>0</v>
      </c>
      <c r="AF405" s="143">
        <f>IF(AQ405="2",BH405,0)</f>
        <v>0</v>
      </c>
      <c r="AG405" s="143">
        <f>IF(AQ405="2",BI405,0)</f>
        <v>0</v>
      </c>
      <c r="AH405" s="143">
        <f>IF(AQ405="0",BJ405,0)</f>
        <v>0</v>
      </c>
      <c r="AI405" s="137" t="s">
        <v>865</v>
      </c>
      <c r="AJ405" s="146">
        <f>IF(AN405=0,K405,0)</f>
        <v>0</v>
      </c>
      <c r="AK405" s="146">
        <f>IF(AN405=15,K405,0)</f>
        <v>0</v>
      </c>
      <c r="AL405" s="146">
        <f>IF(AN405=21,K405,0)</f>
        <v>0</v>
      </c>
      <c r="AN405" s="143">
        <v>21</v>
      </c>
      <c r="AO405" s="143">
        <f>H405*1</f>
        <v>0</v>
      </c>
      <c r="AP405" s="143">
        <f>H405*(1-1)</f>
        <v>0</v>
      </c>
      <c r="AQ405" s="147" t="s">
        <v>882</v>
      </c>
      <c r="AV405" s="143">
        <f>AW405+AX405</f>
        <v>0</v>
      </c>
      <c r="AW405" s="143">
        <f>G405*AO405</f>
        <v>0</v>
      </c>
      <c r="AX405" s="143">
        <f>G405*AP405</f>
        <v>0</v>
      </c>
      <c r="AY405" s="144" t="s">
        <v>892</v>
      </c>
      <c r="AZ405" s="144" t="s">
        <v>925</v>
      </c>
      <c r="BA405" s="137" t="s">
        <v>961</v>
      </c>
      <c r="BC405" s="143">
        <f>AW405+AX405</f>
        <v>0</v>
      </c>
      <c r="BD405" s="143">
        <f>H405/(100-BE405)*100</f>
        <v>0</v>
      </c>
      <c r="BE405" s="143">
        <v>0</v>
      </c>
      <c r="BF405" s="143">
        <f>405</f>
        <v>405</v>
      </c>
      <c r="BH405" s="146">
        <f>G405*AO405</f>
        <v>0</v>
      </c>
      <c r="BI405" s="146">
        <f>G405*AP405</f>
        <v>0</v>
      </c>
      <c r="BJ405" s="146">
        <f>G405*H405</f>
        <v>0</v>
      </c>
    </row>
    <row r="406" spans="1:12" ht="12.75">
      <c r="A406" s="154"/>
      <c r="B406" s="154"/>
      <c r="C406" s="60" t="s">
        <v>706</v>
      </c>
      <c r="D406" s="61"/>
      <c r="E406" s="61"/>
      <c r="F406" s="154"/>
      <c r="G406" s="12">
        <v>5.6</v>
      </c>
      <c r="I406" s="154"/>
      <c r="J406" s="154"/>
      <c r="K406" s="154"/>
      <c r="L406" s="154"/>
    </row>
    <row r="407" spans="1:12" ht="12.75">
      <c r="A407" s="154"/>
      <c r="B407" s="154"/>
      <c r="C407" s="60" t="s">
        <v>707</v>
      </c>
      <c r="D407" s="61"/>
      <c r="E407" s="61"/>
      <c r="F407" s="154"/>
      <c r="G407" s="12">
        <v>27.76</v>
      </c>
      <c r="I407" s="154"/>
      <c r="J407" s="154"/>
      <c r="K407" s="154"/>
      <c r="L407" s="154"/>
    </row>
    <row r="408" spans="1:12" ht="12.75">
      <c r="A408" s="154"/>
      <c r="B408" s="154"/>
      <c r="C408" s="60" t="s">
        <v>708</v>
      </c>
      <c r="D408" s="61"/>
      <c r="E408" s="61"/>
      <c r="F408" s="154"/>
      <c r="G408" s="12">
        <v>17.5</v>
      </c>
      <c r="I408" s="154"/>
      <c r="J408" s="154"/>
      <c r="K408" s="154"/>
      <c r="L408" s="154"/>
    </row>
    <row r="409" spans="1:12" ht="12.75">
      <c r="A409" s="154"/>
      <c r="B409" s="154"/>
      <c r="C409" s="60" t="s">
        <v>709</v>
      </c>
      <c r="D409" s="61"/>
      <c r="E409" s="61"/>
      <c r="F409" s="154"/>
      <c r="G409" s="12">
        <v>7.91</v>
      </c>
      <c r="I409" s="154"/>
      <c r="J409" s="154"/>
      <c r="K409" s="154"/>
      <c r="L409" s="154"/>
    </row>
    <row r="410" spans="1:12" ht="12.75">
      <c r="A410" s="154"/>
      <c r="B410" s="154"/>
      <c r="C410" s="60" t="s">
        <v>710</v>
      </c>
      <c r="D410" s="61"/>
      <c r="E410" s="61"/>
      <c r="F410" s="154"/>
      <c r="G410" s="12">
        <v>5.1</v>
      </c>
      <c r="I410" s="154"/>
      <c r="J410" s="154"/>
      <c r="K410" s="154"/>
      <c r="L410" s="154"/>
    </row>
    <row r="411" spans="1:12" ht="12.75">
      <c r="A411" s="154"/>
      <c r="B411" s="154"/>
      <c r="C411" s="60" t="s">
        <v>711</v>
      </c>
      <c r="D411" s="61"/>
      <c r="E411" s="61"/>
      <c r="F411" s="154"/>
      <c r="G411" s="12">
        <v>3.6</v>
      </c>
      <c r="I411" s="154"/>
      <c r="J411" s="154"/>
      <c r="K411" s="154"/>
      <c r="L411" s="154"/>
    </row>
    <row r="412" spans="1:62" ht="12.75">
      <c r="A412" s="5" t="s">
        <v>166</v>
      </c>
      <c r="B412" s="5" t="s">
        <v>353</v>
      </c>
      <c r="C412" s="64" t="s">
        <v>712</v>
      </c>
      <c r="D412" s="65"/>
      <c r="E412" s="65"/>
      <c r="F412" s="5" t="s">
        <v>818</v>
      </c>
      <c r="G412" s="13">
        <v>101</v>
      </c>
      <c r="H412" s="146">
        <v>0</v>
      </c>
      <c r="I412" s="13">
        <f>G412*AO412</f>
        <v>0</v>
      </c>
      <c r="J412" s="13">
        <f>G412*AP412</f>
        <v>0</v>
      </c>
      <c r="K412" s="13">
        <f>G412*H412</f>
        <v>0</v>
      </c>
      <c r="L412" s="19" t="s">
        <v>845</v>
      </c>
      <c r="Z412" s="143">
        <f>IF(AQ412="5",BJ412,0)</f>
        <v>0</v>
      </c>
      <c r="AB412" s="143">
        <f>IF(AQ412="1",BH412,0)</f>
        <v>0</v>
      </c>
      <c r="AC412" s="143">
        <f>IF(AQ412="1",BI412,0)</f>
        <v>0</v>
      </c>
      <c r="AD412" s="143">
        <f>IF(AQ412="7",BH412,0)</f>
        <v>0</v>
      </c>
      <c r="AE412" s="143">
        <f>IF(AQ412="7",BI412,0)</f>
        <v>0</v>
      </c>
      <c r="AF412" s="143">
        <f>IF(AQ412="2",BH412,0)</f>
        <v>0</v>
      </c>
      <c r="AG412" s="143">
        <f>IF(AQ412="2",BI412,0)</f>
        <v>0</v>
      </c>
      <c r="AH412" s="143">
        <f>IF(AQ412="0",BJ412,0)</f>
        <v>0</v>
      </c>
      <c r="AI412" s="137" t="s">
        <v>865</v>
      </c>
      <c r="AJ412" s="146">
        <f>IF(AN412=0,K412,0)</f>
        <v>0</v>
      </c>
      <c r="AK412" s="146">
        <f>IF(AN412=15,K412,0)</f>
        <v>0</v>
      </c>
      <c r="AL412" s="146">
        <f>IF(AN412=21,K412,0)</f>
        <v>0</v>
      </c>
      <c r="AN412" s="143">
        <v>21</v>
      </c>
      <c r="AO412" s="143">
        <f>H412*1</f>
        <v>0</v>
      </c>
      <c r="AP412" s="143">
        <f>H412*(1-1)</f>
        <v>0</v>
      </c>
      <c r="AQ412" s="147" t="s">
        <v>882</v>
      </c>
      <c r="AV412" s="143">
        <f>AW412+AX412</f>
        <v>0</v>
      </c>
      <c r="AW412" s="143">
        <f>G412*AO412</f>
        <v>0</v>
      </c>
      <c r="AX412" s="143">
        <f>G412*AP412</f>
        <v>0</v>
      </c>
      <c r="AY412" s="144" t="s">
        <v>892</v>
      </c>
      <c r="AZ412" s="144" t="s">
        <v>925</v>
      </c>
      <c r="BA412" s="137" t="s">
        <v>961</v>
      </c>
      <c r="BC412" s="143">
        <f>AW412+AX412</f>
        <v>0</v>
      </c>
      <c r="BD412" s="143">
        <f>H412/(100-BE412)*100</f>
        <v>0</v>
      </c>
      <c r="BE412" s="143">
        <v>0</v>
      </c>
      <c r="BF412" s="143">
        <f>412</f>
        <v>412</v>
      </c>
      <c r="BH412" s="146">
        <f>G412*AO412</f>
        <v>0</v>
      </c>
      <c r="BI412" s="146">
        <f>G412*AP412</f>
        <v>0</v>
      </c>
      <c r="BJ412" s="146">
        <f>G412*H412</f>
        <v>0</v>
      </c>
    </row>
    <row r="413" spans="1:12" ht="12.75">
      <c r="A413" s="154"/>
      <c r="B413" s="154"/>
      <c r="C413" s="60" t="s">
        <v>713</v>
      </c>
      <c r="D413" s="61"/>
      <c r="E413" s="61"/>
      <c r="F413" s="154"/>
      <c r="G413" s="12">
        <v>101</v>
      </c>
      <c r="I413" s="154"/>
      <c r="J413" s="154"/>
      <c r="K413" s="154"/>
      <c r="L413" s="154"/>
    </row>
    <row r="414" spans="1:12" ht="12.75">
      <c r="A414" s="4"/>
      <c r="B414" s="10"/>
      <c r="C414" s="62" t="s">
        <v>714</v>
      </c>
      <c r="D414" s="63"/>
      <c r="E414" s="63"/>
      <c r="F414" s="4" t="s">
        <v>6</v>
      </c>
      <c r="G414" s="4" t="s">
        <v>6</v>
      </c>
      <c r="H414" s="145" t="s">
        <v>6</v>
      </c>
      <c r="I414" s="24">
        <f>I415+I424+I428+I433+I436+I440+I445</f>
        <v>0</v>
      </c>
      <c r="J414" s="24">
        <f>J415+J424+J428+J433+J436+J440+J445</f>
        <v>0</v>
      </c>
      <c r="K414" s="24">
        <f>K415+K424+K428+K433+K436+K440+K445</f>
        <v>0</v>
      </c>
      <c r="L414" s="18"/>
    </row>
    <row r="415" spans="1:47" ht="12.75">
      <c r="A415" s="2"/>
      <c r="B415" s="9" t="s">
        <v>39</v>
      </c>
      <c r="C415" s="56" t="s">
        <v>715</v>
      </c>
      <c r="D415" s="57"/>
      <c r="E415" s="57"/>
      <c r="F415" s="2" t="s">
        <v>6</v>
      </c>
      <c r="G415" s="2" t="s">
        <v>6</v>
      </c>
      <c r="H415" s="139" t="s">
        <v>6</v>
      </c>
      <c r="I415" s="23">
        <f>SUM(I416:I418)</f>
        <v>0</v>
      </c>
      <c r="J415" s="23">
        <f>SUM(J416:J418)</f>
        <v>0</v>
      </c>
      <c r="K415" s="23">
        <f>SUM(K416:K418)</f>
        <v>0</v>
      </c>
      <c r="L415" s="16"/>
      <c r="AI415" s="137" t="s">
        <v>866</v>
      </c>
      <c r="AS415" s="140">
        <f>SUM(AJ416:AJ418)</f>
        <v>0</v>
      </c>
      <c r="AT415" s="140">
        <f>SUM(AK416:AK418)</f>
        <v>0</v>
      </c>
      <c r="AU415" s="140">
        <f>SUM(AL416:AL418)</f>
        <v>0</v>
      </c>
    </row>
    <row r="416" spans="1:62" ht="12.75">
      <c r="A416" s="3" t="s">
        <v>167</v>
      </c>
      <c r="B416" s="3" t="s">
        <v>354</v>
      </c>
      <c r="C416" s="58" t="s">
        <v>716</v>
      </c>
      <c r="D416" s="59"/>
      <c r="E416" s="59"/>
      <c r="F416" s="3" t="s">
        <v>816</v>
      </c>
      <c r="G416" s="11">
        <v>3</v>
      </c>
      <c r="H416" s="141">
        <v>0</v>
      </c>
      <c r="I416" s="11">
        <f>G416*AO416</f>
        <v>0</v>
      </c>
      <c r="J416" s="11">
        <f>G416*AP416</f>
        <v>0</v>
      </c>
      <c r="K416" s="11">
        <f>G416*H416</f>
        <v>0</v>
      </c>
      <c r="L416" s="17" t="s">
        <v>845</v>
      </c>
      <c r="Z416" s="143">
        <f>IF(AQ416="5",BJ416,0)</f>
        <v>0</v>
      </c>
      <c r="AB416" s="143">
        <f>IF(AQ416="1",BH416,0)</f>
        <v>0</v>
      </c>
      <c r="AC416" s="143">
        <f>IF(AQ416="1",BI416,0)</f>
        <v>0</v>
      </c>
      <c r="AD416" s="143">
        <f>IF(AQ416="7",BH416,0)</f>
        <v>0</v>
      </c>
      <c r="AE416" s="143">
        <f>IF(AQ416="7",BI416,0)</f>
        <v>0</v>
      </c>
      <c r="AF416" s="143">
        <f>IF(AQ416="2",BH416,0)</f>
        <v>0</v>
      </c>
      <c r="AG416" s="143">
        <f>IF(AQ416="2",BI416,0)</f>
        <v>0</v>
      </c>
      <c r="AH416" s="143">
        <f>IF(AQ416="0",BJ416,0)</f>
        <v>0</v>
      </c>
      <c r="AI416" s="137" t="s">
        <v>866</v>
      </c>
      <c r="AJ416" s="141">
        <f>IF(AN416=0,K416,0)</f>
        <v>0</v>
      </c>
      <c r="AK416" s="141">
        <f>IF(AN416=15,K416,0)</f>
        <v>0</v>
      </c>
      <c r="AL416" s="141">
        <f>IF(AN416=21,K416,0)</f>
        <v>0</v>
      </c>
      <c r="AN416" s="143">
        <v>21</v>
      </c>
      <c r="AO416" s="143">
        <f>H416*0</f>
        <v>0</v>
      </c>
      <c r="AP416" s="143">
        <f>H416*(1-0)</f>
        <v>0</v>
      </c>
      <c r="AQ416" s="142" t="s">
        <v>7</v>
      </c>
      <c r="AV416" s="143">
        <f>AW416+AX416</f>
        <v>0</v>
      </c>
      <c r="AW416" s="143">
        <f>G416*AO416</f>
        <v>0</v>
      </c>
      <c r="AX416" s="143">
        <f>G416*AP416</f>
        <v>0</v>
      </c>
      <c r="AY416" s="144" t="s">
        <v>899</v>
      </c>
      <c r="AZ416" s="144" t="s">
        <v>926</v>
      </c>
      <c r="BA416" s="137" t="s">
        <v>962</v>
      </c>
      <c r="BC416" s="143">
        <f>AW416+AX416</f>
        <v>0</v>
      </c>
      <c r="BD416" s="143">
        <f>H416/(100-BE416)*100</f>
        <v>0</v>
      </c>
      <c r="BE416" s="143">
        <v>0</v>
      </c>
      <c r="BF416" s="143">
        <f>416</f>
        <v>416</v>
      </c>
      <c r="BH416" s="141">
        <f>G416*AO416</f>
        <v>0</v>
      </c>
      <c r="BI416" s="141">
        <f>G416*AP416</f>
        <v>0</v>
      </c>
      <c r="BJ416" s="141">
        <f>G416*H416</f>
        <v>0</v>
      </c>
    </row>
    <row r="417" spans="1:12" ht="12.75">
      <c r="A417" s="154"/>
      <c r="B417" s="154"/>
      <c r="C417" s="60" t="s">
        <v>717</v>
      </c>
      <c r="D417" s="61"/>
      <c r="E417" s="61"/>
      <c r="F417" s="154"/>
      <c r="G417" s="12">
        <v>3</v>
      </c>
      <c r="I417" s="154"/>
      <c r="J417" s="154"/>
      <c r="K417" s="154"/>
      <c r="L417" s="154"/>
    </row>
    <row r="418" spans="1:62" ht="12.75">
      <c r="A418" s="3" t="s">
        <v>168</v>
      </c>
      <c r="B418" s="3" t="s">
        <v>355</v>
      </c>
      <c r="C418" s="58" t="s">
        <v>718</v>
      </c>
      <c r="D418" s="59"/>
      <c r="E418" s="59"/>
      <c r="F418" s="3" t="s">
        <v>822</v>
      </c>
      <c r="G418" s="11">
        <v>1</v>
      </c>
      <c r="H418" s="141">
        <v>0</v>
      </c>
      <c r="I418" s="11">
        <f>G418*AO418</f>
        <v>0</v>
      </c>
      <c r="J418" s="11">
        <f>G418*AP418</f>
        <v>0</v>
      </c>
      <c r="K418" s="11">
        <f>G418*H418</f>
        <v>0</v>
      </c>
      <c r="L418" s="17" t="s">
        <v>845</v>
      </c>
      <c r="Z418" s="143">
        <f>IF(AQ418="5",BJ418,0)</f>
        <v>0</v>
      </c>
      <c r="AB418" s="143">
        <f>IF(AQ418="1",BH418,0)</f>
        <v>0</v>
      </c>
      <c r="AC418" s="143">
        <f>IF(AQ418="1",BI418,0)</f>
        <v>0</v>
      </c>
      <c r="AD418" s="143">
        <f>IF(AQ418="7",BH418,0)</f>
        <v>0</v>
      </c>
      <c r="AE418" s="143">
        <f>IF(AQ418="7",BI418,0)</f>
        <v>0</v>
      </c>
      <c r="AF418" s="143">
        <f>IF(AQ418="2",BH418,0)</f>
        <v>0</v>
      </c>
      <c r="AG418" s="143">
        <f>IF(AQ418="2",BI418,0)</f>
        <v>0</v>
      </c>
      <c r="AH418" s="143">
        <f>IF(AQ418="0",BJ418,0)</f>
        <v>0</v>
      </c>
      <c r="AI418" s="137" t="s">
        <v>866</v>
      </c>
      <c r="AJ418" s="141">
        <f>IF(AN418=0,K418,0)</f>
        <v>0</v>
      </c>
      <c r="AK418" s="141">
        <f>IF(AN418=15,K418,0)</f>
        <v>0</v>
      </c>
      <c r="AL418" s="141">
        <f>IF(AN418=21,K418,0)</f>
        <v>0</v>
      </c>
      <c r="AN418" s="143">
        <v>21</v>
      </c>
      <c r="AO418" s="143">
        <f>H418*0</f>
        <v>0</v>
      </c>
      <c r="AP418" s="143">
        <f>H418*(1-0)</f>
        <v>0</v>
      </c>
      <c r="AQ418" s="142" t="s">
        <v>7</v>
      </c>
      <c r="AV418" s="143">
        <f>AW418+AX418</f>
        <v>0</v>
      </c>
      <c r="AW418" s="143">
        <f>G418*AO418</f>
        <v>0</v>
      </c>
      <c r="AX418" s="143">
        <f>G418*AP418</f>
        <v>0</v>
      </c>
      <c r="AY418" s="144" t="s">
        <v>899</v>
      </c>
      <c r="AZ418" s="144" t="s">
        <v>926</v>
      </c>
      <c r="BA418" s="137" t="s">
        <v>962</v>
      </c>
      <c r="BC418" s="143">
        <f>AW418+AX418</f>
        <v>0</v>
      </c>
      <c r="BD418" s="143">
        <f>H418/(100-BE418)*100</f>
        <v>0</v>
      </c>
      <c r="BE418" s="143">
        <v>0</v>
      </c>
      <c r="BF418" s="143">
        <f>418</f>
        <v>418</v>
      </c>
      <c r="BH418" s="141">
        <f>G418*AO418</f>
        <v>0</v>
      </c>
      <c r="BI418" s="141">
        <f>G418*AP418</f>
        <v>0</v>
      </c>
      <c r="BJ418" s="141">
        <f>G418*H418</f>
        <v>0</v>
      </c>
    </row>
    <row r="419" spans="1:12" ht="12.75">
      <c r="A419" s="154"/>
      <c r="B419" s="154"/>
      <c r="C419" s="60" t="s">
        <v>719</v>
      </c>
      <c r="D419" s="61"/>
      <c r="E419" s="61"/>
      <c r="F419" s="154"/>
      <c r="G419" s="12">
        <v>1</v>
      </c>
      <c r="I419" s="154"/>
      <c r="J419" s="154"/>
      <c r="K419" s="154"/>
      <c r="L419" s="154"/>
    </row>
    <row r="420" spans="1:12" ht="12.75">
      <c r="A420" s="154"/>
      <c r="B420" s="154"/>
      <c r="C420" s="60" t="s">
        <v>720</v>
      </c>
      <c r="D420" s="61"/>
      <c r="E420" s="61"/>
      <c r="F420" s="154"/>
      <c r="G420" s="12">
        <v>0</v>
      </c>
      <c r="I420" s="154"/>
      <c r="J420" s="154"/>
      <c r="K420" s="154"/>
      <c r="L420" s="154"/>
    </row>
    <row r="421" spans="1:12" ht="12.75">
      <c r="A421" s="154"/>
      <c r="B421" s="154"/>
      <c r="C421" s="60" t="s">
        <v>721</v>
      </c>
      <c r="D421" s="61"/>
      <c r="E421" s="61"/>
      <c r="F421" s="154"/>
      <c r="G421" s="12">
        <v>0</v>
      </c>
      <c r="I421" s="154"/>
      <c r="J421" s="154"/>
      <c r="K421" s="154"/>
      <c r="L421" s="154"/>
    </row>
    <row r="422" spans="1:12" ht="12.75">
      <c r="A422" s="154"/>
      <c r="B422" s="154"/>
      <c r="C422" s="60" t="s">
        <v>722</v>
      </c>
      <c r="D422" s="61"/>
      <c r="E422" s="61"/>
      <c r="F422" s="154"/>
      <c r="G422" s="12">
        <v>0</v>
      </c>
      <c r="I422" s="154"/>
      <c r="J422" s="154"/>
      <c r="K422" s="154"/>
      <c r="L422" s="154"/>
    </row>
    <row r="423" spans="1:12" ht="12.75">
      <c r="A423" s="154"/>
      <c r="B423" s="154"/>
      <c r="C423" s="60" t="s">
        <v>723</v>
      </c>
      <c r="D423" s="61"/>
      <c r="E423" s="61"/>
      <c r="F423" s="154"/>
      <c r="G423" s="12">
        <v>0</v>
      </c>
      <c r="I423" s="154"/>
      <c r="J423" s="154"/>
      <c r="K423" s="154"/>
      <c r="L423" s="154"/>
    </row>
    <row r="424" spans="1:47" ht="12.75">
      <c r="A424" s="2"/>
      <c r="B424" s="9" t="s">
        <v>62</v>
      </c>
      <c r="C424" s="56" t="s">
        <v>489</v>
      </c>
      <c r="D424" s="57"/>
      <c r="E424" s="57"/>
      <c r="F424" s="2" t="s">
        <v>6</v>
      </c>
      <c r="G424" s="2" t="s">
        <v>6</v>
      </c>
      <c r="H424" s="139" t="s">
        <v>6</v>
      </c>
      <c r="I424" s="23">
        <f>SUM(I425:I425)</f>
        <v>0</v>
      </c>
      <c r="J424" s="23">
        <f>SUM(J425:J425)</f>
        <v>0</v>
      </c>
      <c r="K424" s="23">
        <f>SUM(K425:K425)</f>
        <v>0</v>
      </c>
      <c r="L424" s="16"/>
      <c r="AI424" s="137" t="s">
        <v>866</v>
      </c>
      <c r="AS424" s="140">
        <f>SUM(AJ425:AJ425)</f>
        <v>0</v>
      </c>
      <c r="AT424" s="140">
        <f>SUM(AK425:AK425)</f>
        <v>0</v>
      </c>
      <c r="AU424" s="140">
        <f>SUM(AL425:AL425)</f>
        <v>0</v>
      </c>
    </row>
    <row r="425" spans="1:62" ht="12.75">
      <c r="A425" s="3" t="s">
        <v>169</v>
      </c>
      <c r="B425" s="3" t="s">
        <v>356</v>
      </c>
      <c r="C425" s="58" t="s">
        <v>724</v>
      </c>
      <c r="D425" s="59"/>
      <c r="E425" s="59"/>
      <c r="F425" s="3" t="s">
        <v>818</v>
      </c>
      <c r="G425" s="11">
        <v>96.4</v>
      </c>
      <c r="H425" s="141">
        <v>0</v>
      </c>
      <c r="I425" s="11">
        <f>G425*AO425</f>
        <v>0</v>
      </c>
      <c r="J425" s="11">
        <f>G425*AP425</f>
        <v>0</v>
      </c>
      <c r="K425" s="11">
        <f>G425*H425</f>
        <v>0</v>
      </c>
      <c r="L425" s="17" t="s">
        <v>845</v>
      </c>
      <c r="Z425" s="143">
        <f>IF(AQ425="5",BJ425,0)</f>
        <v>0</v>
      </c>
      <c r="AB425" s="143">
        <f>IF(AQ425="1",BH425,0)</f>
        <v>0</v>
      </c>
      <c r="AC425" s="143">
        <f>IF(AQ425="1",BI425,0)</f>
        <v>0</v>
      </c>
      <c r="AD425" s="143">
        <f>IF(AQ425="7",BH425,0)</f>
        <v>0</v>
      </c>
      <c r="AE425" s="143">
        <f>IF(AQ425="7",BI425,0)</f>
        <v>0</v>
      </c>
      <c r="AF425" s="143">
        <f>IF(AQ425="2",BH425,0)</f>
        <v>0</v>
      </c>
      <c r="AG425" s="143">
        <f>IF(AQ425="2",BI425,0)</f>
        <v>0</v>
      </c>
      <c r="AH425" s="143">
        <f>IF(AQ425="0",BJ425,0)</f>
        <v>0</v>
      </c>
      <c r="AI425" s="137" t="s">
        <v>866</v>
      </c>
      <c r="AJ425" s="141">
        <f>IF(AN425=0,K425,0)</f>
        <v>0</v>
      </c>
      <c r="AK425" s="141">
        <f>IF(AN425=15,K425,0)</f>
        <v>0</v>
      </c>
      <c r="AL425" s="141">
        <f>IF(AN425=21,K425,0)</f>
        <v>0</v>
      </c>
      <c r="AN425" s="143">
        <v>21</v>
      </c>
      <c r="AO425" s="143">
        <f>H425*0.767367256637168</f>
        <v>0</v>
      </c>
      <c r="AP425" s="143">
        <f>H425*(1-0.767367256637168)</f>
        <v>0</v>
      </c>
      <c r="AQ425" s="142" t="s">
        <v>7</v>
      </c>
      <c r="AV425" s="143">
        <f>AW425+AX425</f>
        <v>0</v>
      </c>
      <c r="AW425" s="143">
        <f>G425*AO425</f>
        <v>0</v>
      </c>
      <c r="AX425" s="143">
        <f>G425*AP425</f>
        <v>0</v>
      </c>
      <c r="AY425" s="144" t="s">
        <v>890</v>
      </c>
      <c r="AZ425" s="144" t="s">
        <v>927</v>
      </c>
      <c r="BA425" s="137" t="s">
        <v>962</v>
      </c>
      <c r="BC425" s="143">
        <f>AW425+AX425</f>
        <v>0</v>
      </c>
      <c r="BD425" s="143">
        <f>H425/(100-BE425)*100</f>
        <v>0</v>
      </c>
      <c r="BE425" s="143">
        <v>0</v>
      </c>
      <c r="BF425" s="143">
        <f>425</f>
        <v>425</v>
      </c>
      <c r="BH425" s="141">
        <f>G425*AO425</f>
        <v>0</v>
      </c>
      <c r="BI425" s="141">
        <f>G425*AP425</f>
        <v>0</v>
      </c>
      <c r="BJ425" s="141">
        <f>G425*H425</f>
        <v>0</v>
      </c>
    </row>
    <row r="426" spans="1:12" ht="12.75">
      <c r="A426" s="154"/>
      <c r="B426" s="154"/>
      <c r="C426" s="60" t="s">
        <v>725</v>
      </c>
      <c r="D426" s="61"/>
      <c r="E426" s="61"/>
      <c r="F426" s="154"/>
      <c r="G426" s="12">
        <v>50.4</v>
      </c>
      <c r="I426" s="154"/>
      <c r="J426" s="154"/>
      <c r="K426" s="154"/>
      <c r="L426" s="154"/>
    </row>
    <row r="427" spans="1:12" ht="12.75">
      <c r="A427" s="154"/>
      <c r="B427" s="154"/>
      <c r="C427" s="60" t="s">
        <v>726</v>
      </c>
      <c r="D427" s="61"/>
      <c r="E427" s="61"/>
      <c r="F427" s="154"/>
      <c r="G427" s="12">
        <v>46</v>
      </c>
      <c r="I427" s="154"/>
      <c r="J427" s="154"/>
      <c r="K427" s="154"/>
      <c r="L427" s="154"/>
    </row>
    <row r="428" spans="1:47" ht="12.75">
      <c r="A428" s="2"/>
      <c r="B428" s="9" t="s">
        <v>357</v>
      </c>
      <c r="C428" s="56" t="s">
        <v>727</v>
      </c>
      <c r="D428" s="57"/>
      <c r="E428" s="57"/>
      <c r="F428" s="2" t="s">
        <v>6</v>
      </c>
      <c r="G428" s="2" t="s">
        <v>6</v>
      </c>
      <c r="H428" s="139" t="s">
        <v>6</v>
      </c>
      <c r="I428" s="23">
        <f>SUM(I429:I431)</f>
        <v>0</v>
      </c>
      <c r="J428" s="23">
        <f>SUM(J429:J431)</f>
        <v>0</v>
      </c>
      <c r="K428" s="23">
        <f>SUM(K429:K431)</f>
        <v>0</v>
      </c>
      <c r="L428" s="16"/>
      <c r="AI428" s="137" t="s">
        <v>866</v>
      </c>
      <c r="AS428" s="140">
        <f>SUM(AJ429:AJ431)</f>
        <v>0</v>
      </c>
      <c r="AT428" s="140">
        <f>SUM(AK429:AK431)</f>
        <v>0</v>
      </c>
      <c r="AU428" s="140">
        <f>SUM(AL429:AL431)</f>
        <v>0</v>
      </c>
    </row>
    <row r="429" spans="1:62" ht="12.75">
      <c r="A429" s="3" t="s">
        <v>170</v>
      </c>
      <c r="B429" s="3" t="s">
        <v>358</v>
      </c>
      <c r="C429" s="58" t="s">
        <v>728</v>
      </c>
      <c r="D429" s="59"/>
      <c r="E429" s="59"/>
      <c r="F429" s="3" t="s">
        <v>815</v>
      </c>
      <c r="G429" s="11">
        <v>32</v>
      </c>
      <c r="H429" s="141">
        <v>0</v>
      </c>
      <c r="I429" s="11">
        <f>G429*AO429</f>
        <v>0</v>
      </c>
      <c r="J429" s="11">
        <f>G429*AP429</f>
        <v>0</v>
      </c>
      <c r="K429" s="11">
        <f>G429*H429</f>
        <v>0</v>
      </c>
      <c r="L429" s="17" t="s">
        <v>845</v>
      </c>
      <c r="Z429" s="143">
        <f>IF(AQ429="5",BJ429,0)</f>
        <v>0</v>
      </c>
      <c r="AB429" s="143">
        <f>IF(AQ429="1",BH429,0)</f>
        <v>0</v>
      </c>
      <c r="AC429" s="143">
        <f>IF(AQ429="1",BI429,0)</f>
        <v>0</v>
      </c>
      <c r="AD429" s="143">
        <f>IF(AQ429="7",BH429,0)</f>
        <v>0</v>
      </c>
      <c r="AE429" s="143">
        <f>IF(AQ429="7",BI429,0)</f>
        <v>0</v>
      </c>
      <c r="AF429" s="143">
        <f>IF(AQ429="2",BH429,0)</f>
        <v>0</v>
      </c>
      <c r="AG429" s="143">
        <f>IF(AQ429="2",BI429,0)</f>
        <v>0</v>
      </c>
      <c r="AH429" s="143">
        <f>IF(AQ429="0",BJ429,0)</f>
        <v>0</v>
      </c>
      <c r="AI429" s="137" t="s">
        <v>866</v>
      </c>
      <c r="AJ429" s="141">
        <f>IF(AN429=0,K429,0)</f>
        <v>0</v>
      </c>
      <c r="AK429" s="141">
        <f>IF(AN429=15,K429,0)</f>
        <v>0</v>
      </c>
      <c r="AL429" s="141">
        <f>IF(AN429=21,K429,0)</f>
        <v>0</v>
      </c>
      <c r="AN429" s="143">
        <v>21</v>
      </c>
      <c r="AO429" s="143">
        <f>H429*0.214773035146918</f>
        <v>0</v>
      </c>
      <c r="AP429" s="143">
        <f>H429*(1-0.214773035146918)</f>
        <v>0</v>
      </c>
      <c r="AQ429" s="142" t="s">
        <v>13</v>
      </c>
      <c r="AV429" s="143">
        <f>AW429+AX429</f>
        <v>0</v>
      </c>
      <c r="AW429" s="143">
        <f>G429*AO429</f>
        <v>0</v>
      </c>
      <c r="AX429" s="143">
        <f>G429*AP429</f>
        <v>0</v>
      </c>
      <c r="AY429" s="144" t="s">
        <v>900</v>
      </c>
      <c r="AZ429" s="144" t="s">
        <v>928</v>
      </c>
      <c r="BA429" s="137" t="s">
        <v>962</v>
      </c>
      <c r="BC429" s="143">
        <f>AW429+AX429</f>
        <v>0</v>
      </c>
      <c r="BD429" s="143">
        <f>H429/(100-BE429)*100</f>
        <v>0</v>
      </c>
      <c r="BE429" s="143">
        <v>0</v>
      </c>
      <c r="BF429" s="143">
        <f>429</f>
        <v>429</v>
      </c>
      <c r="BH429" s="141">
        <f>G429*AO429</f>
        <v>0</v>
      </c>
      <c r="BI429" s="141">
        <f>G429*AP429</f>
        <v>0</v>
      </c>
      <c r="BJ429" s="141">
        <f>G429*H429</f>
        <v>0</v>
      </c>
    </row>
    <row r="430" spans="1:12" ht="12.75">
      <c r="A430" s="154"/>
      <c r="B430" s="154"/>
      <c r="C430" s="60" t="s">
        <v>729</v>
      </c>
      <c r="D430" s="61"/>
      <c r="E430" s="61"/>
      <c r="F430" s="154"/>
      <c r="G430" s="12">
        <v>32</v>
      </c>
      <c r="I430" s="154"/>
      <c r="J430" s="154"/>
      <c r="K430" s="154"/>
      <c r="L430" s="154"/>
    </row>
    <row r="431" spans="1:62" ht="12.75">
      <c r="A431" s="3" t="s">
        <v>171</v>
      </c>
      <c r="B431" s="3" t="s">
        <v>359</v>
      </c>
      <c r="C431" s="58" t="s">
        <v>730</v>
      </c>
      <c r="D431" s="59"/>
      <c r="E431" s="59"/>
      <c r="F431" s="3" t="s">
        <v>816</v>
      </c>
      <c r="G431" s="11">
        <v>2</v>
      </c>
      <c r="H431" s="141">
        <v>0</v>
      </c>
      <c r="I431" s="11">
        <f>G431*AO431</f>
        <v>0</v>
      </c>
      <c r="J431" s="11">
        <f>G431*AP431</f>
        <v>0</v>
      </c>
      <c r="K431" s="11">
        <f>G431*H431</f>
        <v>0</v>
      </c>
      <c r="L431" s="17" t="s">
        <v>845</v>
      </c>
      <c r="Z431" s="143">
        <f>IF(AQ431="5",BJ431,0)</f>
        <v>0</v>
      </c>
      <c r="AB431" s="143">
        <f>IF(AQ431="1",BH431,0)</f>
        <v>0</v>
      </c>
      <c r="AC431" s="143">
        <f>IF(AQ431="1",BI431,0)</f>
        <v>0</v>
      </c>
      <c r="AD431" s="143">
        <f>IF(AQ431="7",BH431,0)</f>
        <v>0</v>
      </c>
      <c r="AE431" s="143">
        <f>IF(AQ431="7",BI431,0)</f>
        <v>0</v>
      </c>
      <c r="AF431" s="143">
        <f>IF(AQ431="2",BH431,0)</f>
        <v>0</v>
      </c>
      <c r="AG431" s="143">
        <f>IF(AQ431="2",BI431,0)</f>
        <v>0</v>
      </c>
      <c r="AH431" s="143">
        <f>IF(AQ431="0",BJ431,0)</f>
        <v>0</v>
      </c>
      <c r="AI431" s="137" t="s">
        <v>866</v>
      </c>
      <c r="AJ431" s="141">
        <f>IF(AN431=0,K431,0)</f>
        <v>0</v>
      </c>
      <c r="AK431" s="141">
        <f>IF(AN431=15,K431,0)</f>
        <v>0</v>
      </c>
      <c r="AL431" s="141">
        <f>IF(AN431=21,K431,0)</f>
        <v>0</v>
      </c>
      <c r="AN431" s="143">
        <v>21</v>
      </c>
      <c r="AO431" s="143">
        <f>H431*0.817577925396014</f>
        <v>0</v>
      </c>
      <c r="AP431" s="143">
        <f>H431*(1-0.817577925396014)</f>
        <v>0</v>
      </c>
      <c r="AQ431" s="142" t="s">
        <v>13</v>
      </c>
      <c r="AV431" s="143">
        <f>AW431+AX431</f>
        <v>0</v>
      </c>
      <c r="AW431" s="143">
        <f>G431*AO431</f>
        <v>0</v>
      </c>
      <c r="AX431" s="143">
        <f>G431*AP431</f>
        <v>0</v>
      </c>
      <c r="AY431" s="144" t="s">
        <v>900</v>
      </c>
      <c r="AZ431" s="144" t="s">
        <v>928</v>
      </c>
      <c r="BA431" s="137" t="s">
        <v>962</v>
      </c>
      <c r="BC431" s="143">
        <f>AW431+AX431</f>
        <v>0</v>
      </c>
      <c r="BD431" s="143">
        <f>H431/(100-BE431)*100</f>
        <v>0</v>
      </c>
      <c r="BE431" s="143">
        <v>0</v>
      </c>
      <c r="BF431" s="143">
        <f>431</f>
        <v>431</v>
      </c>
      <c r="BH431" s="141">
        <f>G431*AO431</f>
        <v>0</v>
      </c>
      <c r="BI431" s="141">
        <f>G431*AP431</f>
        <v>0</v>
      </c>
      <c r="BJ431" s="141">
        <f>G431*H431</f>
        <v>0</v>
      </c>
    </row>
    <row r="432" spans="1:12" ht="12.75">
      <c r="A432" s="154"/>
      <c r="B432" s="154"/>
      <c r="C432" s="60" t="s">
        <v>561</v>
      </c>
      <c r="D432" s="61"/>
      <c r="E432" s="61"/>
      <c r="F432" s="154"/>
      <c r="G432" s="12">
        <v>2</v>
      </c>
      <c r="I432" s="154"/>
      <c r="J432" s="154"/>
      <c r="K432" s="154"/>
      <c r="L432" s="154"/>
    </row>
    <row r="433" spans="1:47" ht="12.75">
      <c r="A433" s="2"/>
      <c r="B433" s="9" t="s">
        <v>360</v>
      </c>
      <c r="C433" s="56" t="s">
        <v>731</v>
      </c>
      <c r="D433" s="57"/>
      <c r="E433" s="57"/>
      <c r="F433" s="2" t="s">
        <v>6</v>
      </c>
      <c r="G433" s="2" t="s">
        <v>6</v>
      </c>
      <c r="H433" s="139" t="s">
        <v>6</v>
      </c>
      <c r="I433" s="23">
        <f>SUM(I434:I434)</f>
        <v>0</v>
      </c>
      <c r="J433" s="23">
        <f>SUM(J434:J434)</f>
        <v>0</v>
      </c>
      <c r="K433" s="23">
        <f>SUM(K434:K434)</f>
        <v>0</v>
      </c>
      <c r="L433" s="16"/>
      <c r="AI433" s="137" t="s">
        <v>866</v>
      </c>
      <c r="AS433" s="140">
        <f>SUM(AJ434:AJ434)</f>
        <v>0</v>
      </c>
      <c r="AT433" s="140">
        <f>SUM(AK434:AK434)</f>
        <v>0</v>
      </c>
      <c r="AU433" s="140">
        <f>SUM(AL434:AL434)</f>
        <v>0</v>
      </c>
    </row>
    <row r="434" spans="1:62" ht="12.75">
      <c r="A434" s="3" t="s">
        <v>172</v>
      </c>
      <c r="B434" s="3" t="s">
        <v>361</v>
      </c>
      <c r="C434" s="58" t="s">
        <v>732</v>
      </c>
      <c r="D434" s="59"/>
      <c r="E434" s="59"/>
      <c r="F434" s="3" t="s">
        <v>819</v>
      </c>
      <c r="G434" s="11">
        <v>1</v>
      </c>
      <c r="H434" s="141">
        <v>0</v>
      </c>
      <c r="I434" s="11">
        <f>G434*AO434</f>
        <v>0</v>
      </c>
      <c r="J434" s="11">
        <f>G434*AP434</f>
        <v>0</v>
      </c>
      <c r="K434" s="11">
        <f>G434*H434</f>
        <v>0</v>
      </c>
      <c r="L434" s="17" t="s">
        <v>845</v>
      </c>
      <c r="Z434" s="143">
        <f>IF(AQ434="5",BJ434,0)</f>
        <v>0</v>
      </c>
      <c r="AB434" s="143">
        <f>IF(AQ434="1",BH434,0)</f>
        <v>0</v>
      </c>
      <c r="AC434" s="143">
        <f>IF(AQ434="1",BI434,0)</f>
        <v>0</v>
      </c>
      <c r="AD434" s="143">
        <f>IF(AQ434="7",BH434,0)</f>
        <v>0</v>
      </c>
      <c r="AE434" s="143">
        <f>IF(AQ434="7",BI434,0)</f>
        <v>0</v>
      </c>
      <c r="AF434" s="143">
        <f>IF(AQ434="2",BH434,0)</f>
        <v>0</v>
      </c>
      <c r="AG434" s="143">
        <f>IF(AQ434="2",BI434,0)</f>
        <v>0</v>
      </c>
      <c r="AH434" s="143">
        <f>IF(AQ434="0",BJ434,0)</f>
        <v>0</v>
      </c>
      <c r="AI434" s="137" t="s">
        <v>866</v>
      </c>
      <c r="AJ434" s="141">
        <f>IF(AN434=0,K434,0)</f>
        <v>0</v>
      </c>
      <c r="AK434" s="141">
        <f>IF(AN434=15,K434,0)</f>
        <v>0</v>
      </c>
      <c r="AL434" s="141">
        <f>IF(AN434=21,K434,0)</f>
        <v>0</v>
      </c>
      <c r="AN434" s="143">
        <v>21</v>
      </c>
      <c r="AO434" s="143">
        <f>H434*0.343505555555556</f>
        <v>0</v>
      </c>
      <c r="AP434" s="143">
        <f>H434*(1-0.343505555555556)</f>
        <v>0</v>
      </c>
      <c r="AQ434" s="142" t="s">
        <v>13</v>
      </c>
      <c r="AV434" s="143">
        <f>AW434+AX434</f>
        <v>0</v>
      </c>
      <c r="AW434" s="143">
        <f>G434*AO434</f>
        <v>0</v>
      </c>
      <c r="AX434" s="143">
        <f>G434*AP434</f>
        <v>0</v>
      </c>
      <c r="AY434" s="144" t="s">
        <v>901</v>
      </c>
      <c r="AZ434" s="144" t="s">
        <v>928</v>
      </c>
      <c r="BA434" s="137" t="s">
        <v>962</v>
      </c>
      <c r="BC434" s="143">
        <f>AW434+AX434</f>
        <v>0</v>
      </c>
      <c r="BD434" s="143">
        <f>H434/(100-BE434)*100</f>
        <v>0</v>
      </c>
      <c r="BE434" s="143">
        <v>0</v>
      </c>
      <c r="BF434" s="143">
        <f>434</f>
        <v>434</v>
      </c>
      <c r="BH434" s="141">
        <f>G434*AO434</f>
        <v>0</v>
      </c>
      <c r="BI434" s="141">
        <f>G434*AP434</f>
        <v>0</v>
      </c>
      <c r="BJ434" s="141">
        <f>G434*H434</f>
        <v>0</v>
      </c>
    </row>
    <row r="435" spans="1:12" ht="12.75">
      <c r="A435" s="154"/>
      <c r="B435" s="154"/>
      <c r="C435" s="60" t="s">
        <v>733</v>
      </c>
      <c r="D435" s="61"/>
      <c r="E435" s="61"/>
      <c r="F435" s="154"/>
      <c r="G435" s="12">
        <v>1</v>
      </c>
      <c r="I435" s="154"/>
      <c r="J435" s="154"/>
      <c r="K435" s="154"/>
      <c r="L435" s="154"/>
    </row>
    <row r="436" spans="1:47" ht="12.75">
      <c r="A436" s="2"/>
      <c r="B436" s="9" t="s">
        <v>97</v>
      </c>
      <c r="C436" s="56" t="s">
        <v>485</v>
      </c>
      <c r="D436" s="57"/>
      <c r="E436" s="57"/>
      <c r="F436" s="2" t="s">
        <v>6</v>
      </c>
      <c r="G436" s="2" t="s">
        <v>6</v>
      </c>
      <c r="H436" s="139" t="s">
        <v>6</v>
      </c>
      <c r="I436" s="23">
        <f>SUM(I437:I437)</f>
        <v>0</v>
      </c>
      <c r="J436" s="23">
        <f>SUM(J437:J437)</f>
        <v>0</v>
      </c>
      <c r="K436" s="23">
        <f>SUM(K437:K437)</f>
        <v>0</v>
      </c>
      <c r="L436" s="16"/>
      <c r="AI436" s="137" t="s">
        <v>866</v>
      </c>
      <c r="AS436" s="140">
        <f>SUM(AJ437:AJ437)</f>
        <v>0</v>
      </c>
      <c r="AT436" s="140">
        <f>SUM(AK437:AK437)</f>
        <v>0</v>
      </c>
      <c r="AU436" s="140">
        <f>SUM(AL437:AL437)</f>
        <v>0</v>
      </c>
    </row>
    <row r="437" spans="1:62" ht="12.75">
      <c r="A437" s="3" t="s">
        <v>173</v>
      </c>
      <c r="B437" s="3" t="s">
        <v>362</v>
      </c>
      <c r="C437" s="58" t="s">
        <v>734</v>
      </c>
      <c r="D437" s="59"/>
      <c r="E437" s="59"/>
      <c r="F437" s="3" t="s">
        <v>815</v>
      </c>
      <c r="G437" s="11">
        <v>33</v>
      </c>
      <c r="H437" s="141">
        <v>0</v>
      </c>
      <c r="I437" s="11">
        <f>G437*AO437</f>
        <v>0</v>
      </c>
      <c r="J437" s="11">
        <f>G437*AP437</f>
        <v>0</v>
      </c>
      <c r="K437" s="11">
        <f>G437*H437</f>
        <v>0</v>
      </c>
      <c r="L437" s="17" t="s">
        <v>845</v>
      </c>
      <c r="Z437" s="143">
        <f>IF(AQ437="5",BJ437,0)</f>
        <v>0</v>
      </c>
      <c r="AB437" s="143">
        <f>IF(AQ437="1",BH437,0)</f>
        <v>0</v>
      </c>
      <c r="AC437" s="143">
        <f>IF(AQ437="1",BI437,0)</f>
        <v>0</v>
      </c>
      <c r="AD437" s="143">
        <f>IF(AQ437="7",BH437,0)</f>
        <v>0</v>
      </c>
      <c r="AE437" s="143">
        <f>IF(AQ437="7",BI437,0)</f>
        <v>0</v>
      </c>
      <c r="AF437" s="143">
        <f>IF(AQ437="2",BH437,0)</f>
        <v>0</v>
      </c>
      <c r="AG437" s="143">
        <f>IF(AQ437="2",BI437,0)</f>
        <v>0</v>
      </c>
      <c r="AH437" s="143">
        <f>IF(AQ437="0",BJ437,0)</f>
        <v>0</v>
      </c>
      <c r="AI437" s="137" t="s">
        <v>866</v>
      </c>
      <c r="AJ437" s="141">
        <f>IF(AN437=0,K437,0)</f>
        <v>0</v>
      </c>
      <c r="AK437" s="141">
        <f>IF(AN437=15,K437,0)</f>
        <v>0</v>
      </c>
      <c r="AL437" s="141">
        <f>IF(AN437=21,K437,0)</f>
        <v>0</v>
      </c>
      <c r="AN437" s="143">
        <v>21</v>
      </c>
      <c r="AO437" s="143">
        <f>H437*0.215597014925373</f>
        <v>0</v>
      </c>
      <c r="AP437" s="143">
        <f>H437*(1-0.215597014925373)</f>
        <v>0</v>
      </c>
      <c r="AQ437" s="142" t="s">
        <v>7</v>
      </c>
      <c r="AV437" s="143">
        <f>AW437+AX437</f>
        <v>0</v>
      </c>
      <c r="AW437" s="143">
        <f>G437*AO437</f>
        <v>0</v>
      </c>
      <c r="AX437" s="143">
        <f>G437*AP437</f>
        <v>0</v>
      </c>
      <c r="AY437" s="144" t="s">
        <v>889</v>
      </c>
      <c r="AZ437" s="144" t="s">
        <v>929</v>
      </c>
      <c r="BA437" s="137" t="s">
        <v>962</v>
      </c>
      <c r="BC437" s="143">
        <f>AW437+AX437</f>
        <v>0</v>
      </c>
      <c r="BD437" s="143">
        <f>H437/(100-BE437)*100</f>
        <v>0</v>
      </c>
      <c r="BE437" s="143">
        <v>0</v>
      </c>
      <c r="BF437" s="143">
        <f>437</f>
        <v>437</v>
      </c>
      <c r="BH437" s="141">
        <f>G437*AO437</f>
        <v>0</v>
      </c>
      <c r="BI437" s="141">
        <f>G437*AP437</f>
        <v>0</v>
      </c>
      <c r="BJ437" s="141">
        <f>G437*H437</f>
        <v>0</v>
      </c>
    </row>
    <row r="438" spans="1:12" ht="12.75">
      <c r="A438" s="154"/>
      <c r="B438" s="154"/>
      <c r="C438" s="60" t="s">
        <v>735</v>
      </c>
      <c r="D438" s="61"/>
      <c r="E438" s="61"/>
      <c r="F438" s="154"/>
      <c r="G438" s="12">
        <v>13</v>
      </c>
      <c r="I438" s="154"/>
      <c r="J438" s="154"/>
      <c r="K438" s="154"/>
      <c r="L438" s="154"/>
    </row>
    <row r="439" spans="1:12" ht="12.75">
      <c r="A439" s="154"/>
      <c r="B439" s="154"/>
      <c r="C439" s="60" t="s">
        <v>736</v>
      </c>
      <c r="D439" s="61"/>
      <c r="E439" s="61"/>
      <c r="F439" s="154"/>
      <c r="G439" s="12">
        <v>20</v>
      </c>
      <c r="I439" s="154"/>
      <c r="J439" s="154"/>
      <c r="K439" s="154"/>
      <c r="L439" s="154"/>
    </row>
    <row r="440" spans="1:47" ht="12.75">
      <c r="A440" s="2"/>
      <c r="B440" s="9" t="s">
        <v>363</v>
      </c>
      <c r="C440" s="56" t="s">
        <v>737</v>
      </c>
      <c r="D440" s="57"/>
      <c r="E440" s="57"/>
      <c r="F440" s="2" t="s">
        <v>6</v>
      </c>
      <c r="G440" s="2" t="s">
        <v>6</v>
      </c>
      <c r="H440" s="139" t="s">
        <v>6</v>
      </c>
      <c r="I440" s="23">
        <f>SUM(I441:I443)</f>
        <v>0</v>
      </c>
      <c r="J440" s="23">
        <f>SUM(J441:J443)</f>
        <v>0</v>
      </c>
      <c r="K440" s="23">
        <f>SUM(K441:K443)</f>
        <v>0</v>
      </c>
      <c r="L440" s="16"/>
      <c r="AI440" s="137" t="s">
        <v>866</v>
      </c>
      <c r="AS440" s="140">
        <f>SUM(AJ441:AJ443)</f>
        <v>0</v>
      </c>
      <c r="AT440" s="140">
        <f>SUM(AK441:AK443)</f>
        <v>0</v>
      </c>
      <c r="AU440" s="140">
        <f>SUM(AL441:AL443)</f>
        <v>0</v>
      </c>
    </row>
    <row r="441" spans="1:62" ht="12.75">
      <c r="A441" s="3" t="s">
        <v>174</v>
      </c>
      <c r="B441" s="3" t="s">
        <v>364</v>
      </c>
      <c r="C441" s="58" t="s">
        <v>738</v>
      </c>
      <c r="D441" s="59"/>
      <c r="E441" s="59"/>
      <c r="F441" s="3" t="s">
        <v>815</v>
      </c>
      <c r="G441" s="11">
        <v>8</v>
      </c>
      <c r="H441" s="141">
        <v>0</v>
      </c>
      <c r="I441" s="11">
        <f>G441*AO441</f>
        <v>0</v>
      </c>
      <c r="J441" s="11">
        <f>G441*AP441</f>
        <v>0</v>
      </c>
      <c r="K441" s="11">
        <f>G441*H441</f>
        <v>0</v>
      </c>
      <c r="L441" s="17" t="s">
        <v>845</v>
      </c>
      <c r="Z441" s="143">
        <f>IF(AQ441="5",BJ441,0)</f>
        <v>0</v>
      </c>
      <c r="AB441" s="143">
        <f>IF(AQ441="1",BH441,0)</f>
        <v>0</v>
      </c>
      <c r="AC441" s="143">
        <f>IF(AQ441="1",BI441,0)</f>
        <v>0</v>
      </c>
      <c r="AD441" s="143">
        <f>IF(AQ441="7",BH441,0)</f>
        <v>0</v>
      </c>
      <c r="AE441" s="143">
        <f>IF(AQ441="7",BI441,0)</f>
        <v>0</v>
      </c>
      <c r="AF441" s="143">
        <f>IF(AQ441="2",BH441,0)</f>
        <v>0</v>
      </c>
      <c r="AG441" s="143">
        <f>IF(AQ441="2",BI441,0)</f>
        <v>0</v>
      </c>
      <c r="AH441" s="143">
        <f>IF(AQ441="0",BJ441,0)</f>
        <v>0</v>
      </c>
      <c r="AI441" s="137" t="s">
        <v>866</v>
      </c>
      <c r="AJ441" s="141">
        <f>IF(AN441=0,K441,0)</f>
        <v>0</v>
      </c>
      <c r="AK441" s="141">
        <f>IF(AN441=15,K441,0)</f>
        <v>0</v>
      </c>
      <c r="AL441" s="141">
        <f>IF(AN441=21,K441,0)</f>
        <v>0</v>
      </c>
      <c r="AN441" s="143">
        <v>21</v>
      </c>
      <c r="AO441" s="143">
        <f>H441*0</f>
        <v>0</v>
      </c>
      <c r="AP441" s="143">
        <f>H441*(1-0)</f>
        <v>0</v>
      </c>
      <c r="AQ441" s="142" t="s">
        <v>8</v>
      </c>
      <c r="AV441" s="143">
        <f>AW441+AX441</f>
        <v>0</v>
      </c>
      <c r="AW441" s="143">
        <f>G441*AO441</f>
        <v>0</v>
      </c>
      <c r="AX441" s="143">
        <f>G441*AP441</f>
        <v>0</v>
      </c>
      <c r="AY441" s="144" t="s">
        <v>902</v>
      </c>
      <c r="AZ441" s="144" t="s">
        <v>929</v>
      </c>
      <c r="BA441" s="137" t="s">
        <v>962</v>
      </c>
      <c r="BC441" s="143">
        <f>AW441+AX441</f>
        <v>0</v>
      </c>
      <c r="BD441" s="143">
        <f>H441/(100-BE441)*100</f>
        <v>0</v>
      </c>
      <c r="BE441" s="143">
        <v>0</v>
      </c>
      <c r="BF441" s="143">
        <f>441</f>
        <v>441</v>
      </c>
      <c r="BH441" s="141">
        <f>G441*AO441</f>
        <v>0</v>
      </c>
      <c r="BI441" s="141">
        <f>G441*AP441</f>
        <v>0</v>
      </c>
      <c r="BJ441" s="141">
        <f>G441*H441</f>
        <v>0</v>
      </c>
    </row>
    <row r="442" spans="1:12" ht="12.75">
      <c r="A442" s="154"/>
      <c r="B442" s="154"/>
      <c r="C442" s="60" t="s">
        <v>554</v>
      </c>
      <c r="D442" s="61"/>
      <c r="E442" s="61"/>
      <c r="F442" s="154"/>
      <c r="G442" s="12">
        <v>8</v>
      </c>
      <c r="I442" s="154"/>
      <c r="J442" s="154"/>
      <c r="K442" s="154"/>
      <c r="L442" s="154"/>
    </row>
    <row r="443" spans="1:62" ht="12.75">
      <c r="A443" s="3" t="s">
        <v>175</v>
      </c>
      <c r="B443" s="3" t="s">
        <v>365</v>
      </c>
      <c r="C443" s="58" t="s">
        <v>739</v>
      </c>
      <c r="D443" s="59"/>
      <c r="E443" s="59"/>
      <c r="F443" s="3" t="s">
        <v>815</v>
      </c>
      <c r="G443" s="11">
        <v>8</v>
      </c>
      <c r="H443" s="141">
        <v>0</v>
      </c>
      <c r="I443" s="11">
        <f>G443*AO443</f>
        <v>0</v>
      </c>
      <c r="J443" s="11">
        <f>G443*AP443</f>
        <v>0</v>
      </c>
      <c r="K443" s="11">
        <f>G443*H443</f>
        <v>0</v>
      </c>
      <c r="L443" s="17" t="s">
        <v>845</v>
      </c>
      <c r="Z443" s="143">
        <f>IF(AQ443="5",BJ443,0)</f>
        <v>0</v>
      </c>
      <c r="AB443" s="143">
        <f>IF(AQ443="1",BH443,0)</f>
        <v>0</v>
      </c>
      <c r="AC443" s="143">
        <f>IF(AQ443="1",BI443,0)</f>
        <v>0</v>
      </c>
      <c r="AD443" s="143">
        <f>IF(AQ443="7",BH443,0)</f>
        <v>0</v>
      </c>
      <c r="AE443" s="143">
        <f>IF(AQ443="7",BI443,0)</f>
        <v>0</v>
      </c>
      <c r="AF443" s="143">
        <f>IF(AQ443="2",BH443,0)</f>
        <v>0</v>
      </c>
      <c r="AG443" s="143">
        <f>IF(AQ443="2",BI443,0)</f>
        <v>0</v>
      </c>
      <c r="AH443" s="143">
        <f>IF(AQ443="0",BJ443,0)</f>
        <v>0</v>
      </c>
      <c r="AI443" s="137" t="s">
        <v>866</v>
      </c>
      <c r="AJ443" s="141">
        <f>IF(AN443=0,K443,0)</f>
        <v>0</v>
      </c>
      <c r="AK443" s="141">
        <f>IF(AN443=15,K443,0)</f>
        <v>0</v>
      </c>
      <c r="AL443" s="141">
        <f>IF(AN443=21,K443,0)</f>
        <v>0</v>
      </c>
      <c r="AN443" s="143">
        <v>21</v>
      </c>
      <c r="AO443" s="143">
        <f>H443*0</f>
        <v>0</v>
      </c>
      <c r="AP443" s="143">
        <f>H443*(1-0)</f>
        <v>0</v>
      </c>
      <c r="AQ443" s="142" t="s">
        <v>8</v>
      </c>
      <c r="AV443" s="143">
        <f>AW443+AX443</f>
        <v>0</v>
      </c>
      <c r="AW443" s="143">
        <f>G443*AO443</f>
        <v>0</v>
      </c>
      <c r="AX443" s="143">
        <f>G443*AP443</f>
        <v>0</v>
      </c>
      <c r="AY443" s="144" t="s">
        <v>902</v>
      </c>
      <c r="AZ443" s="144" t="s">
        <v>929</v>
      </c>
      <c r="BA443" s="137" t="s">
        <v>962</v>
      </c>
      <c r="BC443" s="143">
        <f>AW443+AX443</f>
        <v>0</v>
      </c>
      <c r="BD443" s="143">
        <f>H443/(100-BE443)*100</f>
        <v>0</v>
      </c>
      <c r="BE443" s="143">
        <v>0</v>
      </c>
      <c r="BF443" s="143">
        <f>443</f>
        <v>443</v>
      </c>
      <c r="BH443" s="141">
        <f>G443*AO443</f>
        <v>0</v>
      </c>
      <c r="BI443" s="141">
        <f>G443*AP443</f>
        <v>0</v>
      </c>
      <c r="BJ443" s="141">
        <f>G443*H443</f>
        <v>0</v>
      </c>
    </row>
    <row r="444" spans="1:12" ht="12.75">
      <c r="A444" s="154"/>
      <c r="B444" s="154"/>
      <c r="C444" s="60" t="s">
        <v>554</v>
      </c>
      <c r="D444" s="61"/>
      <c r="E444" s="61"/>
      <c r="F444" s="154"/>
      <c r="G444" s="12">
        <v>8</v>
      </c>
      <c r="I444" s="154"/>
      <c r="J444" s="154"/>
      <c r="K444" s="154"/>
      <c r="L444" s="154"/>
    </row>
    <row r="445" spans="1:47" ht="12.75">
      <c r="A445" s="2"/>
      <c r="B445" s="9"/>
      <c r="C445" s="56" t="s">
        <v>510</v>
      </c>
      <c r="D445" s="57"/>
      <c r="E445" s="57"/>
      <c r="F445" s="2" t="s">
        <v>6</v>
      </c>
      <c r="G445" s="2" t="s">
        <v>6</v>
      </c>
      <c r="H445" s="139" t="s">
        <v>6</v>
      </c>
      <c r="I445" s="23">
        <f>SUM(I446:I448)</f>
        <v>0</v>
      </c>
      <c r="J445" s="23">
        <f>SUM(J446:J448)</f>
        <v>0</v>
      </c>
      <c r="K445" s="23">
        <f>SUM(K446:K448)</f>
        <v>0</v>
      </c>
      <c r="L445" s="16"/>
      <c r="AI445" s="137" t="s">
        <v>866</v>
      </c>
      <c r="AS445" s="140">
        <f>SUM(AJ446:AJ448)</f>
        <v>0</v>
      </c>
      <c r="AT445" s="140">
        <f>SUM(AK446:AK448)</f>
        <v>0</v>
      </c>
      <c r="AU445" s="140">
        <f>SUM(AL446:AL448)</f>
        <v>0</v>
      </c>
    </row>
    <row r="446" spans="1:62" ht="12.75">
      <c r="A446" s="5" t="s">
        <v>176</v>
      </c>
      <c r="B446" s="5" t="s">
        <v>366</v>
      </c>
      <c r="C446" s="64" t="s">
        <v>740</v>
      </c>
      <c r="D446" s="65"/>
      <c r="E446" s="65"/>
      <c r="F446" s="5" t="s">
        <v>818</v>
      </c>
      <c r="G446" s="13">
        <v>96.4</v>
      </c>
      <c r="H446" s="146">
        <v>0</v>
      </c>
      <c r="I446" s="13">
        <f>G446*AO446</f>
        <v>0</v>
      </c>
      <c r="J446" s="13">
        <f>G446*AP446</f>
        <v>0</v>
      </c>
      <c r="K446" s="13">
        <f>G446*H446</f>
        <v>0</v>
      </c>
      <c r="L446" s="19" t="s">
        <v>845</v>
      </c>
      <c r="Z446" s="143">
        <f>IF(AQ446="5",BJ446,0)</f>
        <v>0</v>
      </c>
      <c r="AB446" s="143">
        <f>IF(AQ446="1",BH446,0)</f>
        <v>0</v>
      </c>
      <c r="AC446" s="143">
        <f>IF(AQ446="1",BI446,0)</f>
        <v>0</v>
      </c>
      <c r="AD446" s="143">
        <f>IF(AQ446="7",BH446,0)</f>
        <v>0</v>
      </c>
      <c r="AE446" s="143">
        <f>IF(AQ446="7",BI446,0)</f>
        <v>0</v>
      </c>
      <c r="AF446" s="143">
        <f>IF(AQ446="2",BH446,0)</f>
        <v>0</v>
      </c>
      <c r="AG446" s="143">
        <f>IF(AQ446="2",BI446,0)</f>
        <v>0</v>
      </c>
      <c r="AH446" s="143">
        <f>IF(AQ446="0",BJ446,0)</f>
        <v>0</v>
      </c>
      <c r="AI446" s="137" t="s">
        <v>866</v>
      </c>
      <c r="AJ446" s="146">
        <f>IF(AN446=0,K446,0)</f>
        <v>0</v>
      </c>
      <c r="AK446" s="146">
        <f>IF(AN446=15,K446,0)</f>
        <v>0</v>
      </c>
      <c r="AL446" s="146">
        <f>IF(AN446=21,K446,0)</f>
        <v>0</v>
      </c>
      <c r="AN446" s="143">
        <v>21</v>
      </c>
      <c r="AO446" s="143">
        <f>H446*1</f>
        <v>0</v>
      </c>
      <c r="AP446" s="143">
        <f>H446*(1-1)</f>
        <v>0</v>
      </c>
      <c r="AQ446" s="147" t="s">
        <v>882</v>
      </c>
      <c r="AV446" s="143">
        <f>AW446+AX446</f>
        <v>0</v>
      </c>
      <c r="AW446" s="143">
        <f>G446*AO446</f>
        <v>0</v>
      </c>
      <c r="AX446" s="143">
        <f>G446*AP446</f>
        <v>0</v>
      </c>
      <c r="AY446" s="144" t="s">
        <v>892</v>
      </c>
      <c r="AZ446" s="144" t="s">
        <v>930</v>
      </c>
      <c r="BA446" s="137" t="s">
        <v>962</v>
      </c>
      <c r="BC446" s="143">
        <f>AW446+AX446</f>
        <v>0</v>
      </c>
      <c r="BD446" s="143">
        <f>H446/(100-BE446)*100</f>
        <v>0</v>
      </c>
      <c r="BE446" s="143">
        <v>0</v>
      </c>
      <c r="BF446" s="143">
        <f>446</f>
        <v>446</v>
      </c>
      <c r="BH446" s="146">
        <f>G446*AO446</f>
        <v>0</v>
      </c>
      <c r="BI446" s="146">
        <f>G446*AP446</f>
        <v>0</v>
      </c>
      <c r="BJ446" s="146">
        <f>G446*H446</f>
        <v>0</v>
      </c>
    </row>
    <row r="447" spans="1:12" ht="12.75">
      <c r="A447" s="154"/>
      <c r="B447" s="154"/>
      <c r="C447" s="60" t="s">
        <v>741</v>
      </c>
      <c r="D447" s="61"/>
      <c r="E447" s="61"/>
      <c r="F447" s="154"/>
      <c r="G447" s="12">
        <v>96.4</v>
      </c>
      <c r="I447" s="154"/>
      <c r="J447" s="154"/>
      <c r="K447" s="154"/>
      <c r="L447" s="154"/>
    </row>
    <row r="448" spans="1:62" ht="12.75">
      <c r="A448" s="5" t="s">
        <v>177</v>
      </c>
      <c r="B448" s="5" t="s">
        <v>367</v>
      </c>
      <c r="C448" s="64" t="s">
        <v>742</v>
      </c>
      <c r="D448" s="65"/>
      <c r="E448" s="65"/>
      <c r="F448" s="5" t="s">
        <v>817</v>
      </c>
      <c r="G448" s="13">
        <v>5.248</v>
      </c>
      <c r="H448" s="146">
        <v>0</v>
      </c>
      <c r="I448" s="13">
        <f>G448*AO448</f>
        <v>0</v>
      </c>
      <c r="J448" s="13">
        <f>G448*AP448</f>
        <v>0</v>
      </c>
      <c r="K448" s="13">
        <f>G448*H448</f>
        <v>0</v>
      </c>
      <c r="L448" s="19" t="s">
        <v>845</v>
      </c>
      <c r="Z448" s="143">
        <f>IF(AQ448="5",BJ448,0)</f>
        <v>0</v>
      </c>
      <c r="AB448" s="143">
        <f>IF(AQ448="1",BH448,0)</f>
        <v>0</v>
      </c>
      <c r="AC448" s="143">
        <f>IF(AQ448="1",BI448,0)</f>
        <v>0</v>
      </c>
      <c r="AD448" s="143">
        <f>IF(AQ448="7",BH448,0)</f>
        <v>0</v>
      </c>
      <c r="AE448" s="143">
        <f>IF(AQ448="7",BI448,0)</f>
        <v>0</v>
      </c>
      <c r="AF448" s="143">
        <f>IF(AQ448="2",BH448,0)</f>
        <v>0</v>
      </c>
      <c r="AG448" s="143">
        <f>IF(AQ448="2",BI448,0)</f>
        <v>0</v>
      </c>
      <c r="AH448" s="143">
        <f>IF(AQ448="0",BJ448,0)</f>
        <v>0</v>
      </c>
      <c r="AI448" s="137" t="s">
        <v>866</v>
      </c>
      <c r="AJ448" s="146">
        <f>IF(AN448=0,K448,0)</f>
        <v>0</v>
      </c>
      <c r="AK448" s="146">
        <f>IF(AN448=15,K448,0)</f>
        <v>0</v>
      </c>
      <c r="AL448" s="146">
        <f>IF(AN448=21,K448,0)</f>
        <v>0</v>
      </c>
      <c r="AN448" s="143">
        <v>21</v>
      </c>
      <c r="AO448" s="143">
        <f>H448*1</f>
        <v>0</v>
      </c>
      <c r="AP448" s="143">
        <f>H448*(1-1)</f>
        <v>0</v>
      </c>
      <c r="AQ448" s="147" t="s">
        <v>882</v>
      </c>
      <c r="AV448" s="143">
        <f>AW448+AX448</f>
        <v>0</v>
      </c>
      <c r="AW448" s="143">
        <f>G448*AO448</f>
        <v>0</v>
      </c>
      <c r="AX448" s="143">
        <f>G448*AP448</f>
        <v>0</v>
      </c>
      <c r="AY448" s="144" t="s">
        <v>892</v>
      </c>
      <c r="AZ448" s="144" t="s">
        <v>930</v>
      </c>
      <c r="BA448" s="137" t="s">
        <v>962</v>
      </c>
      <c r="BC448" s="143">
        <f>AW448+AX448</f>
        <v>0</v>
      </c>
      <c r="BD448" s="143">
        <f>H448/(100-BE448)*100</f>
        <v>0</v>
      </c>
      <c r="BE448" s="143">
        <v>0</v>
      </c>
      <c r="BF448" s="143">
        <f>448</f>
        <v>448</v>
      </c>
      <c r="BH448" s="146">
        <f>G448*AO448</f>
        <v>0</v>
      </c>
      <c r="BI448" s="146">
        <f>G448*AP448</f>
        <v>0</v>
      </c>
      <c r="BJ448" s="146">
        <f>G448*H448</f>
        <v>0</v>
      </c>
    </row>
    <row r="449" spans="1:12" ht="12.75">
      <c r="A449" s="154"/>
      <c r="B449" s="154"/>
      <c r="C449" s="60" t="s">
        <v>743</v>
      </c>
      <c r="D449" s="61"/>
      <c r="E449" s="61"/>
      <c r="F449" s="154"/>
      <c r="G449" s="12">
        <v>5.248</v>
      </c>
      <c r="I449" s="154"/>
      <c r="J449" s="154"/>
      <c r="K449" s="154"/>
      <c r="L449" s="154"/>
    </row>
    <row r="450" spans="1:12" ht="12.75">
      <c r="A450" s="4"/>
      <c r="B450" s="10"/>
      <c r="C450" s="62" t="s">
        <v>744</v>
      </c>
      <c r="D450" s="63"/>
      <c r="E450" s="63"/>
      <c r="F450" s="4" t="s">
        <v>6</v>
      </c>
      <c r="G450" s="4" t="s">
        <v>6</v>
      </c>
      <c r="H450" s="145" t="s">
        <v>6</v>
      </c>
      <c r="I450" s="24">
        <f>I451</f>
        <v>0</v>
      </c>
      <c r="J450" s="24">
        <f>J451</f>
        <v>0</v>
      </c>
      <c r="K450" s="24">
        <f>K451</f>
        <v>0</v>
      </c>
      <c r="L450" s="18"/>
    </row>
    <row r="451" spans="1:47" ht="12.75">
      <c r="A451" s="2"/>
      <c r="B451" s="9" t="s">
        <v>97</v>
      </c>
      <c r="C451" s="56" t="s">
        <v>485</v>
      </c>
      <c r="D451" s="57"/>
      <c r="E451" s="57"/>
      <c r="F451" s="2" t="s">
        <v>6</v>
      </c>
      <c r="G451" s="2" t="s">
        <v>6</v>
      </c>
      <c r="H451" s="139" t="s">
        <v>6</v>
      </c>
      <c r="I451" s="23">
        <f>SUM(I452:I452)</f>
        <v>0</v>
      </c>
      <c r="J451" s="23">
        <f>SUM(J452:J452)</f>
        <v>0</v>
      </c>
      <c r="K451" s="23">
        <f>SUM(K452:K452)</f>
        <v>0</v>
      </c>
      <c r="L451" s="16"/>
      <c r="AI451" s="137" t="s">
        <v>867</v>
      </c>
      <c r="AS451" s="140">
        <f>SUM(AJ452:AJ452)</f>
        <v>0</v>
      </c>
      <c r="AT451" s="140">
        <f>SUM(AK452:AK452)</f>
        <v>0</v>
      </c>
      <c r="AU451" s="140">
        <f>SUM(AL452:AL452)</f>
        <v>0</v>
      </c>
    </row>
    <row r="452" spans="1:62" ht="12.75">
      <c r="A452" s="3" t="s">
        <v>178</v>
      </c>
      <c r="B452" s="3" t="s">
        <v>368</v>
      </c>
      <c r="C452" s="58" t="s">
        <v>745</v>
      </c>
      <c r="D452" s="59"/>
      <c r="E452" s="59"/>
      <c r="F452" s="3" t="s">
        <v>822</v>
      </c>
      <c r="G452" s="11">
        <v>2</v>
      </c>
      <c r="H452" s="141">
        <v>0</v>
      </c>
      <c r="I452" s="11">
        <f>G452*AO452</f>
        <v>0</v>
      </c>
      <c r="J452" s="11">
        <f>G452*AP452</f>
        <v>0</v>
      </c>
      <c r="K452" s="11">
        <f>G452*H452</f>
        <v>0</v>
      </c>
      <c r="L452" s="17" t="s">
        <v>845</v>
      </c>
      <c r="Z452" s="143">
        <f>IF(AQ452="5",BJ452,0)</f>
        <v>0</v>
      </c>
      <c r="AB452" s="143">
        <f>IF(AQ452="1",BH452,0)</f>
        <v>0</v>
      </c>
      <c r="AC452" s="143">
        <f>IF(AQ452="1",BI452,0)</f>
        <v>0</v>
      </c>
      <c r="AD452" s="143">
        <f>IF(AQ452="7",BH452,0)</f>
        <v>0</v>
      </c>
      <c r="AE452" s="143">
        <f>IF(AQ452="7",BI452,0)</f>
        <v>0</v>
      </c>
      <c r="AF452" s="143">
        <f>IF(AQ452="2",BH452,0)</f>
        <v>0</v>
      </c>
      <c r="AG452" s="143">
        <f>IF(AQ452="2",BI452,0)</f>
        <v>0</v>
      </c>
      <c r="AH452" s="143">
        <f>IF(AQ452="0",BJ452,0)</f>
        <v>0</v>
      </c>
      <c r="AI452" s="137" t="s">
        <v>867</v>
      </c>
      <c r="AJ452" s="141">
        <f>IF(AN452=0,K452,0)</f>
        <v>0</v>
      </c>
      <c r="AK452" s="141">
        <f>IF(AN452=15,K452,0)</f>
        <v>0</v>
      </c>
      <c r="AL452" s="141">
        <f>IF(AN452=21,K452,0)</f>
        <v>0</v>
      </c>
      <c r="AN452" s="143">
        <v>21</v>
      </c>
      <c r="AO452" s="143">
        <f>H452*0.361359050064185</f>
        <v>0</v>
      </c>
      <c r="AP452" s="143">
        <f>H452*(1-0.361359050064185)</f>
        <v>0</v>
      </c>
      <c r="AQ452" s="142" t="s">
        <v>7</v>
      </c>
      <c r="AV452" s="143">
        <f>AW452+AX452</f>
        <v>0</v>
      </c>
      <c r="AW452" s="143">
        <f>G452*AO452</f>
        <v>0</v>
      </c>
      <c r="AX452" s="143">
        <f>G452*AP452</f>
        <v>0</v>
      </c>
      <c r="AY452" s="144" t="s">
        <v>889</v>
      </c>
      <c r="AZ452" s="144" t="s">
        <v>931</v>
      </c>
      <c r="BA452" s="137" t="s">
        <v>963</v>
      </c>
      <c r="BC452" s="143">
        <f>AW452+AX452</f>
        <v>0</v>
      </c>
      <c r="BD452" s="143">
        <f>H452/(100-BE452)*100</f>
        <v>0</v>
      </c>
      <c r="BE452" s="143">
        <v>0</v>
      </c>
      <c r="BF452" s="143">
        <f>452</f>
        <v>452</v>
      </c>
      <c r="BH452" s="141">
        <f>G452*AO452</f>
        <v>0</v>
      </c>
      <c r="BI452" s="141">
        <f>G452*AP452</f>
        <v>0</v>
      </c>
      <c r="BJ452" s="141">
        <f>G452*H452</f>
        <v>0</v>
      </c>
    </row>
    <row r="453" spans="1:12" ht="12.75">
      <c r="A453" s="154"/>
      <c r="B453" s="154"/>
      <c r="C453" s="60" t="s">
        <v>561</v>
      </c>
      <c r="D453" s="61"/>
      <c r="E453" s="61"/>
      <c r="F453" s="154"/>
      <c r="G453" s="12">
        <v>2</v>
      </c>
      <c r="I453" s="154"/>
      <c r="J453" s="154"/>
      <c r="K453" s="154"/>
      <c r="L453" s="154"/>
    </row>
    <row r="454" spans="1:12" ht="12.75">
      <c r="A454" s="4"/>
      <c r="B454" s="10"/>
      <c r="C454" s="62" t="s">
        <v>746</v>
      </c>
      <c r="D454" s="63"/>
      <c r="E454" s="63"/>
      <c r="F454" s="4" t="s">
        <v>6</v>
      </c>
      <c r="G454" s="4" t="s">
        <v>6</v>
      </c>
      <c r="H454" s="145" t="s">
        <v>6</v>
      </c>
      <c r="I454" s="24">
        <f>I455</f>
        <v>0</v>
      </c>
      <c r="J454" s="24">
        <f>J455</f>
        <v>0</v>
      </c>
      <c r="K454" s="24">
        <f>K455</f>
        <v>0</v>
      </c>
      <c r="L454" s="18"/>
    </row>
    <row r="455" spans="1:47" ht="12.75">
      <c r="A455" s="2"/>
      <c r="B455" s="9" t="s">
        <v>97</v>
      </c>
      <c r="C455" s="56" t="s">
        <v>485</v>
      </c>
      <c r="D455" s="57"/>
      <c r="E455" s="57"/>
      <c r="F455" s="2" t="s">
        <v>6</v>
      </c>
      <c r="G455" s="2" t="s">
        <v>6</v>
      </c>
      <c r="H455" s="139" t="s">
        <v>6</v>
      </c>
      <c r="I455" s="23">
        <f>SUM(I456:I456)</f>
        <v>0</v>
      </c>
      <c r="J455" s="23">
        <f>SUM(J456:J456)</f>
        <v>0</v>
      </c>
      <c r="K455" s="23">
        <f>SUM(K456:K456)</f>
        <v>0</v>
      </c>
      <c r="L455" s="16"/>
      <c r="AI455" s="137" t="s">
        <v>868</v>
      </c>
      <c r="AS455" s="140">
        <f>SUM(AJ456:AJ456)</f>
        <v>0</v>
      </c>
      <c r="AT455" s="140">
        <f>SUM(AK456:AK456)</f>
        <v>0</v>
      </c>
      <c r="AU455" s="140">
        <f>SUM(AL456:AL456)</f>
        <v>0</v>
      </c>
    </row>
    <row r="456" spans="1:62" ht="12.75">
      <c r="A456" s="3" t="s">
        <v>179</v>
      </c>
      <c r="B456" s="3" t="s">
        <v>369</v>
      </c>
      <c r="C456" s="58" t="s">
        <v>747</v>
      </c>
      <c r="D456" s="59"/>
      <c r="E456" s="59"/>
      <c r="F456" s="3" t="s">
        <v>822</v>
      </c>
      <c r="G456" s="11">
        <v>2</v>
      </c>
      <c r="H456" s="141">
        <v>0</v>
      </c>
      <c r="I456" s="11">
        <f>G456*AO456</f>
        <v>0</v>
      </c>
      <c r="J456" s="11">
        <f>G456*AP456</f>
        <v>0</v>
      </c>
      <c r="K456" s="11">
        <f>G456*H456</f>
        <v>0</v>
      </c>
      <c r="L456" s="17" t="s">
        <v>845</v>
      </c>
      <c r="Z456" s="143">
        <f>IF(AQ456="5",BJ456,0)</f>
        <v>0</v>
      </c>
      <c r="AB456" s="143">
        <f>IF(AQ456="1",BH456,0)</f>
        <v>0</v>
      </c>
      <c r="AC456" s="143">
        <f>IF(AQ456="1",BI456,0)</f>
        <v>0</v>
      </c>
      <c r="AD456" s="143">
        <f>IF(AQ456="7",BH456,0)</f>
        <v>0</v>
      </c>
      <c r="AE456" s="143">
        <f>IF(AQ456="7",BI456,0)</f>
        <v>0</v>
      </c>
      <c r="AF456" s="143">
        <f>IF(AQ456="2",BH456,0)</f>
        <v>0</v>
      </c>
      <c r="AG456" s="143">
        <f>IF(AQ456="2",BI456,0)</f>
        <v>0</v>
      </c>
      <c r="AH456" s="143">
        <f>IF(AQ456="0",BJ456,0)</f>
        <v>0</v>
      </c>
      <c r="AI456" s="137" t="s">
        <v>868</v>
      </c>
      <c r="AJ456" s="141">
        <f>IF(AN456=0,K456,0)</f>
        <v>0</v>
      </c>
      <c r="AK456" s="141">
        <f>IF(AN456=15,K456,0)</f>
        <v>0</v>
      </c>
      <c r="AL456" s="141">
        <f>IF(AN456=21,K456,0)</f>
        <v>0</v>
      </c>
      <c r="AN456" s="143">
        <v>21</v>
      </c>
      <c r="AO456" s="143">
        <f>H456*0.361359504132231</f>
        <v>0</v>
      </c>
      <c r="AP456" s="143">
        <f>H456*(1-0.361359504132231)</f>
        <v>0</v>
      </c>
      <c r="AQ456" s="142" t="s">
        <v>7</v>
      </c>
      <c r="AV456" s="143">
        <f>AW456+AX456</f>
        <v>0</v>
      </c>
      <c r="AW456" s="143">
        <f>G456*AO456</f>
        <v>0</v>
      </c>
      <c r="AX456" s="143">
        <f>G456*AP456</f>
        <v>0</v>
      </c>
      <c r="AY456" s="144" t="s">
        <v>889</v>
      </c>
      <c r="AZ456" s="144" t="s">
        <v>932</v>
      </c>
      <c r="BA456" s="137" t="s">
        <v>964</v>
      </c>
      <c r="BC456" s="143">
        <f>AW456+AX456</f>
        <v>0</v>
      </c>
      <c r="BD456" s="143">
        <f>H456/(100-BE456)*100</f>
        <v>0</v>
      </c>
      <c r="BE456" s="143">
        <v>0</v>
      </c>
      <c r="BF456" s="143">
        <f>456</f>
        <v>456</v>
      </c>
      <c r="BH456" s="141">
        <f>G456*AO456</f>
        <v>0</v>
      </c>
      <c r="BI456" s="141">
        <f>G456*AP456</f>
        <v>0</v>
      </c>
      <c r="BJ456" s="141">
        <f>G456*H456</f>
        <v>0</v>
      </c>
    </row>
    <row r="457" spans="1:12" ht="12.75">
      <c r="A457" s="154"/>
      <c r="B457" s="154"/>
      <c r="C457" s="60" t="s">
        <v>561</v>
      </c>
      <c r="D457" s="61"/>
      <c r="E457" s="61"/>
      <c r="F457" s="154"/>
      <c r="G457" s="12">
        <v>2</v>
      </c>
      <c r="I457" s="154"/>
      <c r="J457" s="154"/>
      <c r="K457" s="154"/>
      <c r="L457" s="154"/>
    </row>
    <row r="458" spans="1:12" ht="12.75">
      <c r="A458" s="4"/>
      <c r="B458" s="10"/>
      <c r="C458" s="62" t="s">
        <v>748</v>
      </c>
      <c r="D458" s="63"/>
      <c r="E458" s="63"/>
      <c r="F458" s="4" t="s">
        <v>6</v>
      </c>
      <c r="G458" s="4" t="s">
        <v>6</v>
      </c>
      <c r="H458" s="145" t="s">
        <v>6</v>
      </c>
      <c r="I458" s="24">
        <f>I459</f>
        <v>0</v>
      </c>
      <c r="J458" s="24">
        <f>J459</f>
        <v>0</v>
      </c>
      <c r="K458" s="24">
        <f>K459</f>
        <v>0</v>
      </c>
      <c r="L458" s="18"/>
    </row>
    <row r="459" spans="1:47" ht="12.75">
      <c r="A459" s="2"/>
      <c r="B459" s="9" t="s">
        <v>97</v>
      </c>
      <c r="C459" s="56" t="s">
        <v>485</v>
      </c>
      <c r="D459" s="57"/>
      <c r="E459" s="57"/>
      <c r="F459" s="2" t="s">
        <v>6</v>
      </c>
      <c r="G459" s="2" t="s">
        <v>6</v>
      </c>
      <c r="H459" s="139" t="s">
        <v>6</v>
      </c>
      <c r="I459" s="23">
        <f>SUM(I460:I460)</f>
        <v>0</v>
      </c>
      <c r="J459" s="23">
        <f>SUM(J460:J460)</f>
        <v>0</v>
      </c>
      <c r="K459" s="23">
        <f>SUM(K460:K460)</f>
        <v>0</v>
      </c>
      <c r="L459" s="16"/>
      <c r="AI459" s="137" t="s">
        <v>869</v>
      </c>
      <c r="AS459" s="140">
        <f>SUM(AJ460:AJ460)</f>
        <v>0</v>
      </c>
      <c r="AT459" s="140">
        <f>SUM(AK460:AK460)</f>
        <v>0</v>
      </c>
      <c r="AU459" s="140">
        <f>SUM(AL460:AL460)</f>
        <v>0</v>
      </c>
    </row>
    <row r="460" spans="1:62" ht="12.75">
      <c r="A460" s="3" t="s">
        <v>180</v>
      </c>
      <c r="B460" s="3" t="s">
        <v>370</v>
      </c>
      <c r="C460" s="58" t="s">
        <v>748</v>
      </c>
      <c r="D460" s="59"/>
      <c r="E460" s="59"/>
      <c r="F460" s="3" t="s">
        <v>822</v>
      </c>
      <c r="G460" s="11">
        <v>2</v>
      </c>
      <c r="H460" s="141">
        <v>0</v>
      </c>
      <c r="I460" s="11">
        <f>G460*AO460</f>
        <v>0</v>
      </c>
      <c r="J460" s="11">
        <f>G460*AP460</f>
        <v>0</v>
      </c>
      <c r="K460" s="11">
        <f>G460*H460</f>
        <v>0</v>
      </c>
      <c r="L460" s="17" t="s">
        <v>845</v>
      </c>
      <c r="Z460" s="143">
        <f>IF(AQ460="5",BJ460,0)</f>
        <v>0</v>
      </c>
      <c r="AB460" s="143">
        <f>IF(AQ460="1",BH460,0)</f>
        <v>0</v>
      </c>
      <c r="AC460" s="143">
        <f>IF(AQ460="1",BI460,0)</f>
        <v>0</v>
      </c>
      <c r="AD460" s="143">
        <f>IF(AQ460="7",BH460,0)</f>
        <v>0</v>
      </c>
      <c r="AE460" s="143">
        <f>IF(AQ460="7",BI460,0)</f>
        <v>0</v>
      </c>
      <c r="AF460" s="143">
        <f>IF(AQ460="2",BH460,0)</f>
        <v>0</v>
      </c>
      <c r="AG460" s="143">
        <f>IF(AQ460="2",BI460,0)</f>
        <v>0</v>
      </c>
      <c r="AH460" s="143">
        <f>IF(AQ460="0",BJ460,0)</f>
        <v>0</v>
      </c>
      <c r="AI460" s="137" t="s">
        <v>869</v>
      </c>
      <c r="AJ460" s="141">
        <f>IF(AN460=0,K460,0)</f>
        <v>0</v>
      </c>
      <c r="AK460" s="141">
        <f>IF(AN460=15,K460,0)</f>
        <v>0</v>
      </c>
      <c r="AL460" s="141">
        <f>IF(AN460=21,K460,0)</f>
        <v>0</v>
      </c>
      <c r="AN460" s="143">
        <v>21</v>
      </c>
      <c r="AO460" s="143">
        <f>H460*0.361359067357513</f>
        <v>0</v>
      </c>
      <c r="AP460" s="143">
        <f>H460*(1-0.361359067357513)</f>
        <v>0</v>
      </c>
      <c r="AQ460" s="142" t="s">
        <v>7</v>
      </c>
      <c r="AV460" s="143">
        <f>AW460+AX460</f>
        <v>0</v>
      </c>
      <c r="AW460" s="143">
        <f>G460*AO460</f>
        <v>0</v>
      </c>
      <c r="AX460" s="143">
        <f>G460*AP460</f>
        <v>0</v>
      </c>
      <c r="AY460" s="144" t="s">
        <v>889</v>
      </c>
      <c r="AZ460" s="144" t="s">
        <v>933</v>
      </c>
      <c r="BA460" s="137" t="s">
        <v>965</v>
      </c>
      <c r="BC460" s="143">
        <f>AW460+AX460</f>
        <v>0</v>
      </c>
      <c r="BD460" s="143">
        <f>H460/(100-BE460)*100</f>
        <v>0</v>
      </c>
      <c r="BE460" s="143">
        <v>0</v>
      </c>
      <c r="BF460" s="143">
        <f>460</f>
        <v>460</v>
      </c>
      <c r="BH460" s="141">
        <f>G460*AO460</f>
        <v>0</v>
      </c>
      <c r="BI460" s="141">
        <f>G460*AP460</f>
        <v>0</v>
      </c>
      <c r="BJ460" s="141">
        <f>G460*H460</f>
        <v>0</v>
      </c>
    </row>
    <row r="461" spans="1:12" ht="12.75">
      <c r="A461" s="154"/>
      <c r="B461" s="154"/>
      <c r="C461" s="60" t="s">
        <v>561</v>
      </c>
      <c r="D461" s="61"/>
      <c r="E461" s="61"/>
      <c r="F461" s="154"/>
      <c r="G461" s="12">
        <v>2</v>
      </c>
      <c r="I461" s="154"/>
      <c r="J461" s="154"/>
      <c r="K461" s="154"/>
      <c r="L461" s="154"/>
    </row>
    <row r="462" spans="1:12" ht="12.75">
      <c r="A462" s="4"/>
      <c r="B462" s="10"/>
      <c r="C462" s="62" t="s">
        <v>749</v>
      </c>
      <c r="D462" s="63"/>
      <c r="E462" s="63"/>
      <c r="F462" s="4" t="s">
        <v>6</v>
      </c>
      <c r="G462" s="4" t="s">
        <v>6</v>
      </c>
      <c r="H462" s="145" t="s">
        <v>6</v>
      </c>
      <c r="I462" s="24">
        <f>I463</f>
        <v>0</v>
      </c>
      <c r="J462" s="24">
        <f>J463</f>
        <v>0</v>
      </c>
      <c r="K462" s="24">
        <f>K463</f>
        <v>0</v>
      </c>
      <c r="L462" s="18"/>
    </row>
    <row r="463" spans="1:47" ht="12.75">
      <c r="A463" s="2"/>
      <c r="B463" s="9" t="s">
        <v>97</v>
      </c>
      <c r="C463" s="56" t="s">
        <v>485</v>
      </c>
      <c r="D463" s="57"/>
      <c r="E463" s="57"/>
      <c r="F463" s="2" t="s">
        <v>6</v>
      </c>
      <c r="G463" s="2" t="s">
        <v>6</v>
      </c>
      <c r="H463" s="139" t="s">
        <v>6</v>
      </c>
      <c r="I463" s="23">
        <f>SUM(I464:I464)</f>
        <v>0</v>
      </c>
      <c r="J463" s="23">
        <f>SUM(J464:J464)</f>
        <v>0</v>
      </c>
      <c r="K463" s="23">
        <f>SUM(K464:K464)</f>
        <v>0</v>
      </c>
      <c r="L463" s="16"/>
      <c r="AI463" s="137" t="s">
        <v>870</v>
      </c>
      <c r="AS463" s="140">
        <f>SUM(AJ464:AJ464)</f>
        <v>0</v>
      </c>
      <c r="AT463" s="140">
        <f>SUM(AK464:AK464)</f>
        <v>0</v>
      </c>
      <c r="AU463" s="140">
        <f>SUM(AL464:AL464)</f>
        <v>0</v>
      </c>
    </row>
    <row r="464" spans="1:62" ht="12.75">
      <c r="A464" s="3" t="s">
        <v>181</v>
      </c>
      <c r="B464" s="3" t="s">
        <v>371</v>
      </c>
      <c r="C464" s="58" t="s">
        <v>750</v>
      </c>
      <c r="D464" s="59"/>
      <c r="E464" s="59"/>
      <c r="F464" s="3" t="s">
        <v>819</v>
      </c>
      <c r="G464" s="11">
        <v>1</v>
      </c>
      <c r="H464" s="141">
        <v>0</v>
      </c>
      <c r="I464" s="11">
        <f>G464*AO464</f>
        <v>0</v>
      </c>
      <c r="J464" s="11">
        <f>G464*AP464</f>
        <v>0</v>
      </c>
      <c r="K464" s="11">
        <f>G464*H464</f>
        <v>0</v>
      </c>
      <c r="L464" s="17" t="s">
        <v>845</v>
      </c>
      <c r="Z464" s="143">
        <f>IF(AQ464="5",BJ464,0)</f>
        <v>0</v>
      </c>
      <c r="AB464" s="143">
        <f>IF(AQ464="1",BH464,0)</f>
        <v>0</v>
      </c>
      <c r="AC464" s="143">
        <f>IF(AQ464="1",BI464,0)</f>
        <v>0</v>
      </c>
      <c r="AD464" s="143">
        <f>IF(AQ464="7",BH464,0)</f>
        <v>0</v>
      </c>
      <c r="AE464" s="143">
        <f>IF(AQ464="7",BI464,0)</f>
        <v>0</v>
      </c>
      <c r="AF464" s="143">
        <f>IF(AQ464="2",BH464,0)</f>
        <v>0</v>
      </c>
      <c r="AG464" s="143">
        <f>IF(AQ464="2",BI464,0)</f>
        <v>0</v>
      </c>
      <c r="AH464" s="143">
        <f>IF(AQ464="0",BJ464,0)</f>
        <v>0</v>
      </c>
      <c r="AI464" s="137" t="s">
        <v>870</v>
      </c>
      <c r="AJ464" s="141">
        <f>IF(AN464=0,K464,0)</f>
        <v>0</v>
      </c>
      <c r="AK464" s="141">
        <f>IF(AN464=15,K464,0)</f>
        <v>0</v>
      </c>
      <c r="AL464" s="141">
        <f>IF(AN464=21,K464,0)</f>
        <v>0</v>
      </c>
      <c r="AN464" s="143">
        <v>21</v>
      </c>
      <c r="AO464" s="143">
        <f>H464*0.361358967391304</f>
        <v>0</v>
      </c>
      <c r="AP464" s="143">
        <f>H464*(1-0.361358967391304)</f>
        <v>0</v>
      </c>
      <c r="AQ464" s="142" t="s">
        <v>7</v>
      </c>
      <c r="AV464" s="143">
        <f>AW464+AX464</f>
        <v>0</v>
      </c>
      <c r="AW464" s="143">
        <f>G464*AO464</f>
        <v>0</v>
      </c>
      <c r="AX464" s="143">
        <f>G464*AP464</f>
        <v>0</v>
      </c>
      <c r="AY464" s="144" t="s">
        <v>889</v>
      </c>
      <c r="AZ464" s="144" t="s">
        <v>934</v>
      </c>
      <c r="BA464" s="137" t="s">
        <v>966</v>
      </c>
      <c r="BC464" s="143">
        <f>AW464+AX464</f>
        <v>0</v>
      </c>
      <c r="BD464" s="143">
        <f>H464/(100-BE464)*100</f>
        <v>0</v>
      </c>
      <c r="BE464" s="143">
        <v>0</v>
      </c>
      <c r="BF464" s="143">
        <f>464</f>
        <v>464</v>
      </c>
      <c r="BH464" s="141">
        <f>G464*AO464</f>
        <v>0</v>
      </c>
      <c r="BI464" s="141">
        <f>G464*AP464</f>
        <v>0</v>
      </c>
      <c r="BJ464" s="141">
        <f>G464*H464</f>
        <v>0</v>
      </c>
    </row>
    <row r="465" spans="1:12" ht="12.75">
      <c r="A465" s="154"/>
      <c r="B465" s="154"/>
      <c r="C465" s="60" t="s">
        <v>495</v>
      </c>
      <c r="D465" s="61"/>
      <c r="E465" s="61"/>
      <c r="F465" s="154"/>
      <c r="G465" s="12">
        <v>1</v>
      </c>
      <c r="I465" s="154"/>
      <c r="J465" s="154"/>
      <c r="K465" s="154"/>
      <c r="L465" s="154"/>
    </row>
    <row r="466" spans="1:12" ht="12.75">
      <c r="A466" s="4"/>
      <c r="B466" s="10"/>
      <c r="C466" s="62" t="s">
        <v>751</v>
      </c>
      <c r="D466" s="63"/>
      <c r="E466" s="63"/>
      <c r="F466" s="4" t="s">
        <v>6</v>
      </c>
      <c r="G466" s="4" t="s">
        <v>6</v>
      </c>
      <c r="H466" s="145" t="s">
        <v>6</v>
      </c>
      <c r="I466" s="24">
        <f>I467</f>
        <v>0</v>
      </c>
      <c r="J466" s="24">
        <f>J467</f>
        <v>0</v>
      </c>
      <c r="K466" s="24">
        <f>K467</f>
        <v>0</v>
      </c>
      <c r="L466" s="18"/>
    </row>
    <row r="467" spans="1:47" ht="12.75">
      <c r="A467" s="2"/>
      <c r="B467" s="9" t="s">
        <v>97</v>
      </c>
      <c r="C467" s="56" t="s">
        <v>485</v>
      </c>
      <c r="D467" s="57"/>
      <c r="E467" s="57"/>
      <c r="F467" s="2" t="s">
        <v>6</v>
      </c>
      <c r="G467" s="2" t="s">
        <v>6</v>
      </c>
      <c r="H467" s="139" t="s">
        <v>6</v>
      </c>
      <c r="I467" s="23">
        <f>SUM(I468:I468)</f>
        <v>0</v>
      </c>
      <c r="J467" s="23">
        <f>SUM(J468:J468)</f>
        <v>0</v>
      </c>
      <c r="K467" s="23">
        <f>SUM(K468:K468)</f>
        <v>0</v>
      </c>
      <c r="L467" s="16"/>
      <c r="AI467" s="137" t="s">
        <v>871</v>
      </c>
      <c r="AS467" s="140">
        <f>SUM(AJ468:AJ468)</f>
        <v>0</v>
      </c>
      <c r="AT467" s="140">
        <f>SUM(AK468:AK468)</f>
        <v>0</v>
      </c>
      <c r="AU467" s="140">
        <f>SUM(AL468:AL468)</f>
        <v>0</v>
      </c>
    </row>
    <row r="468" spans="1:62" ht="12.75">
      <c r="A468" s="3" t="s">
        <v>182</v>
      </c>
      <c r="B468" s="3" t="s">
        <v>372</v>
      </c>
      <c r="C468" s="58" t="s">
        <v>751</v>
      </c>
      <c r="D468" s="59"/>
      <c r="E468" s="59"/>
      <c r="F468" s="3" t="s">
        <v>822</v>
      </c>
      <c r="G468" s="11">
        <v>1</v>
      </c>
      <c r="H468" s="141">
        <v>0</v>
      </c>
      <c r="I468" s="11">
        <f>G468*AO468</f>
        <v>0</v>
      </c>
      <c r="J468" s="11">
        <f>G468*AP468</f>
        <v>0</v>
      </c>
      <c r="K468" s="11">
        <f>G468*H468</f>
        <v>0</v>
      </c>
      <c r="L468" s="17" t="s">
        <v>845</v>
      </c>
      <c r="Z468" s="143">
        <f>IF(AQ468="5",BJ468,0)</f>
        <v>0</v>
      </c>
      <c r="AB468" s="143">
        <f>IF(AQ468="1",BH468,0)</f>
        <v>0</v>
      </c>
      <c r="AC468" s="143">
        <f>IF(AQ468="1",BI468,0)</f>
        <v>0</v>
      </c>
      <c r="AD468" s="143">
        <f>IF(AQ468="7",BH468,0)</f>
        <v>0</v>
      </c>
      <c r="AE468" s="143">
        <f>IF(AQ468="7",BI468,0)</f>
        <v>0</v>
      </c>
      <c r="AF468" s="143">
        <f>IF(AQ468="2",BH468,0)</f>
        <v>0</v>
      </c>
      <c r="AG468" s="143">
        <f>IF(AQ468="2",BI468,0)</f>
        <v>0</v>
      </c>
      <c r="AH468" s="143">
        <f>IF(AQ468="0",BJ468,0)</f>
        <v>0</v>
      </c>
      <c r="AI468" s="137" t="s">
        <v>871</v>
      </c>
      <c r="AJ468" s="141">
        <f>IF(AN468=0,K468,0)</f>
        <v>0</v>
      </c>
      <c r="AK468" s="141">
        <f>IF(AN468=15,K468,0)</f>
        <v>0</v>
      </c>
      <c r="AL468" s="141">
        <f>IF(AN468=21,K468,0)</f>
        <v>0</v>
      </c>
      <c r="AN468" s="143">
        <v>21</v>
      </c>
      <c r="AO468" s="143">
        <f>H468*0.361358989086732</f>
        <v>0</v>
      </c>
      <c r="AP468" s="143">
        <f>H468*(1-0.361358989086732)</f>
        <v>0</v>
      </c>
      <c r="AQ468" s="142" t="s">
        <v>7</v>
      </c>
      <c r="AV468" s="143">
        <f>AW468+AX468</f>
        <v>0</v>
      </c>
      <c r="AW468" s="143">
        <f>G468*AO468</f>
        <v>0</v>
      </c>
      <c r="AX468" s="143">
        <f>G468*AP468</f>
        <v>0</v>
      </c>
      <c r="AY468" s="144" t="s">
        <v>889</v>
      </c>
      <c r="AZ468" s="144" t="s">
        <v>935</v>
      </c>
      <c r="BA468" s="137" t="s">
        <v>967</v>
      </c>
      <c r="BC468" s="143">
        <f>AW468+AX468</f>
        <v>0</v>
      </c>
      <c r="BD468" s="143">
        <f>H468/(100-BE468)*100</f>
        <v>0</v>
      </c>
      <c r="BE468" s="143">
        <v>0</v>
      </c>
      <c r="BF468" s="143">
        <f>468</f>
        <v>468</v>
      </c>
      <c r="BH468" s="141">
        <f>G468*AO468</f>
        <v>0</v>
      </c>
      <c r="BI468" s="141">
        <f>G468*AP468</f>
        <v>0</v>
      </c>
      <c r="BJ468" s="141">
        <f>G468*H468</f>
        <v>0</v>
      </c>
    </row>
    <row r="469" spans="1:12" ht="12.75">
      <c r="A469" s="154"/>
      <c r="B469" s="154"/>
      <c r="C469" s="60" t="s">
        <v>495</v>
      </c>
      <c r="D469" s="61"/>
      <c r="E469" s="61"/>
      <c r="F469" s="154"/>
      <c r="G469" s="12">
        <v>1</v>
      </c>
      <c r="I469" s="154"/>
      <c r="J469" s="154"/>
      <c r="K469" s="154"/>
      <c r="L469" s="154"/>
    </row>
    <row r="470" spans="1:12" ht="12.75">
      <c r="A470" s="4"/>
      <c r="B470" s="10"/>
      <c r="C470" s="62" t="s">
        <v>752</v>
      </c>
      <c r="D470" s="63"/>
      <c r="E470" s="63"/>
      <c r="F470" s="4" t="s">
        <v>6</v>
      </c>
      <c r="G470" s="4" t="s">
        <v>6</v>
      </c>
      <c r="H470" s="145" t="s">
        <v>6</v>
      </c>
      <c r="I470" s="24">
        <f>I471+I476+I479+I486+I491</f>
        <v>0</v>
      </c>
      <c r="J470" s="24">
        <f>J471+J476+J479+J486+J491</f>
        <v>0</v>
      </c>
      <c r="K470" s="24">
        <f>K471+K476+K479+K486+K491</f>
        <v>0</v>
      </c>
      <c r="L470" s="18"/>
    </row>
    <row r="471" spans="1:47" ht="12.75">
      <c r="A471" s="2"/>
      <c r="B471" s="9" t="s">
        <v>18</v>
      </c>
      <c r="C471" s="56" t="s">
        <v>522</v>
      </c>
      <c r="D471" s="57"/>
      <c r="E471" s="57"/>
      <c r="F471" s="2" t="s">
        <v>6</v>
      </c>
      <c r="G471" s="2" t="s">
        <v>6</v>
      </c>
      <c r="H471" s="139" t="s">
        <v>6</v>
      </c>
      <c r="I471" s="23">
        <f>SUM(I472:I474)</f>
        <v>0</v>
      </c>
      <c r="J471" s="23">
        <f>SUM(J472:J474)</f>
        <v>0</v>
      </c>
      <c r="K471" s="23">
        <f>SUM(K472:K474)</f>
        <v>0</v>
      </c>
      <c r="L471" s="16"/>
      <c r="AI471" s="137" t="s">
        <v>872</v>
      </c>
      <c r="AS471" s="140">
        <f>SUM(AJ472:AJ474)</f>
        <v>0</v>
      </c>
      <c r="AT471" s="140">
        <f>SUM(AK472:AK474)</f>
        <v>0</v>
      </c>
      <c r="AU471" s="140">
        <f>SUM(AL472:AL474)</f>
        <v>0</v>
      </c>
    </row>
    <row r="472" spans="1:62" ht="12.75">
      <c r="A472" s="3" t="s">
        <v>183</v>
      </c>
      <c r="B472" s="3" t="s">
        <v>261</v>
      </c>
      <c r="C472" s="58" t="s">
        <v>534</v>
      </c>
      <c r="D472" s="59"/>
      <c r="E472" s="59"/>
      <c r="F472" s="3" t="s">
        <v>821</v>
      </c>
      <c r="G472" s="11">
        <v>17</v>
      </c>
      <c r="H472" s="141">
        <v>0</v>
      </c>
      <c r="I472" s="11">
        <f>G472*AO472</f>
        <v>0</v>
      </c>
      <c r="J472" s="11">
        <f>G472*AP472</f>
        <v>0</v>
      </c>
      <c r="K472" s="11">
        <f>G472*H472</f>
        <v>0</v>
      </c>
      <c r="L472" s="17" t="s">
        <v>845</v>
      </c>
      <c r="Z472" s="143">
        <f>IF(AQ472="5",BJ472,0)</f>
        <v>0</v>
      </c>
      <c r="AB472" s="143">
        <f>IF(AQ472="1",BH472,0)</f>
        <v>0</v>
      </c>
      <c r="AC472" s="143">
        <f>IF(AQ472="1",BI472,0)</f>
        <v>0</v>
      </c>
      <c r="AD472" s="143">
        <f>IF(AQ472="7",BH472,0)</f>
        <v>0</v>
      </c>
      <c r="AE472" s="143">
        <f>IF(AQ472="7",BI472,0)</f>
        <v>0</v>
      </c>
      <c r="AF472" s="143">
        <f>IF(AQ472="2",BH472,0)</f>
        <v>0</v>
      </c>
      <c r="AG472" s="143">
        <f>IF(AQ472="2",BI472,0)</f>
        <v>0</v>
      </c>
      <c r="AH472" s="143">
        <f>IF(AQ472="0",BJ472,0)</f>
        <v>0</v>
      </c>
      <c r="AI472" s="137" t="s">
        <v>872</v>
      </c>
      <c r="AJ472" s="141">
        <f>IF(AN472=0,K472,0)</f>
        <v>0</v>
      </c>
      <c r="AK472" s="141">
        <f>IF(AN472=15,K472,0)</f>
        <v>0</v>
      </c>
      <c r="AL472" s="141">
        <f>IF(AN472=21,K472,0)</f>
        <v>0</v>
      </c>
      <c r="AN472" s="143">
        <v>21</v>
      </c>
      <c r="AO472" s="143">
        <f>H472*0</f>
        <v>0</v>
      </c>
      <c r="AP472" s="143">
        <f>H472*(1-0)</f>
        <v>0</v>
      </c>
      <c r="AQ472" s="142" t="s">
        <v>7</v>
      </c>
      <c r="AV472" s="143">
        <f>AW472+AX472</f>
        <v>0</v>
      </c>
      <c r="AW472" s="143">
        <f>G472*AO472</f>
        <v>0</v>
      </c>
      <c r="AX472" s="143">
        <f>G472*AP472</f>
        <v>0</v>
      </c>
      <c r="AY472" s="144" t="s">
        <v>893</v>
      </c>
      <c r="AZ472" s="144" t="s">
        <v>936</v>
      </c>
      <c r="BA472" s="137" t="s">
        <v>968</v>
      </c>
      <c r="BC472" s="143">
        <f>AW472+AX472</f>
        <v>0</v>
      </c>
      <c r="BD472" s="143">
        <f>H472/(100-BE472)*100</f>
        <v>0</v>
      </c>
      <c r="BE472" s="143">
        <v>0</v>
      </c>
      <c r="BF472" s="143">
        <f>472</f>
        <v>472</v>
      </c>
      <c r="BH472" s="141">
        <f>G472*AO472</f>
        <v>0</v>
      </c>
      <c r="BI472" s="141">
        <f>G472*AP472</f>
        <v>0</v>
      </c>
      <c r="BJ472" s="141">
        <f>G472*H472</f>
        <v>0</v>
      </c>
    </row>
    <row r="473" spans="1:12" ht="12.75">
      <c r="A473" s="154"/>
      <c r="B473" s="154"/>
      <c r="C473" s="60" t="s">
        <v>753</v>
      </c>
      <c r="D473" s="61"/>
      <c r="E473" s="61"/>
      <c r="F473" s="154"/>
      <c r="G473" s="12">
        <v>17</v>
      </c>
      <c r="I473" s="154"/>
      <c r="J473" s="154"/>
      <c r="K473" s="154"/>
      <c r="L473" s="154"/>
    </row>
    <row r="474" spans="1:62" ht="12.75">
      <c r="A474" s="3" t="s">
        <v>184</v>
      </c>
      <c r="B474" s="3" t="s">
        <v>373</v>
      </c>
      <c r="C474" s="58" t="s">
        <v>754</v>
      </c>
      <c r="D474" s="59"/>
      <c r="E474" s="59"/>
      <c r="F474" s="3" t="s">
        <v>821</v>
      </c>
      <c r="G474" s="11">
        <v>114</v>
      </c>
      <c r="H474" s="141">
        <v>0</v>
      </c>
      <c r="I474" s="11">
        <f>G474*AO474</f>
        <v>0</v>
      </c>
      <c r="J474" s="11">
        <f>G474*AP474</f>
        <v>0</v>
      </c>
      <c r="K474" s="11">
        <f>G474*H474</f>
        <v>0</v>
      </c>
      <c r="L474" s="17" t="s">
        <v>845</v>
      </c>
      <c r="Z474" s="143">
        <f>IF(AQ474="5",BJ474,0)</f>
        <v>0</v>
      </c>
      <c r="AB474" s="143">
        <f>IF(AQ474="1",BH474,0)</f>
        <v>0</v>
      </c>
      <c r="AC474" s="143">
        <f>IF(AQ474="1",BI474,0)</f>
        <v>0</v>
      </c>
      <c r="AD474" s="143">
        <f>IF(AQ474="7",BH474,0)</f>
        <v>0</v>
      </c>
      <c r="AE474" s="143">
        <f>IF(AQ474="7",BI474,0)</f>
        <v>0</v>
      </c>
      <c r="AF474" s="143">
        <f>IF(AQ474="2",BH474,0)</f>
        <v>0</v>
      </c>
      <c r="AG474" s="143">
        <f>IF(AQ474="2",BI474,0)</f>
        <v>0</v>
      </c>
      <c r="AH474" s="143">
        <f>IF(AQ474="0",BJ474,0)</f>
        <v>0</v>
      </c>
      <c r="AI474" s="137" t="s">
        <v>872</v>
      </c>
      <c r="AJ474" s="141">
        <f>IF(AN474=0,K474,0)</f>
        <v>0</v>
      </c>
      <c r="AK474" s="141">
        <f>IF(AN474=15,K474,0)</f>
        <v>0</v>
      </c>
      <c r="AL474" s="141">
        <f>IF(AN474=21,K474,0)</f>
        <v>0</v>
      </c>
      <c r="AN474" s="143">
        <v>21</v>
      </c>
      <c r="AO474" s="143">
        <f>H474*0</f>
        <v>0</v>
      </c>
      <c r="AP474" s="143">
        <f>H474*(1-0)</f>
        <v>0</v>
      </c>
      <c r="AQ474" s="142" t="s">
        <v>7</v>
      </c>
      <c r="AV474" s="143">
        <f>AW474+AX474</f>
        <v>0</v>
      </c>
      <c r="AW474" s="143">
        <f>G474*AO474</f>
        <v>0</v>
      </c>
      <c r="AX474" s="143">
        <f>G474*AP474</f>
        <v>0</v>
      </c>
      <c r="AY474" s="144" t="s">
        <v>893</v>
      </c>
      <c r="AZ474" s="144" t="s">
        <v>936</v>
      </c>
      <c r="BA474" s="137" t="s">
        <v>968</v>
      </c>
      <c r="BC474" s="143">
        <f>AW474+AX474</f>
        <v>0</v>
      </c>
      <c r="BD474" s="143">
        <f>H474/(100-BE474)*100</f>
        <v>0</v>
      </c>
      <c r="BE474" s="143">
        <v>0</v>
      </c>
      <c r="BF474" s="143">
        <f>474</f>
        <v>474</v>
      </c>
      <c r="BH474" s="141">
        <f>G474*AO474</f>
        <v>0</v>
      </c>
      <c r="BI474" s="141">
        <f>G474*AP474</f>
        <v>0</v>
      </c>
      <c r="BJ474" s="141">
        <f>G474*H474</f>
        <v>0</v>
      </c>
    </row>
    <row r="475" spans="1:12" ht="12.75">
      <c r="A475" s="154"/>
      <c r="B475" s="154"/>
      <c r="C475" s="60" t="s">
        <v>755</v>
      </c>
      <c r="D475" s="61"/>
      <c r="E475" s="61"/>
      <c r="F475" s="154"/>
      <c r="G475" s="12">
        <v>114</v>
      </c>
      <c r="I475" s="154"/>
      <c r="J475" s="154"/>
      <c r="K475" s="154"/>
      <c r="L475" s="154"/>
    </row>
    <row r="476" spans="1:47" ht="12.75">
      <c r="A476" s="2"/>
      <c r="B476" s="9" t="s">
        <v>23</v>
      </c>
      <c r="C476" s="56" t="s">
        <v>545</v>
      </c>
      <c r="D476" s="57"/>
      <c r="E476" s="57"/>
      <c r="F476" s="2" t="s">
        <v>6</v>
      </c>
      <c r="G476" s="2" t="s">
        <v>6</v>
      </c>
      <c r="H476" s="139" t="s">
        <v>6</v>
      </c>
      <c r="I476" s="23">
        <f>SUM(I477:I477)</f>
        <v>0</v>
      </c>
      <c r="J476" s="23">
        <f>SUM(J477:J477)</f>
        <v>0</v>
      </c>
      <c r="K476" s="23">
        <f>SUM(K477:K477)</f>
        <v>0</v>
      </c>
      <c r="L476" s="16"/>
      <c r="AI476" s="137" t="s">
        <v>872</v>
      </c>
      <c r="AS476" s="140">
        <f>SUM(AJ477:AJ477)</f>
        <v>0</v>
      </c>
      <c r="AT476" s="140">
        <f>SUM(AK477:AK477)</f>
        <v>0</v>
      </c>
      <c r="AU476" s="140">
        <f>SUM(AL477:AL477)</f>
        <v>0</v>
      </c>
    </row>
    <row r="477" spans="1:62" ht="12.75">
      <c r="A477" s="3" t="s">
        <v>185</v>
      </c>
      <c r="B477" s="3" t="s">
        <v>374</v>
      </c>
      <c r="C477" s="58" t="s">
        <v>756</v>
      </c>
      <c r="D477" s="59"/>
      <c r="E477" s="59"/>
      <c r="F477" s="3" t="s">
        <v>821</v>
      </c>
      <c r="G477" s="11">
        <v>21</v>
      </c>
      <c r="H477" s="141">
        <v>0</v>
      </c>
      <c r="I477" s="11">
        <f>G477*AO477</f>
        <v>0</v>
      </c>
      <c r="J477" s="11">
        <f>G477*AP477</f>
        <v>0</v>
      </c>
      <c r="K477" s="11">
        <f>G477*H477</f>
        <v>0</v>
      </c>
      <c r="L477" s="17" t="s">
        <v>845</v>
      </c>
      <c r="Z477" s="143">
        <f>IF(AQ477="5",BJ477,0)</f>
        <v>0</v>
      </c>
      <c r="AB477" s="143">
        <f>IF(AQ477="1",BH477,0)</f>
        <v>0</v>
      </c>
      <c r="AC477" s="143">
        <f>IF(AQ477="1",BI477,0)</f>
        <v>0</v>
      </c>
      <c r="AD477" s="143">
        <f>IF(AQ477="7",BH477,0)</f>
        <v>0</v>
      </c>
      <c r="AE477" s="143">
        <f>IF(AQ477="7",BI477,0)</f>
        <v>0</v>
      </c>
      <c r="AF477" s="143">
        <f>IF(AQ477="2",BH477,0)</f>
        <v>0</v>
      </c>
      <c r="AG477" s="143">
        <f>IF(AQ477="2",BI477,0)</f>
        <v>0</v>
      </c>
      <c r="AH477" s="143">
        <f>IF(AQ477="0",BJ477,0)</f>
        <v>0</v>
      </c>
      <c r="AI477" s="137" t="s">
        <v>872</v>
      </c>
      <c r="AJ477" s="141">
        <f>IF(AN477=0,K477,0)</f>
        <v>0</v>
      </c>
      <c r="AK477" s="141">
        <f>IF(AN477=15,K477,0)</f>
        <v>0</v>
      </c>
      <c r="AL477" s="141">
        <f>IF(AN477=21,K477,0)</f>
        <v>0</v>
      </c>
      <c r="AN477" s="143">
        <v>21</v>
      </c>
      <c r="AO477" s="143">
        <f>H477*0</f>
        <v>0</v>
      </c>
      <c r="AP477" s="143">
        <f>H477*(1-0)</f>
        <v>0</v>
      </c>
      <c r="AQ477" s="142" t="s">
        <v>7</v>
      </c>
      <c r="AV477" s="143">
        <f>AW477+AX477</f>
        <v>0</v>
      </c>
      <c r="AW477" s="143">
        <f>G477*AO477</f>
        <v>0</v>
      </c>
      <c r="AX477" s="143">
        <f>G477*AP477</f>
        <v>0</v>
      </c>
      <c r="AY477" s="144" t="s">
        <v>894</v>
      </c>
      <c r="AZ477" s="144" t="s">
        <v>936</v>
      </c>
      <c r="BA477" s="137" t="s">
        <v>968</v>
      </c>
      <c r="BC477" s="143">
        <f>AW477+AX477</f>
        <v>0</v>
      </c>
      <c r="BD477" s="143">
        <f>H477/(100-BE477)*100</f>
        <v>0</v>
      </c>
      <c r="BE477" s="143">
        <v>0</v>
      </c>
      <c r="BF477" s="143">
        <f>477</f>
        <v>477</v>
      </c>
      <c r="BH477" s="141">
        <f>G477*AO477</f>
        <v>0</v>
      </c>
      <c r="BI477" s="141">
        <f>G477*AP477</f>
        <v>0</v>
      </c>
      <c r="BJ477" s="141">
        <f>G477*H477</f>
        <v>0</v>
      </c>
    </row>
    <row r="478" spans="1:12" ht="12.75">
      <c r="A478" s="154"/>
      <c r="B478" s="154"/>
      <c r="C478" s="60" t="s">
        <v>757</v>
      </c>
      <c r="D478" s="61"/>
      <c r="E478" s="61"/>
      <c r="F478" s="154"/>
      <c r="G478" s="12">
        <v>21</v>
      </c>
      <c r="I478" s="154"/>
      <c r="J478" s="154"/>
      <c r="K478" s="154"/>
      <c r="L478" s="154"/>
    </row>
    <row r="479" spans="1:47" ht="12.75">
      <c r="A479" s="2"/>
      <c r="B479" s="9" t="s">
        <v>39</v>
      </c>
      <c r="C479" s="56" t="s">
        <v>715</v>
      </c>
      <c r="D479" s="57"/>
      <c r="E479" s="57"/>
      <c r="F479" s="2" t="s">
        <v>6</v>
      </c>
      <c r="G479" s="2" t="s">
        <v>6</v>
      </c>
      <c r="H479" s="139" t="s">
        <v>6</v>
      </c>
      <c r="I479" s="23">
        <f>SUM(I480:I484)</f>
        <v>0</v>
      </c>
      <c r="J479" s="23">
        <f>SUM(J480:J484)</f>
        <v>0</v>
      </c>
      <c r="K479" s="23">
        <f>SUM(K480:K484)</f>
        <v>0</v>
      </c>
      <c r="L479" s="16"/>
      <c r="AI479" s="137" t="s">
        <v>872</v>
      </c>
      <c r="AS479" s="140">
        <f>SUM(AJ480:AJ484)</f>
        <v>0</v>
      </c>
      <c r="AT479" s="140">
        <f>SUM(AK480:AK484)</f>
        <v>0</v>
      </c>
      <c r="AU479" s="140">
        <f>SUM(AL480:AL484)</f>
        <v>0</v>
      </c>
    </row>
    <row r="480" spans="1:62" ht="12.75">
      <c r="A480" s="3" t="s">
        <v>186</v>
      </c>
      <c r="B480" s="3" t="s">
        <v>375</v>
      </c>
      <c r="C480" s="58" t="s">
        <v>758</v>
      </c>
      <c r="D480" s="59"/>
      <c r="E480" s="59"/>
      <c r="F480" s="3" t="s">
        <v>816</v>
      </c>
      <c r="G480" s="11">
        <v>2</v>
      </c>
      <c r="H480" s="141">
        <v>0</v>
      </c>
      <c r="I480" s="11">
        <f>G480*AO480</f>
        <v>0</v>
      </c>
      <c r="J480" s="11">
        <f>G480*AP480</f>
        <v>0</v>
      </c>
      <c r="K480" s="11">
        <f>G480*H480</f>
        <v>0</v>
      </c>
      <c r="L480" s="17" t="s">
        <v>845</v>
      </c>
      <c r="Z480" s="143">
        <f>IF(AQ480="5",BJ480,0)</f>
        <v>0</v>
      </c>
      <c r="AB480" s="143">
        <f>IF(AQ480="1",BH480,0)</f>
        <v>0</v>
      </c>
      <c r="AC480" s="143">
        <f>IF(AQ480="1",BI480,0)</f>
        <v>0</v>
      </c>
      <c r="AD480" s="143">
        <f>IF(AQ480="7",BH480,0)</f>
        <v>0</v>
      </c>
      <c r="AE480" s="143">
        <f>IF(AQ480="7",BI480,0)</f>
        <v>0</v>
      </c>
      <c r="AF480" s="143">
        <f>IF(AQ480="2",BH480,0)</f>
        <v>0</v>
      </c>
      <c r="AG480" s="143">
        <f>IF(AQ480="2",BI480,0)</f>
        <v>0</v>
      </c>
      <c r="AH480" s="143">
        <f>IF(AQ480="0",BJ480,0)</f>
        <v>0</v>
      </c>
      <c r="AI480" s="137" t="s">
        <v>872</v>
      </c>
      <c r="AJ480" s="141">
        <f>IF(AN480=0,K480,0)</f>
        <v>0</v>
      </c>
      <c r="AK480" s="141">
        <f>IF(AN480=15,K480,0)</f>
        <v>0</v>
      </c>
      <c r="AL480" s="141">
        <f>IF(AN480=21,K480,0)</f>
        <v>0</v>
      </c>
      <c r="AN480" s="143">
        <v>21</v>
      </c>
      <c r="AO480" s="143">
        <f>H480*0.929369047619048</f>
        <v>0</v>
      </c>
      <c r="AP480" s="143">
        <f>H480*(1-0.929369047619048)</f>
        <v>0</v>
      </c>
      <c r="AQ480" s="142" t="s">
        <v>7</v>
      </c>
      <c r="AV480" s="143">
        <f>AW480+AX480</f>
        <v>0</v>
      </c>
      <c r="AW480" s="143">
        <f>G480*AO480</f>
        <v>0</v>
      </c>
      <c r="AX480" s="143">
        <f>G480*AP480</f>
        <v>0</v>
      </c>
      <c r="AY480" s="144" t="s">
        <v>899</v>
      </c>
      <c r="AZ480" s="144" t="s">
        <v>937</v>
      </c>
      <c r="BA480" s="137" t="s">
        <v>968</v>
      </c>
      <c r="BC480" s="143">
        <f>AW480+AX480</f>
        <v>0</v>
      </c>
      <c r="BD480" s="143">
        <f>H480/(100-BE480)*100</f>
        <v>0</v>
      </c>
      <c r="BE480" s="143">
        <v>0</v>
      </c>
      <c r="BF480" s="143">
        <f>480</f>
        <v>480</v>
      </c>
      <c r="BH480" s="141">
        <f>G480*AO480</f>
        <v>0</v>
      </c>
      <c r="BI480" s="141">
        <f>G480*AP480</f>
        <v>0</v>
      </c>
      <c r="BJ480" s="141">
        <f>G480*H480</f>
        <v>0</v>
      </c>
    </row>
    <row r="481" spans="1:12" ht="12.75">
      <c r="A481" s="154"/>
      <c r="B481" s="154"/>
      <c r="C481" s="60" t="s">
        <v>561</v>
      </c>
      <c r="D481" s="61"/>
      <c r="E481" s="61"/>
      <c r="F481" s="154"/>
      <c r="G481" s="12">
        <v>2</v>
      </c>
      <c r="I481" s="154"/>
      <c r="J481" s="154"/>
      <c r="K481" s="154"/>
      <c r="L481" s="154"/>
    </row>
    <row r="482" spans="1:62" ht="12.75">
      <c r="A482" s="3" t="s">
        <v>187</v>
      </c>
      <c r="B482" s="3" t="s">
        <v>376</v>
      </c>
      <c r="C482" s="58" t="s">
        <v>759</v>
      </c>
      <c r="D482" s="59"/>
      <c r="E482" s="59"/>
      <c r="F482" s="3" t="s">
        <v>815</v>
      </c>
      <c r="G482" s="11">
        <v>17</v>
      </c>
      <c r="H482" s="141">
        <v>0</v>
      </c>
      <c r="I482" s="11">
        <f>G482*AO482</f>
        <v>0</v>
      </c>
      <c r="J482" s="11">
        <f>G482*AP482</f>
        <v>0</v>
      </c>
      <c r="K482" s="11">
        <f>G482*H482</f>
        <v>0</v>
      </c>
      <c r="L482" s="17" t="s">
        <v>845</v>
      </c>
      <c r="Z482" s="143">
        <f>IF(AQ482="5",BJ482,0)</f>
        <v>0</v>
      </c>
      <c r="AB482" s="143">
        <f>IF(AQ482="1",BH482,0)</f>
        <v>0</v>
      </c>
      <c r="AC482" s="143">
        <f>IF(AQ482="1",BI482,0)</f>
        <v>0</v>
      </c>
      <c r="AD482" s="143">
        <f>IF(AQ482="7",BH482,0)</f>
        <v>0</v>
      </c>
      <c r="AE482" s="143">
        <f>IF(AQ482="7",BI482,0)</f>
        <v>0</v>
      </c>
      <c r="AF482" s="143">
        <f>IF(AQ482="2",BH482,0)</f>
        <v>0</v>
      </c>
      <c r="AG482" s="143">
        <f>IF(AQ482="2",BI482,0)</f>
        <v>0</v>
      </c>
      <c r="AH482" s="143">
        <f>IF(AQ482="0",BJ482,0)</f>
        <v>0</v>
      </c>
      <c r="AI482" s="137" t="s">
        <v>872</v>
      </c>
      <c r="AJ482" s="141">
        <f>IF(AN482=0,K482,0)</f>
        <v>0</v>
      </c>
      <c r="AK482" s="141">
        <f>IF(AN482=15,K482,0)</f>
        <v>0</v>
      </c>
      <c r="AL482" s="141">
        <f>IF(AN482=21,K482,0)</f>
        <v>0</v>
      </c>
      <c r="AN482" s="143">
        <v>21</v>
      </c>
      <c r="AO482" s="143">
        <f>H482*0</f>
        <v>0</v>
      </c>
      <c r="AP482" s="143">
        <f>H482*(1-0)</f>
        <v>0</v>
      </c>
      <c r="AQ482" s="142" t="s">
        <v>7</v>
      </c>
      <c r="AV482" s="143">
        <f>AW482+AX482</f>
        <v>0</v>
      </c>
      <c r="AW482" s="143">
        <f>G482*AO482</f>
        <v>0</v>
      </c>
      <c r="AX482" s="143">
        <f>G482*AP482</f>
        <v>0</v>
      </c>
      <c r="AY482" s="144" t="s">
        <v>899</v>
      </c>
      <c r="AZ482" s="144" t="s">
        <v>937</v>
      </c>
      <c r="BA482" s="137" t="s">
        <v>968</v>
      </c>
      <c r="BC482" s="143">
        <f>AW482+AX482</f>
        <v>0</v>
      </c>
      <c r="BD482" s="143">
        <f>H482/(100-BE482)*100</f>
        <v>0</v>
      </c>
      <c r="BE482" s="143">
        <v>0</v>
      </c>
      <c r="BF482" s="143">
        <f>482</f>
        <v>482</v>
      </c>
      <c r="BH482" s="141">
        <f>G482*AO482</f>
        <v>0</v>
      </c>
      <c r="BI482" s="141">
        <f>G482*AP482</f>
        <v>0</v>
      </c>
      <c r="BJ482" s="141">
        <f>G482*H482</f>
        <v>0</v>
      </c>
    </row>
    <row r="483" spans="1:12" ht="12.75">
      <c r="A483" s="154"/>
      <c r="B483" s="154"/>
      <c r="C483" s="60" t="s">
        <v>760</v>
      </c>
      <c r="D483" s="61"/>
      <c r="E483" s="61"/>
      <c r="F483" s="154"/>
      <c r="G483" s="12">
        <v>17</v>
      </c>
      <c r="I483" s="154"/>
      <c r="J483" s="154"/>
      <c r="K483" s="154"/>
      <c r="L483" s="154"/>
    </row>
    <row r="484" spans="1:62" ht="12.75">
      <c r="A484" s="3" t="s">
        <v>188</v>
      </c>
      <c r="B484" s="3" t="s">
        <v>377</v>
      </c>
      <c r="C484" s="58" t="s">
        <v>761</v>
      </c>
      <c r="D484" s="59"/>
      <c r="E484" s="59"/>
      <c r="F484" s="3" t="s">
        <v>815</v>
      </c>
      <c r="G484" s="11">
        <v>13</v>
      </c>
      <c r="H484" s="141">
        <v>0</v>
      </c>
      <c r="I484" s="11">
        <f>G484*AO484</f>
        <v>0</v>
      </c>
      <c r="J484" s="11">
        <f>G484*AP484</f>
        <v>0</v>
      </c>
      <c r="K484" s="11">
        <f>G484*H484</f>
        <v>0</v>
      </c>
      <c r="L484" s="17" t="s">
        <v>845</v>
      </c>
      <c r="Z484" s="143">
        <f>IF(AQ484="5",BJ484,0)</f>
        <v>0</v>
      </c>
      <c r="AB484" s="143">
        <f>IF(AQ484="1",BH484,0)</f>
        <v>0</v>
      </c>
      <c r="AC484" s="143">
        <f>IF(AQ484="1",BI484,0)</f>
        <v>0</v>
      </c>
      <c r="AD484" s="143">
        <f>IF(AQ484="7",BH484,0)</f>
        <v>0</v>
      </c>
      <c r="AE484" s="143">
        <f>IF(AQ484="7",BI484,0)</f>
        <v>0</v>
      </c>
      <c r="AF484" s="143">
        <f>IF(AQ484="2",BH484,0)</f>
        <v>0</v>
      </c>
      <c r="AG484" s="143">
        <f>IF(AQ484="2",BI484,0)</f>
        <v>0</v>
      </c>
      <c r="AH484" s="143">
        <f>IF(AQ484="0",BJ484,0)</f>
        <v>0</v>
      </c>
      <c r="AI484" s="137" t="s">
        <v>872</v>
      </c>
      <c r="AJ484" s="141">
        <f>IF(AN484=0,K484,0)</f>
        <v>0</v>
      </c>
      <c r="AK484" s="141">
        <f>IF(AN484=15,K484,0)</f>
        <v>0</v>
      </c>
      <c r="AL484" s="141">
        <f>IF(AN484=21,K484,0)</f>
        <v>0</v>
      </c>
      <c r="AN484" s="143">
        <v>21</v>
      </c>
      <c r="AO484" s="143">
        <f>H484*0.160638888888889</f>
        <v>0</v>
      </c>
      <c r="AP484" s="143">
        <f>H484*(1-0.160638888888889)</f>
        <v>0</v>
      </c>
      <c r="AQ484" s="142" t="s">
        <v>7</v>
      </c>
      <c r="AV484" s="143">
        <f>AW484+AX484</f>
        <v>0</v>
      </c>
      <c r="AW484" s="143">
        <f>G484*AO484</f>
        <v>0</v>
      </c>
      <c r="AX484" s="143">
        <f>G484*AP484</f>
        <v>0</v>
      </c>
      <c r="AY484" s="144" t="s">
        <v>899</v>
      </c>
      <c r="AZ484" s="144" t="s">
        <v>937</v>
      </c>
      <c r="BA484" s="137" t="s">
        <v>968</v>
      </c>
      <c r="BC484" s="143">
        <f>AW484+AX484</f>
        <v>0</v>
      </c>
      <c r="BD484" s="143">
        <f>H484/(100-BE484)*100</f>
        <v>0</v>
      </c>
      <c r="BE484" s="143">
        <v>0</v>
      </c>
      <c r="BF484" s="143">
        <f>484</f>
        <v>484</v>
      </c>
      <c r="BH484" s="141">
        <f>G484*AO484</f>
        <v>0</v>
      </c>
      <c r="BI484" s="141">
        <f>G484*AP484</f>
        <v>0</v>
      </c>
      <c r="BJ484" s="141">
        <f>G484*H484</f>
        <v>0</v>
      </c>
    </row>
    <row r="485" spans="1:12" ht="12.75">
      <c r="A485" s="154"/>
      <c r="B485" s="154"/>
      <c r="C485" s="60" t="s">
        <v>762</v>
      </c>
      <c r="D485" s="61"/>
      <c r="E485" s="61"/>
      <c r="F485" s="154"/>
      <c r="G485" s="12">
        <v>13</v>
      </c>
      <c r="I485" s="154"/>
      <c r="J485" s="154"/>
      <c r="K485" s="154"/>
      <c r="L485" s="154"/>
    </row>
    <row r="486" spans="1:47" ht="12.75">
      <c r="A486" s="2"/>
      <c r="B486" s="9" t="s">
        <v>62</v>
      </c>
      <c r="C486" s="56" t="s">
        <v>489</v>
      </c>
      <c r="D486" s="57"/>
      <c r="E486" s="57"/>
      <c r="F486" s="2" t="s">
        <v>6</v>
      </c>
      <c r="G486" s="2" t="s">
        <v>6</v>
      </c>
      <c r="H486" s="139" t="s">
        <v>6</v>
      </c>
      <c r="I486" s="23">
        <f>SUM(I487:I489)</f>
        <v>0</v>
      </c>
      <c r="J486" s="23">
        <f>SUM(J487:J489)</f>
        <v>0</v>
      </c>
      <c r="K486" s="23">
        <f>SUM(K487:K489)</f>
        <v>0</v>
      </c>
      <c r="L486" s="16"/>
      <c r="AI486" s="137" t="s">
        <v>872</v>
      </c>
      <c r="AS486" s="140">
        <f>SUM(AJ487:AJ489)</f>
        <v>0</v>
      </c>
      <c r="AT486" s="140">
        <f>SUM(AK487:AK489)</f>
        <v>0</v>
      </c>
      <c r="AU486" s="140">
        <f>SUM(AL487:AL489)</f>
        <v>0</v>
      </c>
    </row>
    <row r="487" spans="1:62" ht="12.75">
      <c r="A487" s="3" t="s">
        <v>189</v>
      </c>
      <c r="B487" s="3" t="s">
        <v>378</v>
      </c>
      <c r="C487" s="58" t="s">
        <v>763</v>
      </c>
      <c r="D487" s="59"/>
      <c r="E487" s="59"/>
      <c r="F487" s="3" t="s">
        <v>818</v>
      </c>
      <c r="G487" s="11">
        <v>60</v>
      </c>
      <c r="H487" s="141">
        <v>0</v>
      </c>
      <c r="I487" s="11">
        <f>G487*AO487</f>
        <v>0</v>
      </c>
      <c r="J487" s="11">
        <f>G487*AP487</f>
        <v>0</v>
      </c>
      <c r="K487" s="11">
        <f>G487*H487</f>
        <v>0</v>
      </c>
      <c r="L487" s="17" t="s">
        <v>845</v>
      </c>
      <c r="Z487" s="143">
        <f>IF(AQ487="5",BJ487,0)</f>
        <v>0</v>
      </c>
      <c r="AB487" s="143">
        <f>IF(AQ487="1",BH487,0)</f>
        <v>0</v>
      </c>
      <c r="AC487" s="143">
        <f>IF(AQ487="1",BI487,0)</f>
        <v>0</v>
      </c>
      <c r="AD487" s="143">
        <f>IF(AQ487="7",BH487,0)</f>
        <v>0</v>
      </c>
      <c r="AE487" s="143">
        <f>IF(AQ487="7",BI487,0)</f>
        <v>0</v>
      </c>
      <c r="AF487" s="143">
        <f>IF(AQ487="2",BH487,0)</f>
        <v>0</v>
      </c>
      <c r="AG487" s="143">
        <f>IF(AQ487="2",BI487,0)</f>
        <v>0</v>
      </c>
      <c r="AH487" s="143">
        <f>IF(AQ487="0",BJ487,0)</f>
        <v>0</v>
      </c>
      <c r="AI487" s="137" t="s">
        <v>872</v>
      </c>
      <c r="AJ487" s="141">
        <f>IF(AN487=0,K487,0)</f>
        <v>0</v>
      </c>
      <c r="AK487" s="141">
        <f>IF(AN487=15,K487,0)</f>
        <v>0</v>
      </c>
      <c r="AL487" s="141">
        <f>IF(AN487=21,K487,0)</f>
        <v>0</v>
      </c>
      <c r="AN487" s="143">
        <v>21</v>
      </c>
      <c r="AO487" s="143">
        <f>H487*0.823575845283515</f>
        <v>0</v>
      </c>
      <c r="AP487" s="143">
        <f>H487*(1-0.823575845283515)</f>
        <v>0</v>
      </c>
      <c r="AQ487" s="142" t="s">
        <v>7</v>
      </c>
      <c r="AV487" s="143">
        <f>AW487+AX487</f>
        <v>0</v>
      </c>
      <c r="AW487" s="143">
        <f>G487*AO487</f>
        <v>0</v>
      </c>
      <c r="AX487" s="143">
        <f>G487*AP487</f>
        <v>0</v>
      </c>
      <c r="AY487" s="144" t="s">
        <v>890</v>
      </c>
      <c r="AZ487" s="144" t="s">
        <v>938</v>
      </c>
      <c r="BA487" s="137" t="s">
        <v>968</v>
      </c>
      <c r="BC487" s="143">
        <f>AW487+AX487</f>
        <v>0</v>
      </c>
      <c r="BD487" s="143">
        <f>H487/(100-BE487)*100</f>
        <v>0</v>
      </c>
      <c r="BE487" s="143">
        <v>0</v>
      </c>
      <c r="BF487" s="143">
        <f>487</f>
        <v>487</v>
      </c>
      <c r="BH487" s="141">
        <f>G487*AO487</f>
        <v>0</v>
      </c>
      <c r="BI487" s="141">
        <f>G487*AP487</f>
        <v>0</v>
      </c>
      <c r="BJ487" s="141">
        <f>G487*H487</f>
        <v>0</v>
      </c>
    </row>
    <row r="488" spans="1:12" ht="12.75">
      <c r="A488" s="154"/>
      <c r="B488" s="154"/>
      <c r="C488" s="60" t="s">
        <v>764</v>
      </c>
      <c r="D488" s="61"/>
      <c r="E488" s="61"/>
      <c r="F488" s="154"/>
      <c r="G488" s="12">
        <v>60</v>
      </c>
      <c r="I488" s="154"/>
      <c r="J488" s="154"/>
      <c r="K488" s="154"/>
      <c r="L488" s="154"/>
    </row>
    <row r="489" spans="1:62" ht="12.75">
      <c r="A489" s="3" t="s">
        <v>190</v>
      </c>
      <c r="B489" s="3" t="s">
        <v>379</v>
      </c>
      <c r="C489" s="58" t="s">
        <v>765</v>
      </c>
      <c r="D489" s="59"/>
      <c r="E489" s="59"/>
      <c r="F489" s="3" t="s">
        <v>818</v>
      </c>
      <c r="G489" s="11">
        <v>30</v>
      </c>
      <c r="H489" s="141">
        <v>0</v>
      </c>
      <c r="I489" s="11">
        <f>G489*AO489</f>
        <v>0</v>
      </c>
      <c r="J489" s="11">
        <f>G489*AP489</f>
        <v>0</v>
      </c>
      <c r="K489" s="11">
        <f>G489*H489</f>
        <v>0</v>
      </c>
      <c r="L489" s="17" t="s">
        <v>845</v>
      </c>
      <c r="Z489" s="143">
        <f>IF(AQ489="5",BJ489,0)</f>
        <v>0</v>
      </c>
      <c r="AB489" s="143">
        <f>IF(AQ489="1",BH489,0)</f>
        <v>0</v>
      </c>
      <c r="AC489" s="143">
        <f>IF(AQ489="1",BI489,0)</f>
        <v>0</v>
      </c>
      <c r="AD489" s="143">
        <f>IF(AQ489="7",BH489,0)</f>
        <v>0</v>
      </c>
      <c r="AE489" s="143">
        <f>IF(AQ489="7",BI489,0)</f>
        <v>0</v>
      </c>
      <c r="AF489" s="143">
        <f>IF(AQ489="2",BH489,0)</f>
        <v>0</v>
      </c>
      <c r="AG489" s="143">
        <f>IF(AQ489="2",BI489,0)</f>
        <v>0</v>
      </c>
      <c r="AH489" s="143">
        <f>IF(AQ489="0",BJ489,0)</f>
        <v>0</v>
      </c>
      <c r="AI489" s="137" t="s">
        <v>872</v>
      </c>
      <c r="AJ489" s="141">
        <f>IF(AN489=0,K489,0)</f>
        <v>0</v>
      </c>
      <c r="AK489" s="141">
        <f>IF(AN489=15,K489,0)</f>
        <v>0</v>
      </c>
      <c r="AL489" s="141">
        <f>IF(AN489=21,K489,0)</f>
        <v>0</v>
      </c>
      <c r="AN489" s="143">
        <v>21</v>
      </c>
      <c r="AO489" s="143">
        <f>H489*0.778536585365854</f>
        <v>0</v>
      </c>
      <c r="AP489" s="143">
        <f>H489*(1-0.778536585365854)</f>
        <v>0</v>
      </c>
      <c r="AQ489" s="142" t="s">
        <v>7</v>
      </c>
      <c r="AV489" s="143">
        <f>AW489+AX489</f>
        <v>0</v>
      </c>
      <c r="AW489" s="143">
        <f>G489*AO489</f>
        <v>0</v>
      </c>
      <c r="AX489" s="143">
        <f>G489*AP489</f>
        <v>0</v>
      </c>
      <c r="AY489" s="144" t="s">
        <v>890</v>
      </c>
      <c r="AZ489" s="144" t="s">
        <v>938</v>
      </c>
      <c r="BA489" s="137" t="s">
        <v>968</v>
      </c>
      <c r="BC489" s="143">
        <f>AW489+AX489</f>
        <v>0</v>
      </c>
      <c r="BD489" s="143">
        <f>H489/(100-BE489)*100</f>
        <v>0</v>
      </c>
      <c r="BE489" s="143">
        <v>0</v>
      </c>
      <c r="BF489" s="143">
        <f>489</f>
        <v>489</v>
      </c>
      <c r="BH489" s="141">
        <f>G489*AO489</f>
        <v>0</v>
      </c>
      <c r="BI489" s="141">
        <f>G489*AP489</f>
        <v>0</v>
      </c>
      <c r="BJ489" s="141">
        <f>G489*H489</f>
        <v>0</v>
      </c>
    </row>
    <row r="490" spans="1:12" ht="12.75">
      <c r="A490" s="154"/>
      <c r="B490" s="154"/>
      <c r="C490" s="60" t="s">
        <v>766</v>
      </c>
      <c r="D490" s="61"/>
      <c r="E490" s="61"/>
      <c r="F490" s="154"/>
      <c r="G490" s="12">
        <v>30</v>
      </c>
      <c r="I490" s="154"/>
      <c r="J490" s="154"/>
      <c r="K490" s="154"/>
      <c r="L490" s="154"/>
    </row>
    <row r="491" spans="1:47" ht="12.75">
      <c r="A491" s="2"/>
      <c r="B491" s="9"/>
      <c r="C491" s="56" t="s">
        <v>510</v>
      </c>
      <c r="D491" s="57"/>
      <c r="E491" s="57"/>
      <c r="F491" s="2" t="s">
        <v>6</v>
      </c>
      <c r="G491" s="2" t="s">
        <v>6</v>
      </c>
      <c r="H491" s="139" t="s">
        <v>6</v>
      </c>
      <c r="I491" s="23">
        <f>SUM(I492:I496)</f>
        <v>0</v>
      </c>
      <c r="J491" s="23">
        <f>SUM(J492:J496)</f>
        <v>0</v>
      </c>
      <c r="K491" s="23">
        <f>SUM(K492:K496)</f>
        <v>0</v>
      </c>
      <c r="L491" s="16"/>
      <c r="AI491" s="137" t="s">
        <v>872</v>
      </c>
      <c r="AS491" s="140">
        <f>SUM(AJ492:AJ496)</f>
        <v>0</v>
      </c>
      <c r="AT491" s="140">
        <f>SUM(AK492:AK496)</f>
        <v>0</v>
      </c>
      <c r="AU491" s="140">
        <f>SUM(AL492:AL496)</f>
        <v>0</v>
      </c>
    </row>
    <row r="492" spans="1:62" ht="12.75">
      <c r="A492" s="5" t="s">
        <v>191</v>
      </c>
      <c r="B492" s="5" t="s">
        <v>380</v>
      </c>
      <c r="C492" s="64" t="s">
        <v>767</v>
      </c>
      <c r="D492" s="65"/>
      <c r="E492" s="65"/>
      <c r="F492" s="5" t="s">
        <v>816</v>
      </c>
      <c r="G492" s="13">
        <v>60</v>
      </c>
      <c r="H492" s="146">
        <v>0</v>
      </c>
      <c r="I492" s="13">
        <f>G492*AO492</f>
        <v>0</v>
      </c>
      <c r="J492" s="13">
        <f>G492*AP492</f>
        <v>0</v>
      </c>
      <c r="K492" s="13">
        <f>G492*H492</f>
        <v>0</v>
      </c>
      <c r="L492" s="19" t="s">
        <v>845</v>
      </c>
      <c r="Z492" s="143">
        <f>IF(AQ492="5",BJ492,0)</f>
        <v>0</v>
      </c>
      <c r="AB492" s="143">
        <f>IF(AQ492="1",BH492,0)</f>
        <v>0</v>
      </c>
      <c r="AC492" s="143">
        <f>IF(AQ492="1",BI492,0)</f>
        <v>0</v>
      </c>
      <c r="AD492" s="143">
        <f>IF(AQ492="7",BH492,0)</f>
        <v>0</v>
      </c>
      <c r="AE492" s="143">
        <f>IF(AQ492="7",BI492,0)</f>
        <v>0</v>
      </c>
      <c r="AF492" s="143">
        <f>IF(AQ492="2",BH492,0)</f>
        <v>0</v>
      </c>
      <c r="AG492" s="143">
        <f>IF(AQ492="2",BI492,0)</f>
        <v>0</v>
      </c>
      <c r="AH492" s="143">
        <f>IF(AQ492="0",BJ492,0)</f>
        <v>0</v>
      </c>
      <c r="AI492" s="137" t="s">
        <v>872</v>
      </c>
      <c r="AJ492" s="146">
        <f>IF(AN492=0,K492,0)</f>
        <v>0</v>
      </c>
      <c r="AK492" s="146">
        <f>IF(AN492=15,K492,0)</f>
        <v>0</v>
      </c>
      <c r="AL492" s="146">
        <f>IF(AN492=21,K492,0)</f>
        <v>0</v>
      </c>
      <c r="AN492" s="143">
        <v>21</v>
      </c>
      <c r="AO492" s="143">
        <f>H492*1</f>
        <v>0</v>
      </c>
      <c r="AP492" s="143">
        <f>H492*(1-1)</f>
        <v>0</v>
      </c>
      <c r="AQ492" s="147" t="s">
        <v>882</v>
      </c>
      <c r="AV492" s="143">
        <f>AW492+AX492</f>
        <v>0</v>
      </c>
      <c r="AW492" s="143">
        <f>G492*AO492</f>
        <v>0</v>
      </c>
      <c r="AX492" s="143">
        <f>G492*AP492</f>
        <v>0</v>
      </c>
      <c r="AY492" s="144" t="s">
        <v>892</v>
      </c>
      <c r="AZ492" s="144" t="s">
        <v>939</v>
      </c>
      <c r="BA492" s="137" t="s">
        <v>968</v>
      </c>
      <c r="BC492" s="143">
        <f>AW492+AX492</f>
        <v>0</v>
      </c>
      <c r="BD492" s="143">
        <f>H492/(100-BE492)*100</f>
        <v>0</v>
      </c>
      <c r="BE492" s="143">
        <v>0</v>
      </c>
      <c r="BF492" s="143">
        <f>492</f>
        <v>492</v>
      </c>
      <c r="BH492" s="146">
        <f>G492*AO492</f>
        <v>0</v>
      </c>
      <c r="BI492" s="146">
        <f>G492*AP492</f>
        <v>0</v>
      </c>
      <c r="BJ492" s="146">
        <f>G492*H492</f>
        <v>0</v>
      </c>
    </row>
    <row r="493" spans="1:12" ht="12.75">
      <c r="A493" s="154"/>
      <c r="B493" s="154"/>
      <c r="C493" s="60" t="s">
        <v>768</v>
      </c>
      <c r="D493" s="61"/>
      <c r="E493" s="61"/>
      <c r="F493" s="154"/>
      <c r="G493" s="12">
        <v>60</v>
      </c>
      <c r="I493" s="154"/>
      <c r="J493" s="154"/>
      <c r="K493" s="154"/>
      <c r="L493" s="154"/>
    </row>
    <row r="494" spans="1:62" ht="12.75">
      <c r="A494" s="5" t="s">
        <v>192</v>
      </c>
      <c r="B494" s="5" t="s">
        <v>381</v>
      </c>
      <c r="C494" s="64" t="s">
        <v>769</v>
      </c>
      <c r="D494" s="65"/>
      <c r="E494" s="65"/>
      <c r="F494" s="5" t="s">
        <v>818</v>
      </c>
      <c r="G494" s="13">
        <v>24</v>
      </c>
      <c r="H494" s="146">
        <v>0</v>
      </c>
      <c r="I494" s="13">
        <f>G494*AO494</f>
        <v>0</v>
      </c>
      <c r="J494" s="13">
        <f>G494*AP494</f>
        <v>0</v>
      </c>
      <c r="K494" s="13">
        <f>G494*H494</f>
        <v>0</v>
      </c>
      <c r="L494" s="19" t="s">
        <v>845</v>
      </c>
      <c r="Z494" s="143">
        <f>IF(AQ494="5",BJ494,0)</f>
        <v>0</v>
      </c>
      <c r="AB494" s="143">
        <f>IF(AQ494="1",BH494,0)</f>
        <v>0</v>
      </c>
      <c r="AC494" s="143">
        <f>IF(AQ494="1",BI494,0)</f>
        <v>0</v>
      </c>
      <c r="AD494" s="143">
        <f>IF(AQ494="7",BH494,0)</f>
        <v>0</v>
      </c>
      <c r="AE494" s="143">
        <f>IF(AQ494="7",BI494,0)</f>
        <v>0</v>
      </c>
      <c r="AF494" s="143">
        <f>IF(AQ494="2",BH494,0)</f>
        <v>0</v>
      </c>
      <c r="AG494" s="143">
        <f>IF(AQ494="2",BI494,0)</f>
        <v>0</v>
      </c>
      <c r="AH494" s="143">
        <f>IF(AQ494="0",BJ494,0)</f>
        <v>0</v>
      </c>
      <c r="AI494" s="137" t="s">
        <v>872</v>
      </c>
      <c r="AJ494" s="146">
        <f>IF(AN494=0,K494,0)</f>
        <v>0</v>
      </c>
      <c r="AK494" s="146">
        <f>IF(AN494=15,K494,0)</f>
        <v>0</v>
      </c>
      <c r="AL494" s="146">
        <f>IF(AN494=21,K494,0)</f>
        <v>0</v>
      </c>
      <c r="AN494" s="143">
        <v>21</v>
      </c>
      <c r="AO494" s="143">
        <f>H494*1</f>
        <v>0</v>
      </c>
      <c r="AP494" s="143">
        <f>H494*(1-1)</f>
        <v>0</v>
      </c>
      <c r="AQ494" s="147" t="s">
        <v>882</v>
      </c>
      <c r="AV494" s="143">
        <f>AW494+AX494</f>
        <v>0</v>
      </c>
      <c r="AW494" s="143">
        <f>G494*AO494</f>
        <v>0</v>
      </c>
      <c r="AX494" s="143">
        <f>G494*AP494</f>
        <v>0</v>
      </c>
      <c r="AY494" s="144" t="s">
        <v>892</v>
      </c>
      <c r="AZ494" s="144" t="s">
        <v>939</v>
      </c>
      <c r="BA494" s="137" t="s">
        <v>968</v>
      </c>
      <c r="BC494" s="143">
        <f>AW494+AX494</f>
        <v>0</v>
      </c>
      <c r="BD494" s="143">
        <f>H494/(100-BE494)*100</f>
        <v>0</v>
      </c>
      <c r="BE494" s="143">
        <v>0</v>
      </c>
      <c r="BF494" s="143">
        <f>494</f>
        <v>494</v>
      </c>
      <c r="BH494" s="146">
        <f>G494*AO494</f>
        <v>0</v>
      </c>
      <c r="BI494" s="146">
        <f>G494*AP494</f>
        <v>0</v>
      </c>
      <c r="BJ494" s="146">
        <f>G494*H494</f>
        <v>0</v>
      </c>
    </row>
    <row r="495" spans="1:12" ht="12.75">
      <c r="A495" s="154"/>
      <c r="B495" s="154"/>
      <c r="C495" s="60" t="s">
        <v>770</v>
      </c>
      <c r="D495" s="61"/>
      <c r="E495" s="61"/>
      <c r="F495" s="154"/>
      <c r="G495" s="12">
        <v>24</v>
      </c>
      <c r="I495" s="154"/>
      <c r="J495" s="154"/>
      <c r="K495" s="154"/>
      <c r="L495" s="154"/>
    </row>
    <row r="496" spans="1:62" ht="12.75">
      <c r="A496" s="5" t="s">
        <v>193</v>
      </c>
      <c r="B496" s="5" t="s">
        <v>382</v>
      </c>
      <c r="C496" s="64" t="s">
        <v>771</v>
      </c>
      <c r="D496" s="65"/>
      <c r="E496" s="65"/>
      <c r="F496" s="5" t="s">
        <v>818</v>
      </c>
      <c r="G496" s="13">
        <v>17</v>
      </c>
      <c r="H496" s="146">
        <v>0</v>
      </c>
      <c r="I496" s="13">
        <f>G496*AO496</f>
        <v>0</v>
      </c>
      <c r="J496" s="13">
        <f>G496*AP496</f>
        <v>0</v>
      </c>
      <c r="K496" s="13">
        <f>G496*H496</f>
        <v>0</v>
      </c>
      <c r="L496" s="19" t="s">
        <v>845</v>
      </c>
      <c r="Z496" s="143">
        <f>IF(AQ496="5",BJ496,0)</f>
        <v>0</v>
      </c>
      <c r="AB496" s="143">
        <f>IF(AQ496="1",BH496,0)</f>
        <v>0</v>
      </c>
      <c r="AC496" s="143">
        <f>IF(AQ496="1",BI496,0)</f>
        <v>0</v>
      </c>
      <c r="AD496" s="143">
        <f>IF(AQ496="7",BH496,0)</f>
        <v>0</v>
      </c>
      <c r="AE496" s="143">
        <f>IF(AQ496="7",BI496,0)</f>
        <v>0</v>
      </c>
      <c r="AF496" s="143">
        <f>IF(AQ496="2",BH496,0)</f>
        <v>0</v>
      </c>
      <c r="AG496" s="143">
        <f>IF(AQ496="2",BI496,0)</f>
        <v>0</v>
      </c>
      <c r="AH496" s="143">
        <f>IF(AQ496="0",BJ496,0)</f>
        <v>0</v>
      </c>
      <c r="AI496" s="137" t="s">
        <v>872</v>
      </c>
      <c r="AJ496" s="146">
        <f>IF(AN496=0,K496,0)</f>
        <v>0</v>
      </c>
      <c r="AK496" s="146">
        <f>IF(AN496=15,K496,0)</f>
        <v>0</v>
      </c>
      <c r="AL496" s="146">
        <f>IF(AN496=21,K496,0)</f>
        <v>0</v>
      </c>
      <c r="AN496" s="143">
        <v>21</v>
      </c>
      <c r="AO496" s="143">
        <f>H496*1</f>
        <v>0</v>
      </c>
      <c r="AP496" s="143">
        <f>H496*(1-1)</f>
        <v>0</v>
      </c>
      <c r="AQ496" s="147" t="s">
        <v>882</v>
      </c>
      <c r="AV496" s="143">
        <f>AW496+AX496</f>
        <v>0</v>
      </c>
      <c r="AW496" s="143">
        <f>G496*AO496</f>
        <v>0</v>
      </c>
      <c r="AX496" s="143">
        <f>G496*AP496</f>
        <v>0</v>
      </c>
      <c r="AY496" s="144" t="s">
        <v>892</v>
      </c>
      <c r="AZ496" s="144" t="s">
        <v>939</v>
      </c>
      <c r="BA496" s="137" t="s">
        <v>968</v>
      </c>
      <c r="BC496" s="143">
        <f>AW496+AX496</f>
        <v>0</v>
      </c>
      <c r="BD496" s="143">
        <f>H496/(100-BE496)*100</f>
        <v>0</v>
      </c>
      <c r="BE496" s="143">
        <v>0</v>
      </c>
      <c r="BF496" s="143">
        <f>496</f>
        <v>496</v>
      </c>
      <c r="BH496" s="146">
        <f>G496*AO496</f>
        <v>0</v>
      </c>
      <c r="BI496" s="146">
        <f>G496*AP496</f>
        <v>0</v>
      </c>
      <c r="BJ496" s="146">
        <f>G496*H496</f>
        <v>0</v>
      </c>
    </row>
    <row r="497" spans="1:12" ht="12.75">
      <c r="A497" s="154"/>
      <c r="B497" s="154"/>
      <c r="C497" s="60" t="s">
        <v>772</v>
      </c>
      <c r="D497" s="61"/>
      <c r="E497" s="61"/>
      <c r="F497" s="154"/>
      <c r="G497" s="12">
        <v>17</v>
      </c>
      <c r="I497" s="154"/>
      <c r="J497" s="154"/>
      <c r="K497" s="154"/>
      <c r="L497" s="154"/>
    </row>
    <row r="498" spans="1:12" ht="12.75">
      <c r="A498" s="4"/>
      <c r="B498" s="10"/>
      <c r="C498" s="62" t="s">
        <v>773</v>
      </c>
      <c r="D498" s="63"/>
      <c r="E498" s="63"/>
      <c r="F498" s="4" t="s">
        <v>6</v>
      </c>
      <c r="G498" s="4" t="s">
        <v>6</v>
      </c>
      <c r="H498" s="145" t="s">
        <v>6</v>
      </c>
      <c r="I498" s="24">
        <f>I499</f>
        <v>0</v>
      </c>
      <c r="J498" s="24">
        <f>J499</f>
        <v>0</v>
      </c>
      <c r="K498" s="24">
        <f>K499</f>
        <v>0</v>
      </c>
      <c r="L498" s="18"/>
    </row>
    <row r="499" spans="1:47" ht="12.75">
      <c r="A499" s="2"/>
      <c r="B499" s="9" t="s">
        <v>97</v>
      </c>
      <c r="C499" s="56" t="s">
        <v>485</v>
      </c>
      <c r="D499" s="57"/>
      <c r="E499" s="57"/>
      <c r="F499" s="2" t="s">
        <v>6</v>
      </c>
      <c r="G499" s="2" t="s">
        <v>6</v>
      </c>
      <c r="H499" s="139" t="s">
        <v>6</v>
      </c>
      <c r="I499" s="23">
        <f>SUM(I500:I502)</f>
        <v>0</v>
      </c>
      <c r="J499" s="23">
        <f>SUM(J500:J502)</f>
        <v>0</v>
      </c>
      <c r="K499" s="23">
        <f>SUM(K500:K502)</f>
        <v>0</v>
      </c>
      <c r="L499" s="16"/>
      <c r="AI499" s="137" t="s">
        <v>873</v>
      </c>
      <c r="AS499" s="140">
        <f>SUM(AJ500:AJ502)</f>
        <v>0</v>
      </c>
      <c r="AT499" s="140">
        <f>SUM(AK500:AK502)</f>
        <v>0</v>
      </c>
      <c r="AU499" s="140">
        <f>SUM(AL500:AL502)</f>
        <v>0</v>
      </c>
    </row>
    <row r="500" spans="1:62" ht="12.75">
      <c r="A500" s="3" t="s">
        <v>194</v>
      </c>
      <c r="B500" s="3" t="s">
        <v>383</v>
      </c>
      <c r="C500" s="58" t="s">
        <v>774</v>
      </c>
      <c r="D500" s="59"/>
      <c r="E500" s="59"/>
      <c r="F500" s="3" t="s">
        <v>822</v>
      </c>
      <c r="G500" s="11">
        <v>1</v>
      </c>
      <c r="H500" s="141">
        <v>0</v>
      </c>
      <c r="I500" s="11">
        <f>G500*AO500</f>
        <v>0</v>
      </c>
      <c r="J500" s="11">
        <f>G500*AP500</f>
        <v>0</v>
      </c>
      <c r="K500" s="11">
        <f>G500*H500</f>
        <v>0</v>
      </c>
      <c r="L500" s="17" t="s">
        <v>845</v>
      </c>
      <c r="Z500" s="143">
        <f>IF(AQ500="5",BJ500,0)</f>
        <v>0</v>
      </c>
      <c r="AB500" s="143">
        <f>IF(AQ500="1",BH500,0)</f>
        <v>0</v>
      </c>
      <c r="AC500" s="143">
        <f>IF(AQ500="1",BI500,0)</f>
        <v>0</v>
      </c>
      <c r="AD500" s="143">
        <f>IF(AQ500="7",BH500,0)</f>
        <v>0</v>
      </c>
      <c r="AE500" s="143">
        <f>IF(AQ500="7",BI500,0)</f>
        <v>0</v>
      </c>
      <c r="AF500" s="143">
        <f>IF(AQ500="2",BH500,0)</f>
        <v>0</v>
      </c>
      <c r="AG500" s="143">
        <f>IF(AQ500="2",BI500,0)</f>
        <v>0</v>
      </c>
      <c r="AH500" s="143">
        <f>IF(AQ500="0",BJ500,0)</f>
        <v>0</v>
      </c>
      <c r="AI500" s="137" t="s">
        <v>873</v>
      </c>
      <c r="AJ500" s="141">
        <f>IF(AN500=0,K500,0)</f>
        <v>0</v>
      </c>
      <c r="AK500" s="141">
        <f>IF(AN500=15,K500,0)</f>
        <v>0</v>
      </c>
      <c r="AL500" s="141">
        <f>IF(AN500=21,K500,0)</f>
        <v>0</v>
      </c>
      <c r="AN500" s="143">
        <v>21</v>
      </c>
      <c r="AO500" s="143">
        <f>H500*0.361359362549801</f>
        <v>0</v>
      </c>
      <c r="AP500" s="143">
        <f>H500*(1-0.361359362549801)</f>
        <v>0</v>
      </c>
      <c r="AQ500" s="142" t="s">
        <v>7</v>
      </c>
      <c r="AV500" s="143">
        <f>AW500+AX500</f>
        <v>0</v>
      </c>
      <c r="AW500" s="143">
        <f>G500*AO500</f>
        <v>0</v>
      </c>
      <c r="AX500" s="143">
        <f>G500*AP500</f>
        <v>0</v>
      </c>
      <c r="AY500" s="144" t="s">
        <v>889</v>
      </c>
      <c r="AZ500" s="144" t="s">
        <v>940</v>
      </c>
      <c r="BA500" s="137" t="s">
        <v>969</v>
      </c>
      <c r="BC500" s="143">
        <f>AW500+AX500</f>
        <v>0</v>
      </c>
      <c r="BD500" s="143">
        <f>H500/(100-BE500)*100</f>
        <v>0</v>
      </c>
      <c r="BE500" s="143">
        <v>0</v>
      </c>
      <c r="BF500" s="143">
        <f>500</f>
        <v>500</v>
      </c>
      <c r="BH500" s="141">
        <f>G500*AO500</f>
        <v>0</v>
      </c>
      <c r="BI500" s="141">
        <f>G500*AP500</f>
        <v>0</v>
      </c>
      <c r="BJ500" s="141">
        <f>G500*H500</f>
        <v>0</v>
      </c>
    </row>
    <row r="501" spans="1:12" ht="12.75">
      <c r="A501" s="154"/>
      <c r="B501" s="154"/>
      <c r="C501" s="60" t="s">
        <v>495</v>
      </c>
      <c r="D501" s="61"/>
      <c r="E501" s="61"/>
      <c r="F501" s="154"/>
      <c r="G501" s="12">
        <v>1</v>
      </c>
      <c r="I501" s="154"/>
      <c r="J501" s="154"/>
      <c r="K501" s="154"/>
      <c r="L501" s="154"/>
    </row>
    <row r="502" spans="1:62" ht="12.75">
      <c r="A502" s="3" t="s">
        <v>195</v>
      </c>
      <c r="B502" s="3" t="s">
        <v>384</v>
      </c>
      <c r="C502" s="58" t="s">
        <v>775</v>
      </c>
      <c r="D502" s="59"/>
      <c r="E502" s="59"/>
      <c r="F502" s="3" t="s">
        <v>822</v>
      </c>
      <c r="G502" s="11">
        <v>1</v>
      </c>
      <c r="H502" s="141">
        <v>0</v>
      </c>
      <c r="I502" s="11">
        <f>G502*AO502</f>
        <v>0</v>
      </c>
      <c r="J502" s="11">
        <f>G502*AP502</f>
        <v>0</v>
      </c>
      <c r="K502" s="11">
        <f>G502*H502</f>
        <v>0</v>
      </c>
      <c r="L502" s="17" t="s">
        <v>845</v>
      </c>
      <c r="Z502" s="143">
        <f>IF(AQ502="5",BJ502,0)</f>
        <v>0</v>
      </c>
      <c r="AB502" s="143">
        <f>IF(AQ502="1",BH502,0)</f>
        <v>0</v>
      </c>
      <c r="AC502" s="143">
        <f>IF(AQ502="1",BI502,0)</f>
        <v>0</v>
      </c>
      <c r="AD502" s="143">
        <f>IF(AQ502="7",BH502,0)</f>
        <v>0</v>
      </c>
      <c r="AE502" s="143">
        <f>IF(AQ502="7",BI502,0)</f>
        <v>0</v>
      </c>
      <c r="AF502" s="143">
        <f>IF(AQ502="2",BH502,0)</f>
        <v>0</v>
      </c>
      <c r="AG502" s="143">
        <f>IF(AQ502="2",BI502,0)</f>
        <v>0</v>
      </c>
      <c r="AH502" s="143">
        <f>IF(AQ502="0",BJ502,0)</f>
        <v>0</v>
      </c>
      <c r="AI502" s="137" t="s">
        <v>873</v>
      </c>
      <c r="AJ502" s="141">
        <f>IF(AN502=0,K502,0)</f>
        <v>0</v>
      </c>
      <c r="AK502" s="141">
        <f>IF(AN502=15,K502,0)</f>
        <v>0</v>
      </c>
      <c r="AL502" s="141">
        <f>IF(AN502=21,K502,0)</f>
        <v>0</v>
      </c>
      <c r="AN502" s="143">
        <v>21</v>
      </c>
      <c r="AO502" s="143">
        <f>H502*0.361359574468085</f>
        <v>0</v>
      </c>
      <c r="AP502" s="143">
        <f>H502*(1-0.361359574468085)</f>
        <v>0</v>
      </c>
      <c r="AQ502" s="142" t="s">
        <v>7</v>
      </c>
      <c r="AV502" s="143">
        <f>AW502+AX502</f>
        <v>0</v>
      </c>
      <c r="AW502" s="143">
        <f>G502*AO502</f>
        <v>0</v>
      </c>
      <c r="AX502" s="143">
        <f>G502*AP502</f>
        <v>0</v>
      </c>
      <c r="AY502" s="144" t="s">
        <v>889</v>
      </c>
      <c r="AZ502" s="144" t="s">
        <v>940</v>
      </c>
      <c r="BA502" s="137" t="s">
        <v>969</v>
      </c>
      <c r="BC502" s="143">
        <f>AW502+AX502</f>
        <v>0</v>
      </c>
      <c r="BD502" s="143">
        <f>H502/(100-BE502)*100</f>
        <v>0</v>
      </c>
      <c r="BE502" s="143">
        <v>0</v>
      </c>
      <c r="BF502" s="143">
        <f>502</f>
        <v>502</v>
      </c>
      <c r="BH502" s="141">
        <f>G502*AO502</f>
        <v>0</v>
      </c>
      <c r="BI502" s="141">
        <f>G502*AP502</f>
        <v>0</v>
      </c>
      <c r="BJ502" s="141">
        <f>G502*H502</f>
        <v>0</v>
      </c>
    </row>
    <row r="503" spans="1:12" ht="12.75">
      <c r="A503" s="154"/>
      <c r="B503" s="154"/>
      <c r="C503" s="60" t="s">
        <v>495</v>
      </c>
      <c r="D503" s="61"/>
      <c r="E503" s="61"/>
      <c r="F503" s="154"/>
      <c r="G503" s="12">
        <v>1</v>
      </c>
      <c r="I503" s="154"/>
      <c r="J503" s="154"/>
      <c r="K503" s="154"/>
      <c r="L503" s="154"/>
    </row>
    <row r="504" spans="1:12" ht="12.75">
      <c r="A504" s="4"/>
      <c r="B504" s="10"/>
      <c r="C504" s="62" t="s">
        <v>776</v>
      </c>
      <c r="D504" s="63"/>
      <c r="E504" s="63"/>
      <c r="F504" s="4" t="s">
        <v>6</v>
      </c>
      <c r="G504" s="4" t="s">
        <v>6</v>
      </c>
      <c r="H504" s="145" t="s">
        <v>6</v>
      </c>
      <c r="I504" s="24">
        <f>I505+I508+I513+I516</f>
        <v>0</v>
      </c>
      <c r="J504" s="24">
        <f>J505+J508+J513+J516</f>
        <v>0</v>
      </c>
      <c r="K504" s="24">
        <f>K505+K508+K513+K516</f>
        <v>0</v>
      </c>
      <c r="L504" s="18"/>
    </row>
    <row r="505" spans="1:47" ht="12.75">
      <c r="A505" s="2"/>
      <c r="B505" s="9" t="s">
        <v>65</v>
      </c>
      <c r="C505" s="56" t="s">
        <v>482</v>
      </c>
      <c r="D505" s="57"/>
      <c r="E505" s="57"/>
      <c r="F505" s="2" t="s">
        <v>6</v>
      </c>
      <c r="G505" s="2" t="s">
        <v>6</v>
      </c>
      <c r="H505" s="139" t="s">
        <v>6</v>
      </c>
      <c r="I505" s="23">
        <f>SUM(I506:I506)</f>
        <v>0</v>
      </c>
      <c r="J505" s="23">
        <f>SUM(J506:J506)</f>
        <v>0</v>
      </c>
      <c r="K505" s="23">
        <f>SUM(K506:K506)</f>
        <v>0</v>
      </c>
      <c r="L505" s="16"/>
      <c r="AI505" s="137" t="s">
        <v>874</v>
      </c>
      <c r="AS505" s="140">
        <f>SUM(AJ506:AJ506)</f>
        <v>0</v>
      </c>
      <c r="AT505" s="140">
        <f>SUM(AK506:AK506)</f>
        <v>0</v>
      </c>
      <c r="AU505" s="140">
        <f>SUM(AL506:AL506)</f>
        <v>0</v>
      </c>
    </row>
    <row r="506" spans="1:62" ht="12.75">
      <c r="A506" s="3" t="s">
        <v>196</v>
      </c>
      <c r="B506" s="3" t="s">
        <v>385</v>
      </c>
      <c r="C506" s="58" t="s">
        <v>777</v>
      </c>
      <c r="D506" s="59"/>
      <c r="E506" s="59"/>
      <c r="F506" s="3" t="s">
        <v>818</v>
      </c>
      <c r="G506" s="11">
        <v>1.6</v>
      </c>
      <c r="H506" s="141">
        <v>0</v>
      </c>
      <c r="I506" s="11">
        <f>G506*AO506</f>
        <v>0</v>
      </c>
      <c r="J506" s="11">
        <f>G506*AP506</f>
        <v>0</v>
      </c>
      <c r="K506" s="11">
        <f>G506*H506</f>
        <v>0</v>
      </c>
      <c r="L506" s="17" t="s">
        <v>845</v>
      </c>
      <c r="Z506" s="143">
        <f>IF(AQ506="5",BJ506,0)</f>
        <v>0</v>
      </c>
      <c r="AB506" s="143">
        <f>IF(AQ506="1",BH506,0)</f>
        <v>0</v>
      </c>
      <c r="AC506" s="143">
        <f>IF(AQ506="1",BI506,0)</f>
        <v>0</v>
      </c>
      <c r="AD506" s="143">
        <f>IF(AQ506="7",BH506,0)</f>
        <v>0</v>
      </c>
      <c r="AE506" s="143">
        <f>IF(AQ506="7",BI506,0)</f>
        <v>0</v>
      </c>
      <c r="AF506" s="143">
        <f>IF(AQ506="2",BH506,0)</f>
        <v>0</v>
      </c>
      <c r="AG506" s="143">
        <f>IF(AQ506="2",BI506,0)</f>
        <v>0</v>
      </c>
      <c r="AH506" s="143">
        <f>IF(AQ506="0",BJ506,0)</f>
        <v>0</v>
      </c>
      <c r="AI506" s="137" t="s">
        <v>874</v>
      </c>
      <c r="AJ506" s="141">
        <f>IF(AN506=0,K506,0)</f>
        <v>0</v>
      </c>
      <c r="AK506" s="141">
        <f>IF(AN506=15,K506,0)</f>
        <v>0</v>
      </c>
      <c r="AL506" s="141">
        <f>IF(AN506=21,K506,0)</f>
        <v>0</v>
      </c>
      <c r="AN506" s="143">
        <v>21</v>
      </c>
      <c r="AO506" s="143">
        <f>H506*0.525446062839187</f>
        <v>0</v>
      </c>
      <c r="AP506" s="143">
        <f>H506*(1-0.525446062839187)</f>
        <v>0</v>
      </c>
      <c r="AQ506" s="142" t="s">
        <v>7</v>
      </c>
      <c r="AV506" s="143">
        <f>AW506+AX506</f>
        <v>0</v>
      </c>
      <c r="AW506" s="143">
        <f>G506*AO506</f>
        <v>0</v>
      </c>
      <c r="AX506" s="143">
        <f>G506*AP506</f>
        <v>0</v>
      </c>
      <c r="AY506" s="144" t="s">
        <v>888</v>
      </c>
      <c r="AZ506" s="144" t="s">
        <v>941</v>
      </c>
      <c r="BA506" s="137" t="s">
        <v>970</v>
      </c>
      <c r="BC506" s="143">
        <f>AW506+AX506</f>
        <v>0</v>
      </c>
      <c r="BD506" s="143">
        <f>H506/(100-BE506)*100</f>
        <v>0</v>
      </c>
      <c r="BE506" s="143">
        <v>0</v>
      </c>
      <c r="BF506" s="143">
        <f>506</f>
        <v>506</v>
      </c>
      <c r="BH506" s="141">
        <f>G506*AO506</f>
        <v>0</v>
      </c>
      <c r="BI506" s="141">
        <f>G506*AP506</f>
        <v>0</v>
      </c>
      <c r="BJ506" s="141">
        <f>G506*H506</f>
        <v>0</v>
      </c>
    </row>
    <row r="507" spans="1:12" ht="12.75">
      <c r="A507" s="154"/>
      <c r="B507" s="154"/>
      <c r="C507" s="60" t="s">
        <v>778</v>
      </c>
      <c r="D507" s="61"/>
      <c r="E507" s="61"/>
      <c r="F507" s="154"/>
      <c r="G507" s="12">
        <v>1.6</v>
      </c>
      <c r="I507" s="154"/>
      <c r="J507" s="154"/>
      <c r="K507" s="154"/>
      <c r="L507" s="154"/>
    </row>
    <row r="508" spans="1:47" ht="12.75">
      <c r="A508" s="2"/>
      <c r="B508" s="9" t="s">
        <v>357</v>
      </c>
      <c r="C508" s="56" t="s">
        <v>727</v>
      </c>
      <c r="D508" s="57"/>
      <c r="E508" s="57"/>
      <c r="F508" s="2" t="s">
        <v>6</v>
      </c>
      <c r="G508" s="2" t="s">
        <v>6</v>
      </c>
      <c r="H508" s="139" t="s">
        <v>6</v>
      </c>
      <c r="I508" s="23">
        <f>SUM(I509:I511)</f>
        <v>0</v>
      </c>
      <c r="J508" s="23">
        <f>SUM(J509:J511)</f>
        <v>0</v>
      </c>
      <c r="K508" s="23">
        <f>SUM(K509:K511)</f>
        <v>0</v>
      </c>
      <c r="L508" s="16"/>
      <c r="AI508" s="137" t="s">
        <v>874</v>
      </c>
      <c r="AS508" s="140">
        <f>SUM(AJ509:AJ511)</f>
        <v>0</v>
      </c>
      <c r="AT508" s="140">
        <f>SUM(AK509:AK511)</f>
        <v>0</v>
      </c>
      <c r="AU508" s="140">
        <f>SUM(AL509:AL511)</f>
        <v>0</v>
      </c>
    </row>
    <row r="509" spans="1:62" ht="12.75">
      <c r="A509" s="3" t="s">
        <v>197</v>
      </c>
      <c r="B509" s="3" t="s">
        <v>358</v>
      </c>
      <c r="C509" s="58" t="s">
        <v>728</v>
      </c>
      <c r="D509" s="59"/>
      <c r="E509" s="59"/>
      <c r="F509" s="3" t="s">
        <v>815</v>
      </c>
      <c r="G509" s="11">
        <v>70.5</v>
      </c>
      <c r="H509" s="141">
        <v>0</v>
      </c>
      <c r="I509" s="11">
        <f>G509*AO509</f>
        <v>0</v>
      </c>
      <c r="J509" s="11">
        <f>G509*AP509</f>
        <v>0</v>
      </c>
      <c r="K509" s="11">
        <f>G509*H509</f>
        <v>0</v>
      </c>
      <c r="L509" s="17" t="s">
        <v>845</v>
      </c>
      <c r="Z509" s="143">
        <f>IF(AQ509="5",BJ509,0)</f>
        <v>0</v>
      </c>
      <c r="AB509" s="143">
        <f>IF(AQ509="1",BH509,0)</f>
        <v>0</v>
      </c>
      <c r="AC509" s="143">
        <f>IF(AQ509="1",BI509,0)</f>
        <v>0</v>
      </c>
      <c r="AD509" s="143">
        <f>IF(AQ509="7",BH509,0)</f>
        <v>0</v>
      </c>
      <c r="AE509" s="143">
        <f>IF(AQ509="7",BI509,0)</f>
        <v>0</v>
      </c>
      <c r="AF509" s="143">
        <f>IF(AQ509="2",BH509,0)</f>
        <v>0</v>
      </c>
      <c r="AG509" s="143">
        <f>IF(AQ509="2",BI509,0)</f>
        <v>0</v>
      </c>
      <c r="AH509" s="143">
        <f>IF(AQ509="0",BJ509,0)</f>
        <v>0</v>
      </c>
      <c r="AI509" s="137" t="s">
        <v>874</v>
      </c>
      <c r="AJ509" s="141">
        <f>IF(AN509=0,K509,0)</f>
        <v>0</v>
      </c>
      <c r="AK509" s="141">
        <f>IF(AN509=15,K509,0)</f>
        <v>0</v>
      </c>
      <c r="AL509" s="141">
        <f>IF(AN509=21,K509,0)</f>
        <v>0</v>
      </c>
      <c r="AN509" s="143">
        <v>21</v>
      </c>
      <c r="AO509" s="143">
        <f>H509*0.214772997630286</f>
        <v>0</v>
      </c>
      <c r="AP509" s="143">
        <f>H509*(1-0.214772997630286)</f>
        <v>0</v>
      </c>
      <c r="AQ509" s="142" t="s">
        <v>13</v>
      </c>
      <c r="AV509" s="143">
        <f>AW509+AX509</f>
        <v>0</v>
      </c>
      <c r="AW509" s="143">
        <f>G509*AO509</f>
        <v>0</v>
      </c>
      <c r="AX509" s="143">
        <f>G509*AP509</f>
        <v>0</v>
      </c>
      <c r="AY509" s="144" t="s">
        <v>900</v>
      </c>
      <c r="AZ509" s="144" t="s">
        <v>942</v>
      </c>
      <c r="BA509" s="137" t="s">
        <v>970</v>
      </c>
      <c r="BC509" s="143">
        <f>AW509+AX509</f>
        <v>0</v>
      </c>
      <c r="BD509" s="143">
        <f>H509/(100-BE509)*100</f>
        <v>0</v>
      </c>
      <c r="BE509" s="143">
        <v>0</v>
      </c>
      <c r="BF509" s="143">
        <f>509</f>
        <v>509</v>
      </c>
      <c r="BH509" s="141">
        <f>G509*AO509</f>
        <v>0</v>
      </c>
      <c r="BI509" s="141">
        <f>G509*AP509</f>
        <v>0</v>
      </c>
      <c r="BJ509" s="141">
        <f>G509*H509</f>
        <v>0</v>
      </c>
    </row>
    <row r="510" spans="1:12" ht="12.75">
      <c r="A510" s="154"/>
      <c r="B510" s="154"/>
      <c r="C510" s="60" t="s">
        <v>779</v>
      </c>
      <c r="D510" s="61"/>
      <c r="E510" s="61"/>
      <c r="F510" s="154"/>
      <c r="G510" s="12">
        <v>70.5</v>
      </c>
      <c r="I510" s="154"/>
      <c r="J510" s="154"/>
      <c r="K510" s="154"/>
      <c r="L510" s="154"/>
    </row>
    <row r="511" spans="1:62" ht="12.75">
      <c r="A511" s="3" t="s">
        <v>198</v>
      </c>
      <c r="B511" s="3" t="s">
        <v>386</v>
      </c>
      <c r="C511" s="58" t="s">
        <v>780</v>
      </c>
      <c r="D511" s="59"/>
      <c r="E511" s="59"/>
      <c r="F511" s="3" t="s">
        <v>816</v>
      </c>
      <c r="G511" s="11">
        <v>3</v>
      </c>
      <c r="H511" s="141">
        <v>0</v>
      </c>
      <c r="I511" s="11">
        <f>G511*AO511</f>
        <v>0</v>
      </c>
      <c r="J511" s="11">
        <f>G511*AP511</f>
        <v>0</v>
      </c>
      <c r="K511" s="11">
        <f>G511*H511</f>
        <v>0</v>
      </c>
      <c r="L511" s="17" t="s">
        <v>845</v>
      </c>
      <c r="Z511" s="143">
        <f>IF(AQ511="5",BJ511,0)</f>
        <v>0</v>
      </c>
      <c r="AB511" s="143">
        <f>IF(AQ511="1",BH511,0)</f>
        <v>0</v>
      </c>
      <c r="AC511" s="143">
        <f>IF(AQ511="1",BI511,0)</f>
        <v>0</v>
      </c>
      <c r="AD511" s="143">
        <f>IF(AQ511="7",BH511,0)</f>
        <v>0</v>
      </c>
      <c r="AE511" s="143">
        <f>IF(AQ511="7",BI511,0)</f>
        <v>0</v>
      </c>
      <c r="AF511" s="143">
        <f>IF(AQ511="2",BH511,0)</f>
        <v>0</v>
      </c>
      <c r="AG511" s="143">
        <f>IF(AQ511="2",BI511,0)</f>
        <v>0</v>
      </c>
      <c r="AH511" s="143">
        <f>IF(AQ511="0",BJ511,0)</f>
        <v>0</v>
      </c>
      <c r="AI511" s="137" t="s">
        <v>874</v>
      </c>
      <c r="AJ511" s="141">
        <f>IF(AN511=0,K511,0)</f>
        <v>0</v>
      </c>
      <c r="AK511" s="141">
        <f>IF(AN511=15,K511,0)</f>
        <v>0</v>
      </c>
      <c r="AL511" s="141">
        <f>IF(AN511=21,K511,0)</f>
        <v>0</v>
      </c>
      <c r="AN511" s="143">
        <v>21</v>
      </c>
      <c r="AO511" s="143">
        <f>H511*0.70187898089172</f>
        <v>0</v>
      </c>
      <c r="AP511" s="143">
        <f>H511*(1-0.70187898089172)</f>
        <v>0</v>
      </c>
      <c r="AQ511" s="142" t="s">
        <v>13</v>
      </c>
      <c r="AV511" s="143">
        <f>AW511+AX511</f>
        <v>0</v>
      </c>
      <c r="AW511" s="143">
        <f>G511*AO511</f>
        <v>0</v>
      </c>
      <c r="AX511" s="143">
        <f>G511*AP511</f>
        <v>0</v>
      </c>
      <c r="AY511" s="144" t="s">
        <v>900</v>
      </c>
      <c r="AZ511" s="144" t="s">
        <v>942</v>
      </c>
      <c r="BA511" s="137" t="s">
        <v>970</v>
      </c>
      <c r="BC511" s="143">
        <f>AW511+AX511</f>
        <v>0</v>
      </c>
      <c r="BD511" s="143">
        <f>H511/(100-BE511)*100</f>
        <v>0</v>
      </c>
      <c r="BE511" s="143">
        <v>0</v>
      </c>
      <c r="BF511" s="143">
        <f>511</f>
        <v>511</v>
      </c>
      <c r="BH511" s="141">
        <f>G511*AO511</f>
        <v>0</v>
      </c>
      <c r="BI511" s="141">
        <f>G511*AP511</f>
        <v>0</v>
      </c>
      <c r="BJ511" s="141">
        <f>G511*H511</f>
        <v>0</v>
      </c>
    </row>
    <row r="512" spans="1:12" ht="12.75">
      <c r="A512" s="154"/>
      <c r="B512" s="154"/>
      <c r="C512" s="60" t="s">
        <v>598</v>
      </c>
      <c r="D512" s="61"/>
      <c r="E512" s="61"/>
      <c r="F512" s="154"/>
      <c r="G512" s="12">
        <v>3</v>
      </c>
      <c r="I512" s="154"/>
      <c r="J512" s="154"/>
      <c r="K512" s="154"/>
      <c r="L512" s="154"/>
    </row>
    <row r="513" spans="1:47" ht="12.75">
      <c r="A513" s="2"/>
      <c r="B513" s="9" t="s">
        <v>97</v>
      </c>
      <c r="C513" s="56" t="s">
        <v>485</v>
      </c>
      <c r="D513" s="57"/>
      <c r="E513" s="57"/>
      <c r="F513" s="2" t="s">
        <v>6</v>
      </c>
      <c r="G513" s="2" t="s">
        <v>6</v>
      </c>
      <c r="H513" s="139" t="s">
        <v>6</v>
      </c>
      <c r="I513" s="23">
        <f>SUM(I514:I514)</f>
        <v>0</v>
      </c>
      <c r="J513" s="23">
        <f>SUM(J514:J514)</f>
        <v>0</v>
      </c>
      <c r="K513" s="23">
        <f>SUM(K514:K514)</f>
        <v>0</v>
      </c>
      <c r="L513" s="16"/>
      <c r="AI513" s="137" t="s">
        <v>874</v>
      </c>
      <c r="AS513" s="140">
        <f>SUM(AJ514:AJ514)</f>
        <v>0</v>
      </c>
      <c r="AT513" s="140">
        <f>SUM(AK514:AK514)</f>
        <v>0</v>
      </c>
      <c r="AU513" s="140">
        <f>SUM(AL514:AL514)</f>
        <v>0</v>
      </c>
    </row>
    <row r="514" spans="1:62" ht="12.75">
      <c r="A514" s="3" t="s">
        <v>199</v>
      </c>
      <c r="B514" s="3" t="s">
        <v>387</v>
      </c>
      <c r="C514" s="58" t="s">
        <v>781</v>
      </c>
      <c r="D514" s="59"/>
      <c r="E514" s="59"/>
      <c r="F514" s="3" t="s">
        <v>822</v>
      </c>
      <c r="G514" s="11">
        <v>5</v>
      </c>
      <c r="H514" s="141">
        <v>0</v>
      </c>
      <c r="I514" s="11">
        <f>G514*AO514</f>
        <v>0</v>
      </c>
      <c r="J514" s="11">
        <f>G514*AP514</f>
        <v>0</v>
      </c>
      <c r="K514" s="11">
        <f>G514*H514</f>
        <v>0</v>
      </c>
      <c r="L514" s="17" t="s">
        <v>845</v>
      </c>
      <c r="Z514" s="143">
        <f>IF(AQ514="5",BJ514,0)</f>
        <v>0</v>
      </c>
      <c r="AB514" s="143">
        <f>IF(AQ514="1",BH514,0)</f>
        <v>0</v>
      </c>
      <c r="AC514" s="143">
        <f>IF(AQ514="1",BI514,0)</f>
        <v>0</v>
      </c>
      <c r="AD514" s="143">
        <f>IF(AQ514="7",BH514,0)</f>
        <v>0</v>
      </c>
      <c r="AE514" s="143">
        <f>IF(AQ514="7",BI514,0)</f>
        <v>0</v>
      </c>
      <c r="AF514" s="143">
        <f>IF(AQ514="2",BH514,0)</f>
        <v>0</v>
      </c>
      <c r="AG514" s="143">
        <f>IF(AQ514="2",BI514,0)</f>
        <v>0</v>
      </c>
      <c r="AH514" s="143">
        <f>IF(AQ514="0",BJ514,0)</f>
        <v>0</v>
      </c>
      <c r="AI514" s="137" t="s">
        <v>874</v>
      </c>
      <c r="AJ514" s="141">
        <f>IF(AN514=0,K514,0)</f>
        <v>0</v>
      </c>
      <c r="AK514" s="141">
        <f>IF(AN514=15,K514,0)</f>
        <v>0</v>
      </c>
      <c r="AL514" s="141">
        <f>IF(AN514=21,K514,0)</f>
        <v>0</v>
      </c>
      <c r="AN514" s="143">
        <v>21</v>
      </c>
      <c r="AO514" s="143">
        <f>H514*0.361359318996416</f>
        <v>0</v>
      </c>
      <c r="AP514" s="143">
        <f>H514*(1-0.361359318996416)</f>
        <v>0</v>
      </c>
      <c r="AQ514" s="142" t="s">
        <v>7</v>
      </c>
      <c r="AV514" s="143">
        <f>AW514+AX514</f>
        <v>0</v>
      </c>
      <c r="AW514" s="143">
        <f>G514*AO514</f>
        <v>0</v>
      </c>
      <c r="AX514" s="143">
        <f>G514*AP514</f>
        <v>0</v>
      </c>
      <c r="AY514" s="144" t="s">
        <v>889</v>
      </c>
      <c r="AZ514" s="144" t="s">
        <v>943</v>
      </c>
      <c r="BA514" s="137" t="s">
        <v>970</v>
      </c>
      <c r="BC514" s="143">
        <f>AW514+AX514</f>
        <v>0</v>
      </c>
      <c r="BD514" s="143">
        <f>H514/(100-BE514)*100</f>
        <v>0</v>
      </c>
      <c r="BE514" s="143">
        <v>0</v>
      </c>
      <c r="BF514" s="143">
        <f>514</f>
        <v>514</v>
      </c>
      <c r="BH514" s="141">
        <f>G514*AO514</f>
        <v>0</v>
      </c>
      <c r="BI514" s="141">
        <f>G514*AP514</f>
        <v>0</v>
      </c>
      <c r="BJ514" s="141">
        <f>G514*H514</f>
        <v>0</v>
      </c>
    </row>
    <row r="515" spans="1:12" ht="12.75">
      <c r="A515" s="154"/>
      <c r="B515" s="154"/>
      <c r="C515" s="60" t="s">
        <v>782</v>
      </c>
      <c r="D515" s="61"/>
      <c r="E515" s="61"/>
      <c r="F515" s="154"/>
      <c r="G515" s="12">
        <v>5</v>
      </c>
      <c r="I515" s="154"/>
      <c r="J515" s="154"/>
      <c r="K515" s="154"/>
      <c r="L515" s="154"/>
    </row>
    <row r="516" spans="1:47" ht="12.75">
      <c r="A516" s="2"/>
      <c r="B516" s="9" t="s">
        <v>363</v>
      </c>
      <c r="C516" s="56" t="s">
        <v>737</v>
      </c>
      <c r="D516" s="57"/>
      <c r="E516" s="57"/>
      <c r="F516" s="2" t="s">
        <v>6</v>
      </c>
      <c r="G516" s="2" t="s">
        <v>6</v>
      </c>
      <c r="H516" s="139" t="s">
        <v>6</v>
      </c>
      <c r="I516" s="23">
        <f>SUM(I517:I521)</f>
        <v>0</v>
      </c>
      <c r="J516" s="23">
        <f>SUM(J517:J521)</f>
        <v>0</v>
      </c>
      <c r="K516" s="23">
        <f>SUM(K517:K521)</f>
        <v>0</v>
      </c>
      <c r="L516" s="16"/>
      <c r="AI516" s="137" t="s">
        <v>874</v>
      </c>
      <c r="AS516" s="140">
        <f>SUM(AJ517:AJ521)</f>
        <v>0</v>
      </c>
      <c r="AT516" s="140">
        <f>SUM(AK517:AK521)</f>
        <v>0</v>
      </c>
      <c r="AU516" s="140">
        <f>SUM(AL517:AL521)</f>
        <v>0</v>
      </c>
    </row>
    <row r="517" spans="1:62" ht="12.75">
      <c r="A517" s="3" t="s">
        <v>200</v>
      </c>
      <c r="B517" s="3" t="s">
        <v>388</v>
      </c>
      <c r="C517" s="58" t="s">
        <v>783</v>
      </c>
      <c r="D517" s="59"/>
      <c r="E517" s="59"/>
      <c r="F517" s="3" t="s">
        <v>815</v>
      </c>
      <c r="G517" s="11">
        <v>70.5</v>
      </c>
      <c r="H517" s="141">
        <v>0</v>
      </c>
      <c r="I517" s="11">
        <f>G517*AO517</f>
        <v>0</v>
      </c>
      <c r="J517" s="11">
        <f>G517*AP517</f>
        <v>0</v>
      </c>
      <c r="K517" s="11">
        <f>G517*H517</f>
        <v>0</v>
      </c>
      <c r="L517" s="17" t="s">
        <v>845</v>
      </c>
      <c r="Z517" s="143">
        <f>IF(AQ517="5",BJ517,0)</f>
        <v>0</v>
      </c>
      <c r="AB517" s="143">
        <f>IF(AQ517="1",BH517,0)</f>
        <v>0</v>
      </c>
      <c r="AC517" s="143">
        <f>IF(AQ517="1",BI517,0)</f>
        <v>0</v>
      </c>
      <c r="AD517" s="143">
        <f>IF(AQ517="7",BH517,0)</f>
        <v>0</v>
      </c>
      <c r="AE517" s="143">
        <f>IF(AQ517="7",BI517,0)</f>
        <v>0</v>
      </c>
      <c r="AF517" s="143">
        <f>IF(AQ517="2",BH517,0)</f>
        <v>0</v>
      </c>
      <c r="AG517" s="143">
        <f>IF(AQ517="2",BI517,0)</f>
        <v>0</v>
      </c>
      <c r="AH517" s="143">
        <f>IF(AQ517="0",BJ517,0)</f>
        <v>0</v>
      </c>
      <c r="AI517" s="137" t="s">
        <v>874</v>
      </c>
      <c r="AJ517" s="141">
        <f>IF(AN517=0,K517,0)</f>
        <v>0</v>
      </c>
      <c r="AK517" s="141">
        <f>IF(AN517=15,K517,0)</f>
        <v>0</v>
      </c>
      <c r="AL517" s="141">
        <f>IF(AN517=21,K517,0)</f>
        <v>0</v>
      </c>
      <c r="AN517" s="143">
        <v>21</v>
      </c>
      <c r="AO517" s="143">
        <f>H517*0</f>
        <v>0</v>
      </c>
      <c r="AP517" s="143">
        <f>H517*(1-0)</f>
        <v>0</v>
      </c>
      <c r="AQ517" s="142" t="s">
        <v>8</v>
      </c>
      <c r="AV517" s="143">
        <f>AW517+AX517</f>
        <v>0</v>
      </c>
      <c r="AW517" s="143">
        <f>G517*AO517</f>
        <v>0</v>
      </c>
      <c r="AX517" s="143">
        <f>G517*AP517</f>
        <v>0</v>
      </c>
      <c r="AY517" s="144" t="s">
        <v>902</v>
      </c>
      <c r="AZ517" s="144" t="s">
        <v>943</v>
      </c>
      <c r="BA517" s="137" t="s">
        <v>970</v>
      </c>
      <c r="BC517" s="143">
        <f>AW517+AX517</f>
        <v>0</v>
      </c>
      <c r="BD517" s="143">
        <f>H517/(100-BE517)*100</f>
        <v>0</v>
      </c>
      <c r="BE517" s="143">
        <v>0</v>
      </c>
      <c r="BF517" s="143">
        <f>517</f>
        <v>517</v>
      </c>
      <c r="BH517" s="141">
        <f>G517*AO517</f>
        <v>0</v>
      </c>
      <c r="BI517" s="141">
        <f>G517*AP517</f>
        <v>0</v>
      </c>
      <c r="BJ517" s="141">
        <f>G517*H517</f>
        <v>0</v>
      </c>
    </row>
    <row r="518" spans="1:12" ht="12.75">
      <c r="A518" s="154"/>
      <c r="B518" s="154"/>
      <c r="C518" s="60" t="s">
        <v>784</v>
      </c>
      <c r="D518" s="61"/>
      <c r="E518" s="61"/>
      <c r="F518" s="154"/>
      <c r="G518" s="12">
        <v>24.5</v>
      </c>
      <c r="I518" s="154"/>
      <c r="J518" s="154"/>
      <c r="K518" s="154"/>
      <c r="L518" s="154"/>
    </row>
    <row r="519" spans="1:12" ht="12.75">
      <c r="A519" s="154"/>
      <c r="B519" s="154"/>
      <c r="C519" s="60" t="s">
        <v>785</v>
      </c>
      <c r="D519" s="61"/>
      <c r="E519" s="61"/>
      <c r="F519" s="154"/>
      <c r="G519" s="12">
        <v>29</v>
      </c>
      <c r="I519" s="154"/>
      <c r="J519" s="154"/>
      <c r="K519" s="154"/>
      <c r="L519" s="154"/>
    </row>
    <row r="520" spans="1:12" ht="12.75">
      <c r="A520" s="154"/>
      <c r="B520" s="154"/>
      <c r="C520" s="60" t="s">
        <v>786</v>
      </c>
      <c r="D520" s="61"/>
      <c r="E520" s="61"/>
      <c r="F520" s="154"/>
      <c r="G520" s="12">
        <v>17</v>
      </c>
      <c r="I520" s="154"/>
      <c r="J520" s="154"/>
      <c r="K520" s="154"/>
      <c r="L520" s="154"/>
    </row>
    <row r="521" spans="1:62" ht="12.75">
      <c r="A521" s="3" t="s">
        <v>201</v>
      </c>
      <c r="B521" s="3" t="s">
        <v>389</v>
      </c>
      <c r="C521" s="58" t="s">
        <v>787</v>
      </c>
      <c r="D521" s="59"/>
      <c r="E521" s="59"/>
      <c r="F521" s="3" t="s">
        <v>815</v>
      </c>
      <c r="G521" s="11">
        <v>70.5</v>
      </c>
      <c r="H521" s="141">
        <v>0</v>
      </c>
      <c r="I521" s="11">
        <f>G521*AO521</f>
        <v>0</v>
      </c>
      <c r="J521" s="11">
        <f>G521*AP521</f>
        <v>0</v>
      </c>
      <c r="K521" s="11">
        <f>G521*H521</f>
        <v>0</v>
      </c>
      <c r="L521" s="17" t="s">
        <v>845</v>
      </c>
      <c r="Z521" s="143">
        <f>IF(AQ521="5",BJ521,0)</f>
        <v>0</v>
      </c>
      <c r="AB521" s="143">
        <f>IF(AQ521="1",BH521,0)</f>
        <v>0</v>
      </c>
      <c r="AC521" s="143">
        <f>IF(AQ521="1",BI521,0)</f>
        <v>0</v>
      </c>
      <c r="AD521" s="143">
        <f>IF(AQ521="7",BH521,0)</f>
        <v>0</v>
      </c>
      <c r="AE521" s="143">
        <f>IF(AQ521="7",BI521,0)</f>
        <v>0</v>
      </c>
      <c r="AF521" s="143">
        <f>IF(AQ521="2",BH521,0)</f>
        <v>0</v>
      </c>
      <c r="AG521" s="143">
        <f>IF(AQ521="2",BI521,0)</f>
        <v>0</v>
      </c>
      <c r="AH521" s="143">
        <f>IF(AQ521="0",BJ521,0)</f>
        <v>0</v>
      </c>
      <c r="AI521" s="137" t="s">
        <v>874</v>
      </c>
      <c r="AJ521" s="141">
        <f>IF(AN521=0,K521,0)</f>
        <v>0</v>
      </c>
      <c r="AK521" s="141">
        <f>IF(AN521=15,K521,0)</f>
        <v>0</v>
      </c>
      <c r="AL521" s="141">
        <f>IF(AN521=21,K521,0)</f>
        <v>0</v>
      </c>
      <c r="AN521" s="143">
        <v>21</v>
      </c>
      <c r="AO521" s="143">
        <f>H521*0</f>
        <v>0</v>
      </c>
      <c r="AP521" s="143">
        <f>H521*(1-0)</f>
        <v>0</v>
      </c>
      <c r="AQ521" s="142" t="s">
        <v>8</v>
      </c>
      <c r="AV521" s="143">
        <f>AW521+AX521</f>
        <v>0</v>
      </c>
      <c r="AW521" s="143">
        <f>G521*AO521</f>
        <v>0</v>
      </c>
      <c r="AX521" s="143">
        <f>G521*AP521</f>
        <v>0</v>
      </c>
      <c r="AY521" s="144" t="s">
        <v>902</v>
      </c>
      <c r="AZ521" s="144" t="s">
        <v>943</v>
      </c>
      <c r="BA521" s="137" t="s">
        <v>970</v>
      </c>
      <c r="BC521" s="143">
        <f>AW521+AX521</f>
        <v>0</v>
      </c>
      <c r="BD521" s="143">
        <f>H521/(100-BE521)*100</f>
        <v>0</v>
      </c>
      <c r="BE521" s="143">
        <v>0</v>
      </c>
      <c r="BF521" s="143">
        <f>521</f>
        <v>521</v>
      </c>
      <c r="BH521" s="141">
        <f>G521*AO521</f>
        <v>0</v>
      </c>
      <c r="BI521" s="141">
        <f>G521*AP521</f>
        <v>0</v>
      </c>
      <c r="BJ521" s="141">
        <f>G521*H521</f>
        <v>0</v>
      </c>
    </row>
    <row r="522" spans="1:12" ht="12.75">
      <c r="A522" s="154"/>
      <c r="B522" s="154"/>
      <c r="C522" s="60" t="s">
        <v>779</v>
      </c>
      <c r="D522" s="61"/>
      <c r="E522" s="61"/>
      <c r="F522" s="154"/>
      <c r="G522" s="12">
        <v>70.5</v>
      </c>
      <c r="I522" s="154"/>
      <c r="J522" s="154"/>
      <c r="K522" s="154"/>
      <c r="L522" s="154"/>
    </row>
    <row r="523" spans="1:12" ht="12.75">
      <c r="A523" s="4"/>
      <c r="B523" s="10"/>
      <c r="C523" s="62" t="s">
        <v>788</v>
      </c>
      <c r="D523" s="63"/>
      <c r="E523" s="63"/>
      <c r="F523" s="4" t="s">
        <v>6</v>
      </c>
      <c r="G523" s="4" t="s">
        <v>6</v>
      </c>
      <c r="H523" s="145" t="s">
        <v>6</v>
      </c>
      <c r="I523" s="24">
        <f>I524</f>
        <v>0</v>
      </c>
      <c r="J523" s="24">
        <f>J524</f>
        <v>0</v>
      </c>
      <c r="K523" s="24">
        <f>K524</f>
        <v>0</v>
      </c>
      <c r="L523" s="18"/>
    </row>
    <row r="524" spans="1:47" ht="12.75">
      <c r="A524" s="2"/>
      <c r="B524" s="9" t="s">
        <v>97</v>
      </c>
      <c r="C524" s="56" t="s">
        <v>485</v>
      </c>
      <c r="D524" s="57"/>
      <c r="E524" s="57"/>
      <c r="F524" s="2" t="s">
        <v>6</v>
      </c>
      <c r="G524" s="2" t="s">
        <v>6</v>
      </c>
      <c r="H524" s="139" t="s">
        <v>6</v>
      </c>
      <c r="I524" s="23">
        <f>SUM(I525:I527)</f>
        <v>0</v>
      </c>
      <c r="J524" s="23">
        <f>SUM(J525:J527)</f>
        <v>0</v>
      </c>
      <c r="K524" s="23">
        <f>SUM(K525:K527)</f>
        <v>0</v>
      </c>
      <c r="L524" s="16"/>
      <c r="AI524" s="137" t="s">
        <v>875</v>
      </c>
      <c r="AS524" s="140">
        <f>SUM(AJ525:AJ527)</f>
        <v>0</v>
      </c>
      <c r="AT524" s="140">
        <f>SUM(AK525:AK527)</f>
        <v>0</v>
      </c>
      <c r="AU524" s="140">
        <f>SUM(AL525:AL527)</f>
        <v>0</v>
      </c>
    </row>
    <row r="525" spans="1:62" ht="12.75">
      <c r="A525" s="3" t="s">
        <v>202</v>
      </c>
      <c r="B525" s="3" t="s">
        <v>390</v>
      </c>
      <c r="C525" s="58" t="s">
        <v>789</v>
      </c>
      <c r="D525" s="59"/>
      <c r="E525" s="59"/>
      <c r="F525" s="3" t="s">
        <v>822</v>
      </c>
      <c r="G525" s="11">
        <v>1</v>
      </c>
      <c r="H525" s="141">
        <v>0</v>
      </c>
      <c r="I525" s="11">
        <f>G525*AO525</f>
        <v>0</v>
      </c>
      <c r="J525" s="11">
        <f>G525*AP525</f>
        <v>0</v>
      </c>
      <c r="K525" s="11">
        <f>G525*H525</f>
        <v>0</v>
      </c>
      <c r="L525" s="17" t="s">
        <v>845</v>
      </c>
      <c r="Z525" s="143">
        <f>IF(AQ525="5",BJ525,0)</f>
        <v>0</v>
      </c>
      <c r="AB525" s="143">
        <f>IF(AQ525="1",BH525,0)</f>
        <v>0</v>
      </c>
      <c r="AC525" s="143">
        <f>IF(AQ525="1",BI525,0)</f>
        <v>0</v>
      </c>
      <c r="AD525" s="143">
        <f>IF(AQ525="7",BH525,0)</f>
        <v>0</v>
      </c>
      <c r="AE525" s="143">
        <f>IF(AQ525="7",BI525,0)</f>
        <v>0</v>
      </c>
      <c r="AF525" s="143">
        <f>IF(AQ525="2",BH525,0)</f>
        <v>0</v>
      </c>
      <c r="AG525" s="143">
        <f>IF(AQ525="2",BI525,0)</f>
        <v>0</v>
      </c>
      <c r="AH525" s="143">
        <f>IF(AQ525="0",BJ525,0)</f>
        <v>0</v>
      </c>
      <c r="AI525" s="137" t="s">
        <v>875</v>
      </c>
      <c r="AJ525" s="141">
        <f>IF(AN525=0,K525,0)</f>
        <v>0</v>
      </c>
      <c r="AK525" s="141">
        <f>IF(AN525=15,K525,0)</f>
        <v>0</v>
      </c>
      <c r="AL525" s="141">
        <f>IF(AN525=21,K525,0)</f>
        <v>0</v>
      </c>
      <c r="AN525" s="143">
        <v>21</v>
      </c>
      <c r="AO525" s="143">
        <f>H525*0.361359049973257</f>
        <v>0</v>
      </c>
      <c r="AP525" s="143">
        <f>H525*(1-0.361359049973257)</f>
        <v>0</v>
      </c>
      <c r="AQ525" s="142" t="s">
        <v>7</v>
      </c>
      <c r="AV525" s="143">
        <f>AW525+AX525</f>
        <v>0</v>
      </c>
      <c r="AW525" s="143">
        <f>G525*AO525</f>
        <v>0</v>
      </c>
      <c r="AX525" s="143">
        <f>G525*AP525</f>
        <v>0</v>
      </c>
      <c r="AY525" s="144" t="s">
        <v>889</v>
      </c>
      <c r="AZ525" s="144" t="s">
        <v>944</v>
      </c>
      <c r="BA525" s="137" t="s">
        <v>971</v>
      </c>
      <c r="BC525" s="143">
        <f>AW525+AX525</f>
        <v>0</v>
      </c>
      <c r="BD525" s="143">
        <f>H525/(100-BE525)*100</f>
        <v>0</v>
      </c>
      <c r="BE525" s="143">
        <v>0</v>
      </c>
      <c r="BF525" s="143">
        <f>525</f>
        <v>525</v>
      </c>
      <c r="BH525" s="141">
        <f>G525*AO525</f>
        <v>0</v>
      </c>
      <c r="BI525" s="141">
        <f>G525*AP525</f>
        <v>0</v>
      </c>
      <c r="BJ525" s="141">
        <f>G525*H525</f>
        <v>0</v>
      </c>
    </row>
    <row r="526" spans="1:12" ht="12.75">
      <c r="A526" s="154"/>
      <c r="B526" s="154"/>
      <c r="C526" s="60" t="s">
        <v>790</v>
      </c>
      <c r="D526" s="61"/>
      <c r="E526" s="61"/>
      <c r="F526" s="154"/>
      <c r="G526" s="12">
        <v>1</v>
      </c>
      <c r="I526" s="154"/>
      <c r="J526" s="154"/>
      <c r="K526" s="154"/>
      <c r="L526" s="154"/>
    </row>
    <row r="527" spans="1:62" ht="12.75">
      <c r="A527" s="3" t="s">
        <v>203</v>
      </c>
      <c r="B527" s="3" t="s">
        <v>391</v>
      </c>
      <c r="C527" s="58" t="s">
        <v>791</v>
      </c>
      <c r="D527" s="59"/>
      <c r="E527" s="59"/>
      <c r="F527" s="3" t="s">
        <v>822</v>
      </c>
      <c r="G527" s="11">
        <v>1</v>
      </c>
      <c r="H527" s="141">
        <v>0</v>
      </c>
      <c r="I527" s="11">
        <f>G527*AO527</f>
        <v>0</v>
      </c>
      <c r="J527" s="11">
        <f>G527*AP527</f>
        <v>0</v>
      </c>
      <c r="K527" s="11">
        <f>G527*H527</f>
        <v>0</v>
      </c>
      <c r="L527" s="17" t="s">
        <v>845</v>
      </c>
      <c r="Z527" s="143">
        <f>IF(AQ527="5",BJ527,0)</f>
        <v>0</v>
      </c>
      <c r="AB527" s="143">
        <f>IF(AQ527="1",BH527,0)</f>
        <v>0</v>
      </c>
      <c r="AC527" s="143">
        <f>IF(AQ527="1",BI527,0)</f>
        <v>0</v>
      </c>
      <c r="AD527" s="143">
        <f>IF(AQ527="7",BH527,0)</f>
        <v>0</v>
      </c>
      <c r="AE527" s="143">
        <f>IF(AQ527="7",BI527,0)</f>
        <v>0</v>
      </c>
      <c r="AF527" s="143">
        <f>IF(AQ527="2",BH527,0)</f>
        <v>0</v>
      </c>
      <c r="AG527" s="143">
        <f>IF(AQ527="2",BI527,0)</f>
        <v>0</v>
      </c>
      <c r="AH527" s="143">
        <f>IF(AQ527="0",BJ527,0)</f>
        <v>0</v>
      </c>
      <c r="AI527" s="137" t="s">
        <v>875</v>
      </c>
      <c r="AJ527" s="141">
        <f>IF(AN527=0,K527,0)</f>
        <v>0</v>
      </c>
      <c r="AK527" s="141">
        <f>IF(AN527=15,K527,0)</f>
        <v>0</v>
      </c>
      <c r="AL527" s="141">
        <f>IF(AN527=21,K527,0)</f>
        <v>0</v>
      </c>
      <c r="AN527" s="143">
        <v>21</v>
      </c>
      <c r="AO527" s="143">
        <f>H527*0.361359017941454</f>
        <v>0</v>
      </c>
      <c r="AP527" s="143">
        <f>H527*(1-0.361359017941454)</f>
        <v>0</v>
      </c>
      <c r="AQ527" s="142" t="s">
        <v>7</v>
      </c>
      <c r="AV527" s="143">
        <f>AW527+AX527</f>
        <v>0</v>
      </c>
      <c r="AW527" s="143">
        <f>G527*AO527</f>
        <v>0</v>
      </c>
      <c r="AX527" s="143">
        <f>G527*AP527</f>
        <v>0</v>
      </c>
      <c r="AY527" s="144" t="s">
        <v>889</v>
      </c>
      <c r="AZ527" s="144" t="s">
        <v>944</v>
      </c>
      <c r="BA527" s="137" t="s">
        <v>971</v>
      </c>
      <c r="BC527" s="143">
        <f>AW527+AX527</f>
        <v>0</v>
      </c>
      <c r="BD527" s="143">
        <f>H527/(100-BE527)*100</f>
        <v>0</v>
      </c>
      <c r="BE527" s="143">
        <v>0</v>
      </c>
      <c r="BF527" s="143">
        <f>527</f>
        <v>527</v>
      </c>
      <c r="BH527" s="141">
        <f>G527*AO527</f>
        <v>0</v>
      </c>
      <c r="BI527" s="141">
        <f>G527*AP527</f>
        <v>0</v>
      </c>
      <c r="BJ527" s="141">
        <f>G527*H527</f>
        <v>0</v>
      </c>
    </row>
    <row r="528" spans="1:12" ht="12.75">
      <c r="A528" s="154"/>
      <c r="B528" s="154"/>
      <c r="C528" s="60" t="s">
        <v>495</v>
      </c>
      <c r="D528" s="61"/>
      <c r="E528" s="61"/>
      <c r="F528" s="154"/>
      <c r="G528" s="12">
        <v>1</v>
      </c>
      <c r="I528" s="154"/>
      <c r="J528" s="154"/>
      <c r="K528" s="154"/>
      <c r="L528" s="154"/>
    </row>
    <row r="529" spans="1:12" ht="12.75">
      <c r="A529" s="4"/>
      <c r="B529" s="10"/>
      <c r="C529" s="62" t="s">
        <v>792</v>
      </c>
      <c r="D529" s="63"/>
      <c r="E529" s="63"/>
      <c r="F529" s="4" t="s">
        <v>6</v>
      </c>
      <c r="G529" s="4" t="s">
        <v>6</v>
      </c>
      <c r="H529" s="145" t="s">
        <v>6</v>
      </c>
      <c r="I529" s="24">
        <f>I530</f>
        <v>0</v>
      </c>
      <c r="J529" s="24">
        <f>J530</f>
        <v>0</v>
      </c>
      <c r="K529" s="24">
        <f>K530</f>
        <v>0</v>
      </c>
      <c r="L529" s="18"/>
    </row>
    <row r="530" spans="1:47" ht="12.75">
      <c r="A530" s="2"/>
      <c r="B530" s="9" t="s">
        <v>97</v>
      </c>
      <c r="C530" s="56" t="s">
        <v>485</v>
      </c>
      <c r="D530" s="57"/>
      <c r="E530" s="57"/>
      <c r="F530" s="2" t="s">
        <v>6</v>
      </c>
      <c r="G530" s="2" t="s">
        <v>6</v>
      </c>
      <c r="H530" s="139" t="s">
        <v>6</v>
      </c>
      <c r="I530" s="23">
        <f>SUM(I531:I531)</f>
        <v>0</v>
      </c>
      <c r="J530" s="23">
        <f>SUM(J531:J531)</f>
        <v>0</v>
      </c>
      <c r="K530" s="23">
        <f>SUM(K531:K531)</f>
        <v>0</v>
      </c>
      <c r="L530" s="16"/>
      <c r="AI530" s="137" t="s">
        <v>876</v>
      </c>
      <c r="AS530" s="140">
        <f>SUM(AJ531:AJ531)</f>
        <v>0</v>
      </c>
      <c r="AT530" s="140">
        <f>SUM(AK531:AK531)</f>
        <v>0</v>
      </c>
      <c r="AU530" s="140">
        <f>SUM(AL531:AL531)</f>
        <v>0</v>
      </c>
    </row>
    <row r="531" spans="1:62" ht="12.75">
      <c r="A531" s="3" t="s">
        <v>204</v>
      </c>
      <c r="B531" s="3" t="s">
        <v>392</v>
      </c>
      <c r="C531" s="58" t="s">
        <v>793</v>
      </c>
      <c r="D531" s="59"/>
      <c r="E531" s="59"/>
      <c r="F531" s="3" t="s">
        <v>822</v>
      </c>
      <c r="G531" s="11">
        <v>1</v>
      </c>
      <c r="H531" s="141">
        <v>0</v>
      </c>
      <c r="I531" s="11">
        <f>G531*AO531</f>
        <v>0</v>
      </c>
      <c r="J531" s="11">
        <f>G531*AP531</f>
        <v>0</v>
      </c>
      <c r="K531" s="11">
        <f>G531*H531</f>
        <v>0</v>
      </c>
      <c r="L531" s="17" t="s">
        <v>845</v>
      </c>
      <c r="Z531" s="143">
        <f>IF(AQ531="5",BJ531,0)</f>
        <v>0</v>
      </c>
      <c r="AB531" s="143">
        <f>IF(AQ531="1",BH531,0)</f>
        <v>0</v>
      </c>
      <c r="AC531" s="143">
        <f>IF(AQ531="1",BI531,0)</f>
        <v>0</v>
      </c>
      <c r="AD531" s="143">
        <f>IF(AQ531="7",BH531,0)</f>
        <v>0</v>
      </c>
      <c r="AE531" s="143">
        <f>IF(AQ531="7",BI531,0)</f>
        <v>0</v>
      </c>
      <c r="AF531" s="143">
        <f>IF(AQ531="2",BH531,0)</f>
        <v>0</v>
      </c>
      <c r="AG531" s="143">
        <f>IF(AQ531="2",BI531,0)</f>
        <v>0</v>
      </c>
      <c r="AH531" s="143">
        <f>IF(AQ531="0",BJ531,0)</f>
        <v>0</v>
      </c>
      <c r="AI531" s="137" t="s">
        <v>876</v>
      </c>
      <c r="AJ531" s="141">
        <f>IF(AN531=0,K531,0)</f>
        <v>0</v>
      </c>
      <c r="AK531" s="141">
        <f>IF(AN531=15,K531,0)</f>
        <v>0</v>
      </c>
      <c r="AL531" s="141">
        <f>IF(AN531=21,K531,0)</f>
        <v>0</v>
      </c>
      <c r="AN531" s="143">
        <v>21</v>
      </c>
      <c r="AO531" s="143">
        <f>H531*0.361358591885442</f>
        <v>0</v>
      </c>
      <c r="AP531" s="143">
        <f>H531*(1-0.361358591885442)</f>
        <v>0</v>
      </c>
      <c r="AQ531" s="142" t="s">
        <v>7</v>
      </c>
      <c r="AV531" s="143">
        <f>AW531+AX531</f>
        <v>0</v>
      </c>
      <c r="AW531" s="143">
        <f>G531*AO531</f>
        <v>0</v>
      </c>
      <c r="AX531" s="143">
        <f>G531*AP531</f>
        <v>0</v>
      </c>
      <c r="AY531" s="144" t="s">
        <v>889</v>
      </c>
      <c r="AZ531" s="144" t="s">
        <v>945</v>
      </c>
      <c r="BA531" s="137" t="s">
        <v>972</v>
      </c>
      <c r="BC531" s="143">
        <f>AW531+AX531</f>
        <v>0</v>
      </c>
      <c r="BD531" s="143">
        <f>H531/(100-BE531)*100</f>
        <v>0</v>
      </c>
      <c r="BE531" s="143">
        <v>0</v>
      </c>
      <c r="BF531" s="143">
        <f>531</f>
        <v>531</v>
      </c>
      <c r="BH531" s="141">
        <f>G531*AO531</f>
        <v>0</v>
      </c>
      <c r="BI531" s="141">
        <f>G531*AP531</f>
        <v>0</v>
      </c>
      <c r="BJ531" s="141">
        <f>G531*H531</f>
        <v>0</v>
      </c>
    </row>
    <row r="532" spans="1:12" ht="12.75">
      <c r="A532" s="154"/>
      <c r="B532" s="154"/>
      <c r="C532" s="60" t="s">
        <v>794</v>
      </c>
      <c r="D532" s="61"/>
      <c r="E532" s="61"/>
      <c r="F532" s="154"/>
      <c r="G532" s="12">
        <v>1</v>
      </c>
      <c r="I532" s="154"/>
      <c r="J532" s="154"/>
      <c r="K532" s="154"/>
      <c r="L532" s="154"/>
    </row>
    <row r="533" spans="1:12" ht="12.75">
      <c r="A533" s="4"/>
      <c r="B533" s="10"/>
      <c r="C533" s="62" t="s">
        <v>795</v>
      </c>
      <c r="D533" s="63"/>
      <c r="E533" s="63"/>
      <c r="F533" s="4" t="s">
        <v>6</v>
      </c>
      <c r="G533" s="4" t="s">
        <v>6</v>
      </c>
      <c r="H533" s="145" t="s">
        <v>6</v>
      </c>
      <c r="I533" s="24">
        <f>I534</f>
        <v>0</v>
      </c>
      <c r="J533" s="24">
        <f>J534</f>
        <v>0</v>
      </c>
      <c r="K533" s="24">
        <f>K534</f>
        <v>0</v>
      </c>
      <c r="L533" s="18"/>
    </row>
    <row r="534" spans="1:47" ht="12.75">
      <c r="A534" s="2"/>
      <c r="B534" s="9" t="s">
        <v>97</v>
      </c>
      <c r="C534" s="56" t="s">
        <v>485</v>
      </c>
      <c r="D534" s="57"/>
      <c r="E534" s="57"/>
      <c r="F534" s="2" t="s">
        <v>6</v>
      </c>
      <c r="G534" s="2" t="s">
        <v>6</v>
      </c>
      <c r="H534" s="139" t="s">
        <v>6</v>
      </c>
      <c r="I534" s="23">
        <f>SUM(I535:I535)</f>
        <v>0</v>
      </c>
      <c r="J534" s="23">
        <f>SUM(J535:J535)</f>
        <v>0</v>
      </c>
      <c r="K534" s="23">
        <f>SUM(K535:K535)</f>
        <v>0</v>
      </c>
      <c r="L534" s="16"/>
      <c r="AI534" s="137" t="s">
        <v>877</v>
      </c>
      <c r="AS534" s="140">
        <f>SUM(AJ535:AJ535)</f>
        <v>0</v>
      </c>
      <c r="AT534" s="140">
        <f>SUM(AK535:AK535)</f>
        <v>0</v>
      </c>
      <c r="AU534" s="140">
        <f>SUM(AL535:AL535)</f>
        <v>0</v>
      </c>
    </row>
    <row r="535" spans="1:62" ht="12.75">
      <c r="A535" s="3" t="s">
        <v>205</v>
      </c>
      <c r="B535" s="3" t="s">
        <v>393</v>
      </c>
      <c r="C535" s="58" t="s">
        <v>796</v>
      </c>
      <c r="D535" s="59"/>
      <c r="E535" s="59"/>
      <c r="F535" s="3" t="s">
        <v>816</v>
      </c>
      <c r="G535" s="11">
        <v>1</v>
      </c>
      <c r="H535" s="141">
        <v>0</v>
      </c>
      <c r="I535" s="11">
        <f>G535*AO535</f>
        <v>0</v>
      </c>
      <c r="J535" s="11">
        <f>G535*AP535</f>
        <v>0</v>
      </c>
      <c r="K535" s="11">
        <f>G535*H535</f>
        <v>0</v>
      </c>
      <c r="L535" s="17" t="s">
        <v>845</v>
      </c>
      <c r="Z535" s="143">
        <f>IF(AQ535="5",BJ535,0)</f>
        <v>0</v>
      </c>
      <c r="AB535" s="143">
        <f>IF(AQ535="1",BH535,0)</f>
        <v>0</v>
      </c>
      <c r="AC535" s="143">
        <f>IF(AQ535="1",BI535,0)</f>
        <v>0</v>
      </c>
      <c r="AD535" s="143">
        <f>IF(AQ535="7",BH535,0)</f>
        <v>0</v>
      </c>
      <c r="AE535" s="143">
        <f>IF(AQ535="7",BI535,0)</f>
        <v>0</v>
      </c>
      <c r="AF535" s="143">
        <f>IF(AQ535="2",BH535,0)</f>
        <v>0</v>
      </c>
      <c r="AG535" s="143">
        <f>IF(AQ535="2",BI535,0)</f>
        <v>0</v>
      </c>
      <c r="AH535" s="143">
        <f>IF(AQ535="0",BJ535,0)</f>
        <v>0</v>
      </c>
      <c r="AI535" s="137" t="s">
        <v>877</v>
      </c>
      <c r="AJ535" s="141">
        <f>IF(AN535=0,K535,0)</f>
        <v>0</v>
      </c>
      <c r="AK535" s="141">
        <f>IF(AN535=15,K535,0)</f>
        <v>0</v>
      </c>
      <c r="AL535" s="141">
        <f>IF(AN535=21,K535,0)</f>
        <v>0</v>
      </c>
      <c r="AN535" s="143">
        <v>21</v>
      </c>
      <c r="AO535" s="143">
        <f>H535*0.36136</f>
        <v>0</v>
      </c>
      <c r="AP535" s="143">
        <f>H535*(1-0.36136)</f>
        <v>0</v>
      </c>
      <c r="AQ535" s="142" t="s">
        <v>7</v>
      </c>
      <c r="AV535" s="143">
        <f>AW535+AX535</f>
        <v>0</v>
      </c>
      <c r="AW535" s="143">
        <f>G535*AO535</f>
        <v>0</v>
      </c>
      <c r="AX535" s="143">
        <f>G535*AP535</f>
        <v>0</v>
      </c>
      <c r="AY535" s="144" t="s">
        <v>889</v>
      </c>
      <c r="AZ535" s="144" t="s">
        <v>946</v>
      </c>
      <c r="BA535" s="137" t="s">
        <v>973</v>
      </c>
      <c r="BC535" s="143">
        <f>AW535+AX535</f>
        <v>0</v>
      </c>
      <c r="BD535" s="143">
        <f>H535/(100-BE535)*100</f>
        <v>0</v>
      </c>
      <c r="BE535" s="143">
        <v>0</v>
      </c>
      <c r="BF535" s="143">
        <f>535</f>
        <v>535</v>
      </c>
      <c r="BH535" s="141">
        <f>G535*AO535</f>
        <v>0</v>
      </c>
      <c r="BI535" s="141">
        <f>G535*AP535</f>
        <v>0</v>
      </c>
      <c r="BJ535" s="141">
        <f>G535*H535</f>
        <v>0</v>
      </c>
    </row>
    <row r="536" spans="1:12" ht="12.75">
      <c r="A536" s="154"/>
      <c r="B536" s="154"/>
      <c r="C536" s="60" t="s">
        <v>797</v>
      </c>
      <c r="D536" s="61"/>
      <c r="E536" s="61"/>
      <c r="F536" s="154"/>
      <c r="G536" s="12">
        <v>1</v>
      </c>
      <c r="I536" s="154"/>
      <c r="J536" s="154"/>
      <c r="K536" s="154"/>
      <c r="L536" s="154"/>
    </row>
    <row r="537" spans="1:12" ht="12.75">
      <c r="A537" s="4"/>
      <c r="B537" s="10"/>
      <c r="C537" s="62" t="s">
        <v>798</v>
      </c>
      <c r="D537" s="63"/>
      <c r="E537" s="63"/>
      <c r="F537" s="4" t="s">
        <v>6</v>
      </c>
      <c r="G537" s="4" t="s">
        <v>6</v>
      </c>
      <c r="H537" s="145" t="s">
        <v>6</v>
      </c>
      <c r="I537" s="24">
        <f>I538</f>
        <v>0</v>
      </c>
      <c r="J537" s="24">
        <f>J538</f>
        <v>0</v>
      </c>
      <c r="K537" s="24">
        <f>K538</f>
        <v>0</v>
      </c>
      <c r="L537" s="18"/>
    </row>
    <row r="538" spans="1:47" ht="12.75">
      <c r="A538" s="2"/>
      <c r="B538" s="9" t="s">
        <v>97</v>
      </c>
      <c r="C538" s="56" t="s">
        <v>485</v>
      </c>
      <c r="D538" s="57"/>
      <c r="E538" s="57"/>
      <c r="F538" s="2" t="s">
        <v>6</v>
      </c>
      <c r="G538" s="2" t="s">
        <v>6</v>
      </c>
      <c r="H538" s="139" t="s">
        <v>6</v>
      </c>
      <c r="I538" s="23">
        <f>SUM(I539:I539)</f>
        <v>0</v>
      </c>
      <c r="J538" s="23">
        <f>SUM(J539:J539)</f>
        <v>0</v>
      </c>
      <c r="K538" s="23">
        <f>SUM(K539:K539)</f>
        <v>0</v>
      </c>
      <c r="L538" s="16"/>
      <c r="AI538" s="137" t="s">
        <v>878</v>
      </c>
      <c r="AS538" s="140">
        <f>SUM(AJ539:AJ539)</f>
        <v>0</v>
      </c>
      <c r="AT538" s="140">
        <f>SUM(AK539:AK539)</f>
        <v>0</v>
      </c>
      <c r="AU538" s="140">
        <f>SUM(AL539:AL539)</f>
        <v>0</v>
      </c>
    </row>
    <row r="539" spans="1:62" ht="12.75">
      <c r="A539" s="3" t="s">
        <v>206</v>
      </c>
      <c r="B539" s="3" t="s">
        <v>394</v>
      </c>
      <c r="C539" s="58" t="s">
        <v>799</v>
      </c>
      <c r="D539" s="59"/>
      <c r="E539" s="59"/>
      <c r="F539" s="3" t="s">
        <v>822</v>
      </c>
      <c r="G539" s="11">
        <v>1</v>
      </c>
      <c r="H539" s="141">
        <v>0</v>
      </c>
      <c r="I539" s="11">
        <f>G539*AO539</f>
        <v>0</v>
      </c>
      <c r="J539" s="11">
        <f>G539*AP539</f>
        <v>0</v>
      </c>
      <c r="K539" s="11">
        <f>G539*H539</f>
        <v>0</v>
      </c>
      <c r="L539" s="17" t="s">
        <v>845</v>
      </c>
      <c r="Z539" s="143">
        <f>IF(AQ539="5",BJ539,0)</f>
        <v>0</v>
      </c>
      <c r="AB539" s="143">
        <f>IF(AQ539="1",BH539,0)</f>
        <v>0</v>
      </c>
      <c r="AC539" s="143">
        <f>IF(AQ539="1",BI539,0)</f>
        <v>0</v>
      </c>
      <c r="AD539" s="143">
        <f>IF(AQ539="7",BH539,0)</f>
        <v>0</v>
      </c>
      <c r="AE539" s="143">
        <f>IF(AQ539="7",BI539,0)</f>
        <v>0</v>
      </c>
      <c r="AF539" s="143">
        <f>IF(AQ539="2",BH539,0)</f>
        <v>0</v>
      </c>
      <c r="AG539" s="143">
        <f>IF(AQ539="2",BI539,0)</f>
        <v>0</v>
      </c>
      <c r="AH539" s="143">
        <f>IF(AQ539="0",BJ539,0)</f>
        <v>0</v>
      </c>
      <c r="AI539" s="137" t="s">
        <v>878</v>
      </c>
      <c r="AJ539" s="141">
        <f>IF(AN539=0,K539,0)</f>
        <v>0</v>
      </c>
      <c r="AK539" s="141">
        <f>IF(AN539=15,K539,0)</f>
        <v>0</v>
      </c>
      <c r="AL539" s="141">
        <f>IF(AN539=21,K539,0)</f>
        <v>0</v>
      </c>
      <c r="AN539" s="143">
        <v>21</v>
      </c>
      <c r="AO539" s="143">
        <f>H539*0.361358928571429</f>
        <v>0</v>
      </c>
      <c r="AP539" s="143">
        <f>H539*(1-0.361358928571429)</f>
        <v>0</v>
      </c>
      <c r="AQ539" s="142" t="s">
        <v>7</v>
      </c>
      <c r="AV539" s="143">
        <f>AW539+AX539</f>
        <v>0</v>
      </c>
      <c r="AW539" s="143">
        <f>G539*AO539</f>
        <v>0</v>
      </c>
      <c r="AX539" s="143">
        <f>G539*AP539</f>
        <v>0</v>
      </c>
      <c r="AY539" s="144" t="s">
        <v>889</v>
      </c>
      <c r="AZ539" s="144" t="s">
        <v>947</v>
      </c>
      <c r="BA539" s="137" t="s">
        <v>974</v>
      </c>
      <c r="BC539" s="143">
        <f>AW539+AX539</f>
        <v>0</v>
      </c>
      <c r="BD539" s="143">
        <f>H539/(100-BE539)*100</f>
        <v>0</v>
      </c>
      <c r="BE539" s="143">
        <v>0</v>
      </c>
      <c r="BF539" s="143">
        <f>539</f>
        <v>539</v>
      </c>
      <c r="BH539" s="141">
        <f>G539*AO539</f>
        <v>0</v>
      </c>
      <c r="BI539" s="141">
        <f>G539*AP539</f>
        <v>0</v>
      </c>
      <c r="BJ539" s="141">
        <f>G539*H539</f>
        <v>0</v>
      </c>
    </row>
    <row r="540" spans="1:12" ht="12.75">
      <c r="A540" s="154"/>
      <c r="B540" s="154"/>
      <c r="C540" s="60" t="s">
        <v>495</v>
      </c>
      <c r="D540" s="61"/>
      <c r="E540" s="61"/>
      <c r="F540" s="154"/>
      <c r="G540" s="12">
        <v>1</v>
      </c>
      <c r="I540" s="154"/>
      <c r="J540" s="154"/>
      <c r="K540" s="154"/>
      <c r="L540" s="154"/>
    </row>
    <row r="541" spans="1:12" ht="12.75">
      <c r="A541" s="4"/>
      <c r="B541" s="10"/>
      <c r="C541" s="62" t="s">
        <v>800</v>
      </c>
      <c r="D541" s="63"/>
      <c r="E541" s="63"/>
      <c r="F541" s="4" t="s">
        <v>6</v>
      </c>
      <c r="G541" s="4" t="s">
        <v>6</v>
      </c>
      <c r="H541" s="145" t="s">
        <v>6</v>
      </c>
      <c r="I541" s="24">
        <f>I542</f>
        <v>0</v>
      </c>
      <c r="J541" s="24">
        <f>J542</f>
        <v>0</v>
      </c>
      <c r="K541" s="24">
        <f>K542</f>
        <v>0</v>
      </c>
      <c r="L541" s="18"/>
    </row>
    <row r="542" spans="1:47" ht="12.75">
      <c r="A542" s="2"/>
      <c r="B542" s="9" t="s">
        <v>97</v>
      </c>
      <c r="C542" s="56" t="s">
        <v>485</v>
      </c>
      <c r="D542" s="57"/>
      <c r="E542" s="57"/>
      <c r="F542" s="2" t="s">
        <v>6</v>
      </c>
      <c r="G542" s="2" t="s">
        <v>6</v>
      </c>
      <c r="H542" s="139" t="s">
        <v>6</v>
      </c>
      <c r="I542" s="23">
        <f>SUM(I543:I545)</f>
        <v>0</v>
      </c>
      <c r="J542" s="23">
        <f>SUM(J543:J545)</f>
        <v>0</v>
      </c>
      <c r="K542" s="23">
        <f>SUM(K543:K545)</f>
        <v>0</v>
      </c>
      <c r="L542" s="16"/>
      <c r="AI542" s="137" t="s">
        <v>879</v>
      </c>
      <c r="AS542" s="140">
        <f>SUM(AJ543:AJ545)</f>
        <v>0</v>
      </c>
      <c r="AT542" s="140">
        <f>SUM(AK543:AK545)</f>
        <v>0</v>
      </c>
      <c r="AU542" s="140">
        <f>SUM(AL543:AL545)</f>
        <v>0</v>
      </c>
    </row>
    <row r="543" spans="1:62" ht="12.75">
      <c r="A543" s="3" t="s">
        <v>207</v>
      </c>
      <c r="B543" s="3" t="s">
        <v>395</v>
      </c>
      <c r="C543" s="58" t="s">
        <v>801</v>
      </c>
      <c r="D543" s="59"/>
      <c r="E543" s="59"/>
      <c r="F543" s="3" t="s">
        <v>826</v>
      </c>
      <c r="G543" s="11">
        <v>13</v>
      </c>
      <c r="H543" s="141">
        <v>0</v>
      </c>
      <c r="I543" s="11">
        <f>G543*AO543</f>
        <v>0</v>
      </c>
      <c r="J543" s="11">
        <f>G543*AP543</f>
        <v>0</v>
      </c>
      <c r="K543" s="11">
        <f>G543*H543</f>
        <v>0</v>
      </c>
      <c r="L543" s="17" t="s">
        <v>845</v>
      </c>
      <c r="Z543" s="143">
        <f>IF(AQ543="5",BJ543,0)</f>
        <v>0</v>
      </c>
      <c r="AB543" s="143">
        <f>IF(AQ543="1",BH543,0)</f>
        <v>0</v>
      </c>
      <c r="AC543" s="143">
        <f>IF(AQ543="1",BI543,0)</f>
        <v>0</v>
      </c>
      <c r="AD543" s="143">
        <f>IF(AQ543="7",BH543,0)</f>
        <v>0</v>
      </c>
      <c r="AE543" s="143">
        <f>IF(AQ543="7",BI543,0)</f>
        <v>0</v>
      </c>
      <c r="AF543" s="143">
        <f>IF(AQ543="2",BH543,0)</f>
        <v>0</v>
      </c>
      <c r="AG543" s="143">
        <f>IF(AQ543="2",BI543,0)</f>
        <v>0</v>
      </c>
      <c r="AH543" s="143">
        <f>IF(AQ543="0",BJ543,0)</f>
        <v>0</v>
      </c>
      <c r="AI543" s="137" t="s">
        <v>879</v>
      </c>
      <c r="AJ543" s="141">
        <f>IF(AN543=0,K543,0)</f>
        <v>0</v>
      </c>
      <c r="AK543" s="141">
        <f>IF(AN543=15,K543,0)</f>
        <v>0</v>
      </c>
      <c r="AL543" s="141">
        <f>IF(AN543=21,K543,0)</f>
        <v>0</v>
      </c>
      <c r="AN543" s="143">
        <v>21</v>
      </c>
      <c r="AO543" s="143">
        <f>H543*0.361349206349206</f>
        <v>0</v>
      </c>
      <c r="AP543" s="143">
        <f>H543*(1-0.361349206349206)</f>
        <v>0</v>
      </c>
      <c r="AQ543" s="142" t="s">
        <v>7</v>
      </c>
      <c r="AV543" s="143">
        <f>AW543+AX543</f>
        <v>0</v>
      </c>
      <c r="AW543" s="143">
        <f>G543*AO543</f>
        <v>0</v>
      </c>
      <c r="AX543" s="143">
        <f>G543*AP543</f>
        <v>0</v>
      </c>
      <c r="AY543" s="144" t="s">
        <v>889</v>
      </c>
      <c r="AZ543" s="144" t="s">
        <v>948</v>
      </c>
      <c r="BA543" s="137" t="s">
        <v>975</v>
      </c>
      <c r="BC543" s="143">
        <f>AW543+AX543</f>
        <v>0</v>
      </c>
      <c r="BD543" s="143">
        <f>H543/(100-BE543)*100</f>
        <v>0</v>
      </c>
      <c r="BE543" s="143">
        <v>0</v>
      </c>
      <c r="BF543" s="143">
        <f>543</f>
        <v>543</v>
      </c>
      <c r="BH543" s="141">
        <f>G543*AO543</f>
        <v>0</v>
      </c>
      <c r="BI543" s="141">
        <f>G543*AP543</f>
        <v>0</v>
      </c>
      <c r="BJ543" s="141">
        <f>G543*H543</f>
        <v>0</v>
      </c>
    </row>
    <row r="544" spans="1:12" ht="12.75">
      <c r="A544" s="154"/>
      <c r="B544" s="154"/>
      <c r="C544" s="60" t="s">
        <v>802</v>
      </c>
      <c r="D544" s="61"/>
      <c r="E544" s="61"/>
      <c r="F544" s="154"/>
      <c r="G544" s="12">
        <v>13</v>
      </c>
      <c r="I544" s="154"/>
      <c r="J544" s="154"/>
      <c r="K544" s="154"/>
      <c r="L544" s="154"/>
    </row>
    <row r="545" spans="1:62" ht="12.75">
      <c r="A545" s="3" t="s">
        <v>208</v>
      </c>
      <c r="B545" s="3" t="s">
        <v>396</v>
      </c>
      <c r="C545" s="58" t="s">
        <v>803</v>
      </c>
      <c r="D545" s="59"/>
      <c r="E545" s="59"/>
      <c r="F545" s="3" t="s">
        <v>816</v>
      </c>
      <c r="G545" s="11">
        <v>3</v>
      </c>
      <c r="H545" s="141">
        <v>0</v>
      </c>
      <c r="I545" s="11">
        <f>G545*AO545</f>
        <v>0</v>
      </c>
      <c r="J545" s="11">
        <f>G545*AP545</f>
        <v>0</v>
      </c>
      <c r="K545" s="11">
        <f>G545*H545</f>
        <v>0</v>
      </c>
      <c r="L545" s="17" t="s">
        <v>845</v>
      </c>
      <c r="Z545" s="143">
        <f>IF(AQ545="5",BJ545,0)</f>
        <v>0</v>
      </c>
      <c r="AB545" s="143">
        <f>IF(AQ545="1",BH545,0)</f>
        <v>0</v>
      </c>
      <c r="AC545" s="143">
        <f>IF(AQ545="1",BI545,0)</f>
        <v>0</v>
      </c>
      <c r="AD545" s="143">
        <f>IF(AQ545="7",BH545,0)</f>
        <v>0</v>
      </c>
      <c r="AE545" s="143">
        <f>IF(AQ545="7",BI545,0)</f>
        <v>0</v>
      </c>
      <c r="AF545" s="143">
        <f>IF(AQ545="2",BH545,0)</f>
        <v>0</v>
      </c>
      <c r="AG545" s="143">
        <f>IF(AQ545="2",BI545,0)</f>
        <v>0</v>
      </c>
      <c r="AH545" s="143">
        <f>IF(AQ545="0",BJ545,0)</f>
        <v>0</v>
      </c>
      <c r="AI545" s="137" t="s">
        <v>879</v>
      </c>
      <c r="AJ545" s="141">
        <f>IF(AN545=0,K545,0)</f>
        <v>0</v>
      </c>
      <c r="AK545" s="141">
        <f>IF(AN545=15,K545,0)</f>
        <v>0</v>
      </c>
      <c r="AL545" s="141">
        <f>IF(AN545=21,K545,0)</f>
        <v>0</v>
      </c>
      <c r="AN545" s="143">
        <v>21</v>
      </c>
      <c r="AO545" s="143">
        <f>H545*0.361361111111111</f>
        <v>0</v>
      </c>
      <c r="AP545" s="143">
        <f>H545*(1-0.361361111111111)</f>
        <v>0</v>
      </c>
      <c r="AQ545" s="142" t="s">
        <v>7</v>
      </c>
      <c r="AV545" s="143">
        <f>AW545+AX545</f>
        <v>0</v>
      </c>
      <c r="AW545" s="143">
        <f>G545*AO545</f>
        <v>0</v>
      </c>
      <c r="AX545" s="143">
        <f>G545*AP545</f>
        <v>0</v>
      </c>
      <c r="AY545" s="144" t="s">
        <v>889</v>
      </c>
      <c r="AZ545" s="144" t="s">
        <v>948</v>
      </c>
      <c r="BA545" s="137" t="s">
        <v>975</v>
      </c>
      <c r="BC545" s="143">
        <f>AW545+AX545</f>
        <v>0</v>
      </c>
      <c r="BD545" s="143">
        <f>H545/(100-BE545)*100</f>
        <v>0</v>
      </c>
      <c r="BE545" s="143">
        <v>0</v>
      </c>
      <c r="BF545" s="143">
        <f>545</f>
        <v>545</v>
      </c>
      <c r="BH545" s="141">
        <f>G545*AO545</f>
        <v>0</v>
      </c>
      <c r="BI545" s="141">
        <f>G545*AP545</f>
        <v>0</v>
      </c>
      <c r="BJ545" s="141">
        <f>G545*H545</f>
        <v>0</v>
      </c>
    </row>
    <row r="546" spans="1:12" ht="12.75">
      <c r="A546" s="154"/>
      <c r="B546" s="154"/>
      <c r="C546" s="60" t="s">
        <v>598</v>
      </c>
      <c r="D546" s="61"/>
      <c r="E546" s="61"/>
      <c r="F546" s="154"/>
      <c r="G546" s="12">
        <v>3</v>
      </c>
      <c r="I546" s="154"/>
      <c r="J546" s="154"/>
      <c r="K546" s="154"/>
      <c r="L546" s="154"/>
    </row>
    <row r="547" spans="1:12" ht="12.75">
      <c r="A547" s="4"/>
      <c r="B547" s="10"/>
      <c r="C547" s="62" t="s">
        <v>804</v>
      </c>
      <c r="D547" s="63"/>
      <c r="E547" s="63"/>
      <c r="F547" s="4" t="s">
        <v>6</v>
      </c>
      <c r="G547" s="4" t="s">
        <v>6</v>
      </c>
      <c r="H547" s="145" t="s">
        <v>6</v>
      </c>
      <c r="I547" s="24">
        <f>I548</f>
        <v>0</v>
      </c>
      <c r="J547" s="24">
        <f>J548</f>
        <v>0</v>
      </c>
      <c r="K547" s="24">
        <f>K548</f>
        <v>0</v>
      </c>
      <c r="L547" s="18"/>
    </row>
    <row r="548" spans="1:47" ht="12.75">
      <c r="A548" s="2"/>
      <c r="B548" s="9" t="s">
        <v>97</v>
      </c>
      <c r="C548" s="56" t="s">
        <v>485</v>
      </c>
      <c r="D548" s="57"/>
      <c r="E548" s="57"/>
      <c r="F548" s="2" t="s">
        <v>6</v>
      </c>
      <c r="G548" s="2" t="s">
        <v>6</v>
      </c>
      <c r="H548" s="139" t="s">
        <v>6</v>
      </c>
      <c r="I548" s="23">
        <f>SUM(I549:I549)</f>
        <v>0</v>
      </c>
      <c r="J548" s="23">
        <f>SUM(J549:J549)</f>
        <v>0</v>
      </c>
      <c r="K548" s="23">
        <f>SUM(K549:K549)</f>
        <v>0</v>
      </c>
      <c r="L548" s="16"/>
      <c r="AI548" s="137" t="s">
        <v>880</v>
      </c>
      <c r="AS548" s="140">
        <f>SUM(AJ549:AJ549)</f>
        <v>0</v>
      </c>
      <c r="AT548" s="140">
        <f>SUM(AK549:AK549)</f>
        <v>0</v>
      </c>
      <c r="AU548" s="140">
        <f>SUM(AL549:AL549)</f>
        <v>0</v>
      </c>
    </row>
    <row r="549" spans="1:62" ht="12.75">
      <c r="A549" s="3" t="s">
        <v>209</v>
      </c>
      <c r="B549" s="3" t="s">
        <v>397</v>
      </c>
      <c r="C549" s="58" t="s">
        <v>805</v>
      </c>
      <c r="D549" s="59"/>
      <c r="E549" s="59"/>
      <c r="F549" s="3" t="s">
        <v>822</v>
      </c>
      <c r="G549" s="11">
        <v>2</v>
      </c>
      <c r="H549" s="141">
        <v>0</v>
      </c>
      <c r="I549" s="11">
        <f>G549*AO549</f>
        <v>0</v>
      </c>
      <c r="J549" s="11">
        <f>G549*AP549</f>
        <v>0</v>
      </c>
      <c r="K549" s="11">
        <f>G549*H549</f>
        <v>0</v>
      </c>
      <c r="L549" s="17" t="s">
        <v>845</v>
      </c>
      <c r="Z549" s="143">
        <f>IF(AQ549="5",BJ549,0)</f>
        <v>0</v>
      </c>
      <c r="AB549" s="143">
        <f>IF(AQ549="1",BH549,0)</f>
        <v>0</v>
      </c>
      <c r="AC549" s="143">
        <f>IF(AQ549="1",BI549,0)</f>
        <v>0</v>
      </c>
      <c r="AD549" s="143">
        <f>IF(AQ549="7",BH549,0)</f>
        <v>0</v>
      </c>
      <c r="AE549" s="143">
        <f>IF(AQ549="7",BI549,0)</f>
        <v>0</v>
      </c>
      <c r="AF549" s="143">
        <f>IF(AQ549="2",BH549,0)</f>
        <v>0</v>
      </c>
      <c r="AG549" s="143">
        <f>IF(AQ549="2",BI549,0)</f>
        <v>0</v>
      </c>
      <c r="AH549" s="143">
        <f>IF(AQ549="0",BJ549,0)</f>
        <v>0</v>
      </c>
      <c r="AI549" s="137" t="s">
        <v>880</v>
      </c>
      <c r="AJ549" s="141">
        <f>IF(AN549=0,K549,0)</f>
        <v>0</v>
      </c>
      <c r="AK549" s="141">
        <f>IF(AN549=15,K549,0)</f>
        <v>0</v>
      </c>
      <c r="AL549" s="141">
        <f>IF(AN549=21,K549,0)</f>
        <v>0</v>
      </c>
      <c r="AN549" s="143">
        <v>21</v>
      </c>
      <c r="AO549" s="143">
        <f>H549*0.361354166666667</f>
        <v>0</v>
      </c>
      <c r="AP549" s="143">
        <f>H549*(1-0.361354166666667)</f>
        <v>0</v>
      </c>
      <c r="AQ549" s="142" t="s">
        <v>7</v>
      </c>
      <c r="AV549" s="143">
        <f>AW549+AX549</f>
        <v>0</v>
      </c>
      <c r="AW549" s="143">
        <f>G549*AO549</f>
        <v>0</v>
      </c>
      <c r="AX549" s="143">
        <f>G549*AP549</f>
        <v>0</v>
      </c>
      <c r="AY549" s="144" t="s">
        <v>889</v>
      </c>
      <c r="AZ549" s="144" t="s">
        <v>949</v>
      </c>
      <c r="BA549" s="137" t="s">
        <v>976</v>
      </c>
      <c r="BC549" s="143">
        <f>AW549+AX549</f>
        <v>0</v>
      </c>
      <c r="BD549" s="143">
        <f>H549/(100-BE549)*100</f>
        <v>0</v>
      </c>
      <c r="BE549" s="143">
        <v>0</v>
      </c>
      <c r="BF549" s="143">
        <f>549</f>
        <v>549</v>
      </c>
      <c r="BH549" s="141">
        <f>G549*AO549</f>
        <v>0</v>
      </c>
      <c r="BI549" s="141">
        <f>G549*AP549</f>
        <v>0</v>
      </c>
      <c r="BJ549" s="141">
        <f>G549*H549</f>
        <v>0</v>
      </c>
    </row>
    <row r="550" spans="1:12" ht="12.75">
      <c r="A550" s="154"/>
      <c r="B550" s="154"/>
      <c r="C550" s="60" t="s">
        <v>561</v>
      </c>
      <c r="D550" s="61"/>
      <c r="E550" s="61"/>
      <c r="F550" s="154"/>
      <c r="G550" s="12">
        <v>2</v>
      </c>
      <c r="I550" s="154"/>
      <c r="J550" s="154"/>
      <c r="K550" s="154"/>
      <c r="L550" s="154"/>
    </row>
    <row r="551" spans="1:12" ht="12.75">
      <c r="A551" s="4"/>
      <c r="B551" s="10"/>
      <c r="C551" s="62" t="s">
        <v>806</v>
      </c>
      <c r="D551" s="63"/>
      <c r="E551" s="63"/>
      <c r="F551" s="4" t="s">
        <v>6</v>
      </c>
      <c r="G551" s="4" t="s">
        <v>6</v>
      </c>
      <c r="H551" s="145" t="s">
        <v>6</v>
      </c>
      <c r="I551" s="24">
        <f>I552</f>
        <v>0</v>
      </c>
      <c r="J551" s="24">
        <f>J552</f>
        <v>0</v>
      </c>
      <c r="K551" s="24">
        <f>K552</f>
        <v>0</v>
      </c>
      <c r="L551" s="18"/>
    </row>
    <row r="552" spans="1:47" ht="12.75">
      <c r="A552" s="2"/>
      <c r="B552" s="9" t="s">
        <v>97</v>
      </c>
      <c r="C552" s="56" t="s">
        <v>485</v>
      </c>
      <c r="D552" s="57"/>
      <c r="E552" s="57"/>
      <c r="F552" s="2" t="s">
        <v>6</v>
      </c>
      <c r="G552" s="2" t="s">
        <v>6</v>
      </c>
      <c r="H552" s="139" t="s">
        <v>6</v>
      </c>
      <c r="I552" s="23">
        <f>SUM(I553:I553)</f>
        <v>0</v>
      </c>
      <c r="J552" s="23">
        <f>SUM(J553:J553)</f>
        <v>0</v>
      </c>
      <c r="K552" s="23">
        <f>SUM(K553:K553)</f>
        <v>0</v>
      </c>
      <c r="L552" s="16"/>
      <c r="AI552" s="137" t="s">
        <v>881</v>
      </c>
      <c r="AS552" s="140">
        <f>SUM(AJ553:AJ553)</f>
        <v>0</v>
      </c>
      <c r="AT552" s="140">
        <f>SUM(AK553:AK553)</f>
        <v>0</v>
      </c>
      <c r="AU552" s="140">
        <f>SUM(AL553:AL553)</f>
        <v>0</v>
      </c>
    </row>
    <row r="553" spans="1:62" ht="12.75">
      <c r="A553" s="3" t="s">
        <v>210</v>
      </c>
      <c r="B553" s="3" t="s">
        <v>398</v>
      </c>
      <c r="C553" s="58" t="s">
        <v>807</v>
      </c>
      <c r="D553" s="59"/>
      <c r="E553" s="59"/>
      <c r="F553" s="3" t="s">
        <v>822</v>
      </c>
      <c r="G553" s="11">
        <v>3</v>
      </c>
      <c r="H553" s="141">
        <v>0</v>
      </c>
      <c r="I553" s="11">
        <f>G553*AO553</f>
        <v>0</v>
      </c>
      <c r="J553" s="11">
        <f>G553*AP553</f>
        <v>0</v>
      </c>
      <c r="K553" s="11">
        <f>G553*H553</f>
        <v>0</v>
      </c>
      <c r="L553" s="17" t="s">
        <v>845</v>
      </c>
      <c r="Z553" s="143">
        <f>IF(AQ553="5",BJ553,0)</f>
        <v>0</v>
      </c>
      <c r="AB553" s="143">
        <f>IF(AQ553="1",BH553,0)</f>
        <v>0</v>
      </c>
      <c r="AC553" s="143">
        <f>IF(AQ553="1",BI553,0)</f>
        <v>0</v>
      </c>
      <c r="AD553" s="143">
        <f>IF(AQ553="7",BH553,0)</f>
        <v>0</v>
      </c>
      <c r="AE553" s="143">
        <f>IF(AQ553="7",BI553,0)</f>
        <v>0</v>
      </c>
      <c r="AF553" s="143">
        <f>IF(AQ553="2",BH553,0)</f>
        <v>0</v>
      </c>
      <c r="AG553" s="143">
        <f>IF(AQ553="2",BI553,0)</f>
        <v>0</v>
      </c>
      <c r="AH553" s="143">
        <f>IF(AQ553="0",BJ553,0)</f>
        <v>0</v>
      </c>
      <c r="AI553" s="137" t="s">
        <v>881</v>
      </c>
      <c r="AJ553" s="141">
        <f>IF(AN553=0,K553,0)</f>
        <v>0</v>
      </c>
      <c r="AK553" s="141">
        <f>IF(AN553=15,K553,0)</f>
        <v>0</v>
      </c>
      <c r="AL553" s="141">
        <f>IF(AN553=21,K553,0)</f>
        <v>0</v>
      </c>
      <c r="AN553" s="143">
        <v>21</v>
      </c>
      <c r="AO553" s="143">
        <f>H553*0.361358064516129</f>
        <v>0</v>
      </c>
      <c r="AP553" s="143">
        <f>H553*(1-0.361358064516129)</f>
        <v>0</v>
      </c>
      <c r="AQ553" s="142" t="s">
        <v>7</v>
      </c>
      <c r="AV553" s="143">
        <f>AW553+AX553</f>
        <v>0</v>
      </c>
      <c r="AW553" s="143">
        <f>G553*AO553</f>
        <v>0</v>
      </c>
      <c r="AX553" s="143">
        <f>G553*AP553</f>
        <v>0</v>
      </c>
      <c r="AY553" s="144" t="s">
        <v>889</v>
      </c>
      <c r="AZ553" s="144" t="s">
        <v>950</v>
      </c>
      <c r="BA553" s="137" t="s">
        <v>977</v>
      </c>
      <c r="BC553" s="143">
        <f>AW553+AX553</f>
        <v>0</v>
      </c>
      <c r="BD553" s="143">
        <f>H553/(100-BE553)*100</f>
        <v>0</v>
      </c>
      <c r="BE553" s="143">
        <v>0</v>
      </c>
      <c r="BF553" s="143">
        <f>553</f>
        <v>553</v>
      </c>
      <c r="BH553" s="141">
        <f>G553*AO553</f>
        <v>0</v>
      </c>
      <c r="BI553" s="141">
        <f>G553*AP553</f>
        <v>0</v>
      </c>
      <c r="BJ553" s="141">
        <f>G553*H553</f>
        <v>0</v>
      </c>
    </row>
    <row r="554" spans="1:12" ht="12.75">
      <c r="A554" s="6"/>
      <c r="B554" s="6"/>
      <c r="C554" s="66" t="s">
        <v>808</v>
      </c>
      <c r="D554" s="67"/>
      <c r="E554" s="67"/>
      <c r="F554" s="6"/>
      <c r="G554" s="14">
        <v>3</v>
      </c>
      <c r="H554" s="148"/>
      <c r="I554" s="6"/>
      <c r="J554" s="6"/>
      <c r="K554" s="6"/>
      <c r="L554" s="6"/>
    </row>
    <row r="555" spans="1:12" ht="12.75">
      <c r="A555" s="149"/>
      <c r="B555" s="149"/>
      <c r="C555" s="149"/>
      <c r="D555" s="149"/>
      <c r="E555" s="149"/>
      <c r="F555" s="149"/>
      <c r="G555" s="149"/>
      <c r="H555" s="149"/>
      <c r="I555" s="150" t="s">
        <v>840</v>
      </c>
      <c r="J555" s="151"/>
      <c r="K555" s="152">
        <f>K13+K16+K19+K31+K44+K56+K61+K70+K83+K95+K107+K112+K122+K125+K129+K140+K148+K153+K165+K188+K192+K199+K204+K233+K270+K337+K340+K386+K392+K398+K404+K415+K424+K428+K433+K436+K440+K445+K451+K455+K459+K463+K467+K471+K476+K479+K486+K491+K499+K505+K508+K513+K516+K524+K530+K534+K538+K542+K548+K552</f>
        <v>0</v>
      </c>
      <c r="L555" s="149"/>
    </row>
    <row r="556" ht="11.25" customHeight="1">
      <c r="A556" s="153" t="s">
        <v>211</v>
      </c>
    </row>
    <row r="557" spans="1:12" ht="12.75">
      <c r="A557" s="110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</row>
  </sheetData>
  <sheetProtection password="C6EF" sheet="1" objects="1" scenarios="1" selectLockedCells="1"/>
  <mergeCells count="573">
    <mergeCell ref="I555:J555"/>
    <mergeCell ref="A557:L557"/>
    <mergeCell ref="C549:E549"/>
    <mergeCell ref="C550:E550"/>
    <mergeCell ref="C551:E551"/>
    <mergeCell ref="C552:E552"/>
    <mergeCell ref="C553:E553"/>
    <mergeCell ref="C554:E554"/>
    <mergeCell ref="C543:E543"/>
    <mergeCell ref="C544:E544"/>
    <mergeCell ref="C545:E545"/>
    <mergeCell ref="C546:E546"/>
    <mergeCell ref="C547:E547"/>
    <mergeCell ref="C548:E548"/>
    <mergeCell ref="C537:E537"/>
    <mergeCell ref="C538:E538"/>
    <mergeCell ref="C539:E539"/>
    <mergeCell ref="C540:E540"/>
    <mergeCell ref="C541:E541"/>
    <mergeCell ref="C542:E542"/>
    <mergeCell ref="C531:E531"/>
    <mergeCell ref="C532:E532"/>
    <mergeCell ref="C533:E533"/>
    <mergeCell ref="C534:E534"/>
    <mergeCell ref="C535:E535"/>
    <mergeCell ref="C536:E536"/>
    <mergeCell ref="C525:E525"/>
    <mergeCell ref="C526:E526"/>
    <mergeCell ref="C527:E527"/>
    <mergeCell ref="C528:E528"/>
    <mergeCell ref="C529:E529"/>
    <mergeCell ref="C530:E530"/>
    <mergeCell ref="C519:E519"/>
    <mergeCell ref="C520:E520"/>
    <mergeCell ref="C521:E521"/>
    <mergeCell ref="C522:E522"/>
    <mergeCell ref="C523:E523"/>
    <mergeCell ref="C524:E524"/>
    <mergeCell ref="C513:E513"/>
    <mergeCell ref="C514:E514"/>
    <mergeCell ref="C515:E515"/>
    <mergeCell ref="C516:E516"/>
    <mergeCell ref="C517:E517"/>
    <mergeCell ref="C518:E518"/>
    <mergeCell ref="C507:E507"/>
    <mergeCell ref="C508:E508"/>
    <mergeCell ref="C509:E509"/>
    <mergeCell ref="C510:E510"/>
    <mergeCell ref="C511:E511"/>
    <mergeCell ref="C512:E512"/>
    <mergeCell ref="C501:E501"/>
    <mergeCell ref="C502:E502"/>
    <mergeCell ref="C503:E503"/>
    <mergeCell ref="C504:E504"/>
    <mergeCell ref="C505:E505"/>
    <mergeCell ref="C506:E506"/>
    <mergeCell ref="C495:E495"/>
    <mergeCell ref="C496:E496"/>
    <mergeCell ref="C497:E497"/>
    <mergeCell ref="C498:E498"/>
    <mergeCell ref="C499:E499"/>
    <mergeCell ref="C500:E500"/>
    <mergeCell ref="C489:E489"/>
    <mergeCell ref="C490:E490"/>
    <mergeCell ref="C491:E491"/>
    <mergeCell ref="C492:E492"/>
    <mergeCell ref="C493:E493"/>
    <mergeCell ref="C494:E494"/>
    <mergeCell ref="C483:E483"/>
    <mergeCell ref="C484:E484"/>
    <mergeCell ref="C485:E485"/>
    <mergeCell ref="C486:E486"/>
    <mergeCell ref="C487:E487"/>
    <mergeCell ref="C488:E488"/>
    <mergeCell ref="C477:E477"/>
    <mergeCell ref="C478:E478"/>
    <mergeCell ref="C479:E479"/>
    <mergeCell ref="C480:E480"/>
    <mergeCell ref="C481:E481"/>
    <mergeCell ref="C482:E482"/>
    <mergeCell ref="C471:E471"/>
    <mergeCell ref="C472:E472"/>
    <mergeCell ref="C473:E473"/>
    <mergeCell ref="C474:E474"/>
    <mergeCell ref="C475:E475"/>
    <mergeCell ref="C476:E476"/>
    <mergeCell ref="C465:E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E463"/>
    <mergeCell ref="C464:E464"/>
    <mergeCell ref="C453:E453"/>
    <mergeCell ref="C454:E454"/>
    <mergeCell ref="C455:E455"/>
    <mergeCell ref="C456:E456"/>
    <mergeCell ref="C457:E457"/>
    <mergeCell ref="C458:E458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A4" sqref="A1:IV16384"/>
    </sheetView>
  </sheetViews>
  <sheetFormatPr defaultColWidth="11.57421875" defaultRowHeight="12.75"/>
  <cols>
    <col min="1" max="1" width="9.140625" style="154" customWidth="1"/>
    <col min="2" max="2" width="12.8515625" style="154" customWidth="1"/>
    <col min="3" max="3" width="22.8515625" style="154" customWidth="1"/>
    <col min="4" max="4" width="10.00390625" style="154" customWidth="1"/>
    <col min="5" max="5" width="14.00390625" style="154" customWidth="1"/>
    <col min="6" max="6" width="22.8515625" style="154" customWidth="1"/>
    <col min="7" max="7" width="9.140625" style="154" customWidth="1"/>
    <col min="8" max="8" width="12.8515625" style="154" customWidth="1"/>
    <col min="9" max="9" width="22.8515625" style="154" customWidth="1"/>
    <col min="10" max="16384" width="11.57421875" style="154" customWidth="1"/>
  </cols>
  <sheetData>
    <row r="1" spans="1:9" ht="72.75" customHeight="1">
      <c r="A1" s="41"/>
      <c r="B1" s="6"/>
      <c r="C1" s="69" t="s">
        <v>994</v>
      </c>
      <c r="D1" s="42"/>
      <c r="E1" s="42"/>
      <c r="F1" s="42"/>
      <c r="G1" s="42"/>
      <c r="H1" s="42"/>
      <c r="I1" s="42"/>
    </row>
    <row r="2" spans="1:10" ht="12.75">
      <c r="A2" s="43" t="s">
        <v>1</v>
      </c>
      <c r="B2" s="44"/>
      <c r="C2" s="47" t="str">
        <f>'Stavební rozpočet'!C2</f>
        <v>MATEŘSKÁ ŠKOLKA MOTÝLEK</v>
      </c>
      <c r="D2" s="68"/>
      <c r="E2" s="49" t="s">
        <v>828</v>
      </c>
      <c r="F2" s="49" t="str">
        <f>'Stavební rozpočet'!I2</f>
        <v>MĚSTO LIBEREC</v>
      </c>
      <c r="G2" s="44"/>
      <c r="H2" s="49" t="s">
        <v>1017</v>
      </c>
      <c r="I2" s="70"/>
      <c r="J2" s="20"/>
    </row>
    <row r="3" spans="1:10" ht="12.75">
      <c r="A3" s="45"/>
      <c r="B3" s="46"/>
      <c r="C3" s="48"/>
      <c r="D3" s="48"/>
      <c r="E3" s="46"/>
      <c r="F3" s="46"/>
      <c r="G3" s="46"/>
      <c r="H3" s="46"/>
      <c r="I3" s="50"/>
      <c r="J3" s="20"/>
    </row>
    <row r="4" spans="1:10" ht="12.75">
      <c r="A4" s="51" t="s">
        <v>2</v>
      </c>
      <c r="B4" s="46"/>
      <c r="C4" s="52" t="str">
        <f>'Stavební rozpočet'!C4</f>
        <v>REKONSTRUKCE ZAHRADY</v>
      </c>
      <c r="D4" s="46"/>
      <c r="E4" s="52" t="s">
        <v>829</v>
      </c>
      <c r="F4" s="52" t="str">
        <f>'Stavební rozpočet'!I4</f>
        <v>ING.KŘIVOHLAVÁ J.</v>
      </c>
      <c r="G4" s="46"/>
      <c r="H4" s="52" t="s">
        <v>1017</v>
      </c>
      <c r="I4" s="71"/>
      <c r="J4" s="20"/>
    </row>
    <row r="5" spans="1:10" ht="12.75">
      <c r="A5" s="45"/>
      <c r="B5" s="46"/>
      <c r="C5" s="46"/>
      <c r="D5" s="46"/>
      <c r="E5" s="46"/>
      <c r="F5" s="46"/>
      <c r="G5" s="46"/>
      <c r="H5" s="46"/>
      <c r="I5" s="50"/>
      <c r="J5" s="20"/>
    </row>
    <row r="6" spans="1:10" ht="12.75">
      <c r="A6" s="51" t="s">
        <v>3</v>
      </c>
      <c r="B6" s="46"/>
      <c r="C6" s="52" t="str">
        <f>'Stavební rozpočet'!C6</f>
        <v>LIBEREC</v>
      </c>
      <c r="D6" s="46"/>
      <c r="E6" s="52" t="s">
        <v>830</v>
      </c>
      <c r="F6" s="52" t="str">
        <f>'Stavební rozpočet'!I6</f>
        <v>BUDE VYBRÁN</v>
      </c>
      <c r="G6" s="46"/>
      <c r="H6" s="52" t="s">
        <v>1017</v>
      </c>
      <c r="I6" s="71"/>
      <c r="J6" s="20"/>
    </row>
    <row r="7" spans="1:10" ht="12.75">
      <c r="A7" s="45"/>
      <c r="B7" s="46"/>
      <c r="C7" s="46"/>
      <c r="D7" s="46"/>
      <c r="E7" s="46"/>
      <c r="F7" s="46"/>
      <c r="G7" s="46"/>
      <c r="H7" s="46"/>
      <c r="I7" s="50"/>
      <c r="J7" s="20"/>
    </row>
    <row r="8" spans="1:10" ht="12.75">
      <c r="A8" s="51" t="s">
        <v>810</v>
      </c>
      <c r="B8" s="46"/>
      <c r="C8" s="52" t="str">
        <f>'Stavební rozpočet'!F4</f>
        <v> </v>
      </c>
      <c r="D8" s="46"/>
      <c r="E8" s="52" t="s">
        <v>811</v>
      </c>
      <c r="F8" s="52" t="str">
        <f>'Stavební rozpočet'!F6</f>
        <v> </v>
      </c>
      <c r="G8" s="46"/>
      <c r="H8" s="53" t="s">
        <v>1018</v>
      </c>
      <c r="I8" s="71" t="s">
        <v>210</v>
      </c>
      <c r="J8" s="20"/>
    </row>
    <row r="9" spans="1:10" ht="12.75">
      <c r="A9" s="45"/>
      <c r="B9" s="46"/>
      <c r="C9" s="46"/>
      <c r="D9" s="46"/>
      <c r="E9" s="46"/>
      <c r="F9" s="46"/>
      <c r="G9" s="46"/>
      <c r="H9" s="46"/>
      <c r="I9" s="50"/>
      <c r="J9" s="20"/>
    </row>
    <row r="10" spans="1:10" ht="12.75">
      <c r="A10" s="51" t="s">
        <v>4</v>
      </c>
      <c r="B10" s="46"/>
      <c r="C10" s="52" t="str">
        <f>'Stavební rozpočet'!C8</f>
        <v> </v>
      </c>
      <c r="D10" s="46"/>
      <c r="E10" s="52" t="s">
        <v>831</v>
      </c>
      <c r="F10" s="52" t="str">
        <f>'Stavební rozpočet'!I8</f>
        <v>IIČVDF</v>
      </c>
      <c r="G10" s="46"/>
      <c r="H10" s="53" t="s">
        <v>1019</v>
      </c>
      <c r="I10" s="74" t="str">
        <f>'Stavební rozpočet'!F8</f>
        <v>28.10.2018</v>
      </c>
      <c r="J10" s="20"/>
    </row>
    <row r="11" spans="1:10" ht="12.75">
      <c r="A11" s="72"/>
      <c r="B11" s="73"/>
      <c r="C11" s="73"/>
      <c r="D11" s="73"/>
      <c r="E11" s="73"/>
      <c r="F11" s="73"/>
      <c r="G11" s="73"/>
      <c r="H11" s="73"/>
      <c r="I11" s="75"/>
      <c r="J11" s="20"/>
    </row>
    <row r="12" spans="1:9" ht="23.25" customHeight="1">
      <c r="A12" s="76" t="s">
        <v>981</v>
      </c>
      <c r="B12" s="77"/>
      <c r="C12" s="77"/>
      <c r="D12" s="77"/>
      <c r="E12" s="77"/>
      <c r="F12" s="77"/>
      <c r="G12" s="77"/>
      <c r="H12" s="77"/>
      <c r="I12" s="77"/>
    </row>
    <row r="13" spans="1:10" ht="26.25" customHeight="1">
      <c r="A13" s="25" t="s">
        <v>213</v>
      </c>
      <c r="B13" s="78" t="s">
        <v>992</v>
      </c>
      <c r="C13" s="79"/>
      <c r="D13" s="25" t="s">
        <v>865</v>
      </c>
      <c r="E13" s="78" t="s">
        <v>1003</v>
      </c>
      <c r="F13" s="79"/>
      <c r="G13" s="25" t="s">
        <v>866</v>
      </c>
      <c r="H13" s="78" t="s">
        <v>1020</v>
      </c>
      <c r="I13" s="79"/>
      <c r="J13" s="20"/>
    </row>
    <row r="14" spans="1:10" ht="15" customHeight="1">
      <c r="A14" s="26" t="s">
        <v>982</v>
      </c>
      <c r="B14" s="30" t="s">
        <v>993</v>
      </c>
      <c r="C14" s="34">
        <f>SUM('Stavební rozpočet'!AB12:AB554)</f>
        <v>0</v>
      </c>
      <c r="D14" s="80" t="s">
        <v>995</v>
      </c>
      <c r="E14" s="81"/>
      <c r="F14" s="34">
        <v>0</v>
      </c>
      <c r="G14" s="80" t="s">
        <v>1004</v>
      </c>
      <c r="H14" s="81"/>
      <c r="I14" s="34">
        <v>0</v>
      </c>
      <c r="J14" s="20"/>
    </row>
    <row r="15" spans="1:10" ht="15" customHeight="1">
      <c r="A15" s="27"/>
      <c r="B15" s="30" t="s">
        <v>841</v>
      </c>
      <c r="C15" s="34">
        <f>SUM('Stavební rozpočet'!AC12:AC554)</f>
        <v>0</v>
      </c>
      <c r="D15" s="80" t="s">
        <v>996</v>
      </c>
      <c r="E15" s="81"/>
      <c r="F15" s="34">
        <v>0</v>
      </c>
      <c r="G15" s="80" t="s">
        <v>1005</v>
      </c>
      <c r="H15" s="81"/>
      <c r="I15" s="34">
        <v>0</v>
      </c>
      <c r="J15" s="20"/>
    </row>
    <row r="16" spans="1:10" ht="15" customHeight="1">
      <c r="A16" s="26" t="s">
        <v>983</v>
      </c>
      <c r="B16" s="30" t="s">
        <v>993</v>
      </c>
      <c r="C16" s="34">
        <f>SUM('Stavební rozpočet'!AD12:AD554)</f>
        <v>0</v>
      </c>
      <c r="D16" s="80" t="s">
        <v>997</v>
      </c>
      <c r="E16" s="81"/>
      <c r="F16" s="34">
        <v>0</v>
      </c>
      <c r="G16" s="80" t="s">
        <v>1006</v>
      </c>
      <c r="H16" s="81"/>
      <c r="I16" s="34">
        <v>0</v>
      </c>
      <c r="J16" s="20"/>
    </row>
    <row r="17" spans="1:10" ht="15" customHeight="1">
      <c r="A17" s="27"/>
      <c r="B17" s="30" t="s">
        <v>841</v>
      </c>
      <c r="C17" s="34">
        <f>SUM('Stavební rozpočet'!AE12:AE554)</f>
        <v>0</v>
      </c>
      <c r="D17" s="80"/>
      <c r="E17" s="81"/>
      <c r="F17" s="35"/>
      <c r="G17" s="80" t="s">
        <v>1007</v>
      </c>
      <c r="H17" s="81"/>
      <c r="I17" s="34">
        <v>0</v>
      </c>
      <c r="J17" s="20"/>
    </row>
    <row r="18" spans="1:10" ht="15" customHeight="1">
      <c r="A18" s="26" t="s">
        <v>984</v>
      </c>
      <c r="B18" s="30" t="s">
        <v>993</v>
      </c>
      <c r="C18" s="34">
        <f>SUM('Stavební rozpočet'!AF12:AF554)</f>
        <v>0</v>
      </c>
      <c r="D18" s="80"/>
      <c r="E18" s="81"/>
      <c r="F18" s="35"/>
      <c r="G18" s="80" t="s">
        <v>1008</v>
      </c>
      <c r="H18" s="81"/>
      <c r="I18" s="34">
        <v>0</v>
      </c>
      <c r="J18" s="20"/>
    </row>
    <row r="19" spans="1:10" ht="15" customHeight="1">
      <c r="A19" s="27"/>
      <c r="B19" s="30" t="s">
        <v>841</v>
      </c>
      <c r="C19" s="34">
        <f>SUM('Stavební rozpočet'!AG12:AG554)</f>
        <v>0</v>
      </c>
      <c r="D19" s="80"/>
      <c r="E19" s="81"/>
      <c r="F19" s="35"/>
      <c r="G19" s="80" t="s">
        <v>1009</v>
      </c>
      <c r="H19" s="81"/>
      <c r="I19" s="34">
        <v>0</v>
      </c>
      <c r="J19" s="20"/>
    </row>
    <row r="20" spans="1:10" ht="15" customHeight="1">
      <c r="A20" s="82" t="s">
        <v>510</v>
      </c>
      <c r="B20" s="83"/>
      <c r="C20" s="34">
        <f>SUM('Stavební rozpočet'!AH12:AH554)</f>
        <v>0</v>
      </c>
      <c r="D20" s="80"/>
      <c r="E20" s="81"/>
      <c r="F20" s="35"/>
      <c r="G20" s="80"/>
      <c r="H20" s="81"/>
      <c r="I20" s="35"/>
      <c r="J20" s="20"/>
    </row>
    <row r="21" spans="1:10" ht="15" customHeight="1">
      <c r="A21" s="82" t="s">
        <v>985</v>
      </c>
      <c r="B21" s="83"/>
      <c r="C21" s="34">
        <f>SUM('Stavební rozpočet'!Z12:Z554)</f>
        <v>0</v>
      </c>
      <c r="D21" s="80"/>
      <c r="E21" s="81"/>
      <c r="F21" s="35"/>
      <c r="G21" s="80"/>
      <c r="H21" s="81"/>
      <c r="I21" s="35"/>
      <c r="J21" s="20"/>
    </row>
    <row r="22" spans="1:10" ht="16.5" customHeight="1">
      <c r="A22" s="82" t="s">
        <v>986</v>
      </c>
      <c r="B22" s="83"/>
      <c r="C22" s="34">
        <f>SUM(C14:C21)</f>
        <v>0</v>
      </c>
      <c r="D22" s="82" t="s">
        <v>998</v>
      </c>
      <c r="E22" s="83"/>
      <c r="F22" s="34">
        <f>SUM(F14:F21)</f>
        <v>0</v>
      </c>
      <c r="G22" s="82" t="s">
        <v>1010</v>
      </c>
      <c r="H22" s="83"/>
      <c r="I22" s="34">
        <f>SUM(I14:I21)</f>
        <v>0</v>
      </c>
      <c r="J22" s="20"/>
    </row>
    <row r="23" spans="1:10" ht="15" customHeight="1">
      <c r="A23" s="7"/>
      <c r="B23" s="7"/>
      <c r="C23" s="32"/>
      <c r="D23" s="82" t="s">
        <v>999</v>
      </c>
      <c r="E23" s="83"/>
      <c r="F23" s="36">
        <v>0</v>
      </c>
      <c r="G23" s="82" t="s">
        <v>1011</v>
      </c>
      <c r="H23" s="83"/>
      <c r="I23" s="34">
        <v>0</v>
      </c>
      <c r="J23" s="20"/>
    </row>
    <row r="24" spans="4:9" ht="15" customHeight="1">
      <c r="D24" s="7"/>
      <c r="E24" s="7"/>
      <c r="F24" s="37"/>
      <c r="G24" s="82" t="s">
        <v>1012</v>
      </c>
      <c r="H24" s="83"/>
      <c r="I24" s="39"/>
    </row>
    <row r="25" spans="6:10" ht="15" customHeight="1">
      <c r="F25" s="38"/>
      <c r="G25" s="82" t="s">
        <v>1013</v>
      </c>
      <c r="H25" s="83"/>
      <c r="I25" s="34">
        <v>0</v>
      </c>
      <c r="J25" s="20"/>
    </row>
    <row r="26" spans="1:9" ht="12.75">
      <c r="A26" s="6"/>
      <c r="B26" s="6"/>
      <c r="C26" s="6"/>
      <c r="G26" s="7"/>
      <c r="H26" s="7"/>
      <c r="I26" s="7"/>
    </row>
    <row r="27" spans="1:9" ht="15" customHeight="1">
      <c r="A27" s="84" t="s">
        <v>987</v>
      </c>
      <c r="B27" s="85"/>
      <c r="C27" s="40">
        <f>SUM('Stavební rozpočet'!AJ12:AJ554)</f>
        <v>0</v>
      </c>
      <c r="D27" s="33"/>
      <c r="E27" s="6"/>
      <c r="F27" s="6"/>
      <c r="G27" s="6"/>
      <c r="H27" s="6"/>
      <c r="I27" s="6"/>
    </row>
    <row r="28" spans="1:10" ht="15" customHeight="1">
      <c r="A28" s="84" t="s">
        <v>988</v>
      </c>
      <c r="B28" s="85"/>
      <c r="C28" s="40">
        <f>SUM('Stavební rozpočet'!AK12:AK554)</f>
        <v>0</v>
      </c>
      <c r="D28" s="84" t="s">
        <v>1000</v>
      </c>
      <c r="E28" s="85"/>
      <c r="F28" s="40">
        <f>ROUND(C28*(15/100),2)</f>
        <v>0</v>
      </c>
      <c r="G28" s="84" t="s">
        <v>1014</v>
      </c>
      <c r="H28" s="85"/>
      <c r="I28" s="40">
        <f>SUM(C27:C29)</f>
        <v>0</v>
      </c>
      <c r="J28" s="20"/>
    </row>
    <row r="29" spans="1:10" ht="15" customHeight="1">
      <c r="A29" s="84" t="s">
        <v>989</v>
      </c>
      <c r="B29" s="85"/>
      <c r="C29" s="40">
        <f>SUM('Stavební rozpočet'!AL12:AL554)+(F22+I22+F23+I23+I24+I25)</f>
        <v>0</v>
      </c>
      <c r="D29" s="84" t="s">
        <v>1001</v>
      </c>
      <c r="E29" s="85"/>
      <c r="F29" s="40">
        <f>ROUND(C29*(21/100),2)</f>
        <v>0</v>
      </c>
      <c r="G29" s="84" t="s">
        <v>1015</v>
      </c>
      <c r="H29" s="85"/>
      <c r="I29" s="40">
        <f>SUM(F28:F29)+I28</f>
        <v>0</v>
      </c>
      <c r="J29" s="20"/>
    </row>
    <row r="30" spans="1:9" ht="12.75">
      <c r="A30" s="28"/>
      <c r="B30" s="28"/>
      <c r="C30" s="28"/>
      <c r="D30" s="28"/>
      <c r="E30" s="28"/>
      <c r="F30" s="28"/>
      <c r="G30" s="28"/>
      <c r="H30" s="28"/>
      <c r="I30" s="28"/>
    </row>
    <row r="31" spans="1:10" ht="14.25" customHeight="1">
      <c r="A31" s="86" t="s">
        <v>990</v>
      </c>
      <c r="B31" s="87"/>
      <c r="C31" s="88"/>
      <c r="D31" s="86" t="s">
        <v>1002</v>
      </c>
      <c r="E31" s="87"/>
      <c r="F31" s="88"/>
      <c r="G31" s="86" t="s">
        <v>1016</v>
      </c>
      <c r="H31" s="87"/>
      <c r="I31" s="88"/>
      <c r="J31" s="21"/>
    </row>
    <row r="32" spans="1:10" ht="14.25" customHeight="1">
      <c r="A32" s="89"/>
      <c r="B32" s="90"/>
      <c r="C32" s="91"/>
      <c r="D32" s="89"/>
      <c r="E32" s="90"/>
      <c r="F32" s="91"/>
      <c r="G32" s="89"/>
      <c r="H32" s="90"/>
      <c r="I32" s="91"/>
      <c r="J32" s="21"/>
    </row>
    <row r="33" spans="1:10" ht="14.25" customHeight="1">
      <c r="A33" s="89"/>
      <c r="B33" s="90"/>
      <c r="C33" s="91"/>
      <c r="D33" s="89"/>
      <c r="E33" s="90"/>
      <c r="F33" s="91"/>
      <c r="G33" s="89"/>
      <c r="H33" s="90"/>
      <c r="I33" s="91"/>
      <c r="J33" s="21"/>
    </row>
    <row r="34" spans="1:10" ht="14.25" customHeight="1">
      <c r="A34" s="89"/>
      <c r="B34" s="90"/>
      <c r="C34" s="91"/>
      <c r="D34" s="89"/>
      <c r="E34" s="90"/>
      <c r="F34" s="91"/>
      <c r="G34" s="89"/>
      <c r="H34" s="90"/>
      <c r="I34" s="91"/>
      <c r="J34" s="21"/>
    </row>
    <row r="35" spans="1:10" ht="14.25" customHeight="1">
      <c r="A35" s="92" t="s">
        <v>991</v>
      </c>
      <c r="B35" s="93"/>
      <c r="C35" s="94"/>
      <c r="D35" s="92" t="s">
        <v>991</v>
      </c>
      <c r="E35" s="93"/>
      <c r="F35" s="94"/>
      <c r="G35" s="92" t="s">
        <v>991</v>
      </c>
      <c r="H35" s="93"/>
      <c r="I35" s="94"/>
      <c r="J35" s="21"/>
    </row>
    <row r="36" spans="1:9" ht="11.25" customHeight="1">
      <c r="A36" s="29" t="s">
        <v>211</v>
      </c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52"/>
      <c r="B37" s="46"/>
      <c r="C37" s="46"/>
      <c r="D37" s="46"/>
      <c r="E37" s="46"/>
      <c r="F37" s="46"/>
      <c r="G37" s="46"/>
      <c r="H37" s="46"/>
      <c r="I37" s="46"/>
    </row>
  </sheetData>
  <sheetProtection password="C6EF" sheet="1" objects="1" scenarios="1" select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Zdeny</dc:creator>
  <cp:keywords/>
  <dc:description/>
  <cp:lastModifiedBy>Zdeny</cp:lastModifiedBy>
  <dcterms:created xsi:type="dcterms:W3CDTF">2019-06-19T18:28:55Z</dcterms:created>
  <dcterms:modified xsi:type="dcterms:W3CDTF">2019-06-19T18:38:41Z</dcterms:modified>
  <cp:category/>
  <cp:version/>
  <cp:contentType/>
  <cp:contentStatus/>
</cp:coreProperties>
</file>